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4  CEGERO - Cecília\"/>
    </mc:Choice>
  </mc:AlternateContent>
  <xr:revisionPtr revIDLastSave="0" documentId="13_ncr:1_{BA74B952-2B59-4A6E-A4E1-FC6C05E216D8}" xr6:coauthVersionLast="47" xr6:coauthVersionMax="47" xr10:uidLastSave="{00000000-0000-0000-0000-000000000000}"/>
  <bookViews>
    <workbookView xWindow="-120" yWindow="-120" windowWidth="24240" windowHeight="13140" tabRatio="725" firstSheet="6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BD MERCADO" sheetId="79" r:id="rId9"/>
    <sheet name="Calc_Mercado" sheetId="78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Faturas!$AB$1:$AE$217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2" r:id="rId49"/>
    <pivotCache cacheId="13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07" i="89" l="1"/>
  <c r="AN206" i="89"/>
  <c r="AN205" i="89"/>
  <c r="H92" i="50"/>
  <c r="I92" i="50"/>
  <c r="J92" i="50"/>
  <c r="K92" i="50"/>
  <c r="L92" i="50"/>
  <c r="M92" i="50"/>
  <c r="H93" i="50"/>
  <c r="I93" i="50"/>
  <c r="J93" i="50"/>
  <c r="K93" i="50"/>
  <c r="L93" i="50"/>
  <c r="M93" i="50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W49" i="25"/>
  <c r="K184" i="49"/>
  <c r="J184" i="49"/>
  <c r="I184" i="49"/>
  <c r="H184" i="49"/>
  <c r="G184" i="49"/>
  <c r="F184" i="49"/>
  <c r="AN195" i="89"/>
  <c r="O589" i="79"/>
  <c r="AN188" i="89" l="1"/>
  <c r="M37" i="50"/>
  <c r="K175" i="49" s="1"/>
  <c r="L37" i="50"/>
  <c r="J175" i="49" s="1"/>
  <c r="K37" i="50"/>
  <c r="I175" i="49" s="1"/>
  <c r="J37" i="50"/>
  <c r="H175" i="49" s="1"/>
  <c r="I37" i="50"/>
  <c r="G175" i="49" s="1"/>
  <c r="H37" i="50"/>
  <c r="F175" i="49" s="1"/>
  <c r="C72" i="71"/>
  <c r="K53" i="58" l="1"/>
  <c r="J53" i="58" l="1"/>
  <c r="I71" i="58"/>
  <c r="H44" i="50"/>
  <c r="F182" i="49" s="1"/>
  <c r="AU248" i="89" l="1"/>
  <c r="AU249" i="89"/>
  <c r="AU281" i="89"/>
  <c r="AU282" i="89"/>
  <c r="C50" i="64"/>
  <c r="C51" i="64"/>
  <c r="C83" i="64"/>
  <c r="C84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C66" i="64"/>
  <c r="AS265" i="89"/>
  <c r="C67" i="64"/>
  <c r="AM190" i="89"/>
  <c r="AS266" i="89" s="1"/>
  <c r="AM191" i="89"/>
  <c r="AS267" i="89" s="1"/>
  <c r="AN191" i="89"/>
  <c r="C69" i="64" s="1"/>
  <c r="AM192" i="89"/>
  <c r="AS268" i="89" s="1"/>
  <c r="AM193" i="89"/>
  <c r="AS269" i="89" s="1"/>
  <c r="AN193" i="89"/>
  <c r="C71" i="64" s="1"/>
  <c r="AM194" i="89"/>
  <c r="AS270" i="89" s="1"/>
  <c r="AS271" i="89"/>
  <c r="C73" i="64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M177" i="89"/>
  <c r="AS253" i="89" s="1"/>
  <c r="AN176" i="89"/>
  <c r="C54" i="64" s="1"/>
  <c r="AN175" i="89"/>
  <c r="C53" i="64" s="1"/>
  <c r="AN174" i="89"/>
  <c r="C52" i="64" s="1"/>
  <c r="AU250" i="89" l="1"/>
  <c r="AU259" i="89"/>
  <c r="AU271" i="89"/>
  <c r="AU267" i="89"/>
  <c r="AU262" i="89"/>
  <c r="AU269" i="89"/>
  <c r="AU265" i="89"/>
  <c r="AU252" i="89"/>
  <c r="AU272" i="89"/>
  <c r="AU264" i="89"/>
  <c r="AU260" i="89"/>
  <c r="AU256" i="89"/>
  <c r="AU251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I44" i="50"/>
  <c r="G182" i="49" s="1"/>
  <c r="J44" i="50"/>
  <c r="H182" i="49" s="1"/>
  <c r="K44" i="50"/>
  <c r="I182" i="49" s="1"/>
  <c r="L44" i="50"/>
  <c r="J182" i="49" s="1"/>
  <c r="M44" i="50"/>
  <c r="K182" i="49" s="1"/>
  <c r="H45" i="50"/>
  <c r="I45" i="50"/>
  <c r="J45" i="50"/>
  <c r="K45" i="50"/>
  <c r="L45" i="50"/>
  <c r="M45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C183" i="49"/>
  <c r="Q183" i="49"/>
  <c r="P183" i="49" s="1"/>
  <c r="C184" i="49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F236" i="49" s="1"/>
  <c r="I98" i="50"/>
  <c r="G236" i="49" s="1"/>
  <c r="J98" i="50"/>
  <c r="H236" i="49" s="1"/>
  <c r="K98" i="50"/>
  <c r="I236" i="49" s="1"/>
  <c r="L98" i="50"/>
  <c r="J236" i="49" s="1"/>
  <c r="M98" i="50"/>
  <c r="E47" i="143"/>
  <c r="E46" i="143"/>
  <c r="E40" i="143"/>
  <c r="E25" i="143"/>
  <c r="E24" i="143"/>
  <c r="E14" i="143"/>
  <c r="E51" i="143"/>
  <c r="E48" i="143"/>
  <c r="E31" i="143"/>
  <c r="E22" i="143"/>
  <c r="F229" i="49"/>
  <c r="G229" i="49"/>
  <c r="H229" i="49"/>
  <c r="I229" i="49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98" i="89" l="1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D72" i="50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41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1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F6" i="142" l="1"/>
  <c r="D79" i="58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L6" i="142" l="1"/>
  <c r="AO187" i="89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O38" i="89"/>
  <c r="N38" i="89"/>
  <c r="M38" i="89"/>
  <c r="L7" i="142" l="1"/>
  <c r="D81" i="58"/>
  <c r="C82" i="58"/>
  <c r="AO184" i="89"/>
  <c r="I7" i="142"/>
  <c r="J7" i="142" s="1"/>
  <c r="B32" i="137"/>
  <c r="C31" i="137"/>
  <c r="G8" i="142"/>
  <c r="F8" i="142"/>
  <c r="J6" i="142"/>
  <c r="B10" i="142"/>
  <c r="E9" i="142"/>
  <c r="C9" i="142"/>
  <c r="H9" i="142"/>
  <c r="D9" i="142"/>
  <c r="E19" i="58"/>
  <c r="L8" i="142" l="1"/>
  <c r="D82" i="58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H22" i="61"/>
  <c r="H23" i="61"/>
  <c r="H24" i="61"/>
  <c r="H25" i="61"/>
  <c r="H26" i="61"/>
  <c r="H27" i="61"/>
  <c r="H28" i="61"/>
  <c r="H29" i="61"/>
  <c r="H30" i="61"/>
  <c r="L9" i="142" l="1"/>
  <c r="D83" i="58"/>
  <c r="C84" i="58"/>
  <c r="I9" i="142"/>
  <c r="J9" i="142" s="1"/>
  <c r="G10" i="142"/>
  <c r="F10" i="142"/>
  <c r="B34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L10" i="142" l="1"/>
  <c r="D84" i="58"/>
  <c r="C85" i="58"/>
  <c r="I10" i="142"/>
  <c r="J10" i="142" s="1"/>
  <c r="G11" i="142"/>
  <c r="F11" i="142"/>
  <c r="B35" i="137"/>
  <c r="C34" i="137"/>
  <c r="B13" i="142"/>
  <c r="C13" i="142" s="1"/>
  <c r="H12" i="142"/>
  <c r="E12" i="142"/>
  <c r="D12" i="142"/>
  <c r="V33" i="58"/>
  <c r="L11" i="142" l="1"/>
  <c r="D85" i="58"/>
  <c r="C86" i="58"/>
  <c r="C87" i="58" s="1"/>
  <c r="C88" i="58" s="1"/>
  <c r="I11" i="142"/>
  <c r="J11" i="142" s="1"/>
  <c r="B36" i="137"/>
  <c r="C35" i="137"/>
  <c r="G12" i="142"/>
  <c r="F12" i="142"/>
  <c r="B14" i="142"/>
  <c r="H13" i="142"/>
  <c r="D13" i="142"/>
  <c r="E13" i="142"/>
  <c r="U31" i="58"/>
  <c r="U30" i="58"/>
  <c r="U29" i="58"/>
  <c r="Q29" i="58"/>
  <c r="L12" i="142" l="1"/>
  <c r="D86" i="58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L13" i="142" l="1"/>
  <c r="D89" i="58"/>
  <c r="C70" i="58" s="1"/>
  <c r="F14" i="142"/>
  <c r="G14" i="142"/>
  <c r="D15" i="142"/>
  <c r="C15" i="142"/>
  <c r="E15" i="142"/>
  <c r="I13" i="142"/>
  <c r="J13" i="142" s="1"/>
  <c r="B38" i="137"/>
  <c r="C37" i="137"/>
  <c r="B16" i="142"/>
  <c r="H15" i="142"/>
  <c r="E21" i="58"/>
  <c r="B22" i="58"/>
  <c r="B21" i="58"/>
  <c r="J64" i="58"/>
  <c r="D64" i="58"/>
  <c r="L14" i="142" l="1"/>
  <c r="C72" i="58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C143" i="49"/>
  <c r="C142" i="49"/>
  <c r="C141" i="49"/>
  <c r="C140" i="49"/>
  <c r="J65" i="58"/>
  <c r="K65" i="58" s="1"/>
  <c r="L15" i="142" l="1"/>
  <c r="D40" i="137"/>
  <c r="C39" i="137"/>
  <c r="C40" i="137" s="1"/>
  <c r="G16" i="142"/>
  <c r="F16" i="142"/>
  <c r="E17" i="142"/>
  <c r="E18" i="142" s="1"/>
  <c r="D18" i="142"/>
  <c r="D23" i="142" s="1"/>
  <c r="I15" i="142"/>
  <c r="J15" i="142" s="1"/>
  <c r="H17" i="142"/>
  <c r="H18" i="142" s="1"/>
  <c r="K66" i="58"/>
  <c r="L16" i="142" l="1"/>
  <c r="D41" i="137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L17" i="142" l="1"/>
  <c r="L18" i="142" s="1"/>
  <c r="I17" i="142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M20" i="58" s="1"/>
  <c r="T38" i="89"/>
  <c r="J18" i="142" l="1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D118" i="78"/>
  <c r="C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7" i="78"/>
  <c r="D116" i="78"/>
  <c r="C116" i="78"/>
  <c r="D117" i="78"/>
  <c r="C115" i="78"/>
  <c r="D114" i="78"/>
  <c r="C119" i="78"/>
  <c r="D119" i="78"/>
  <c r="C114" i="78"/>
  <c r="D115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13" i="49"/>
  <c r="Q105" i="49"/>
  <c r="Q106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D19" i="78"/>
  <c r="G8" i="78"/>
  <c r="D9" i="78"/>
  <c r="C17" i="78"/>
  <c r="C88" i="78"/>
  <c r="C97" i="78"/>
  <c r="D14" i="78"/>
  <c r="C11" i="78"/>
  <c r="D17" i="78"/>
  <c r="C87" i="78"/>
  <c r="C94" i="78"/>
  <c r="G13" i="78"/>
  <c r="C90" i="78"/>
  <c r="C93" i="78"/>
  <c r="C95" i="78"/>
  <c r="C79" i="78"/>
  <c r="D13" i="78"/>
  <c r="D21" i="78"/>
  <c r="C13" i="78"/>
  <c r="C83" i="78"/>
  <c r="C81" i="78"/>
  <c r="D16" i="78"/>
  <c r="D15" i="78"/>
  <c r="C91" i="78"/>
  <c r="G11" i="78"/>
  <c r="D20" i="78"/>
  <c r="D11" i="78"/>
  <c r="C84" i="78"/>
  <c r="C19" i="78"/>
  <c r="G14" i="78"/>
  <c r="C89" i="78"/>
  <c r="G10" i="78"/>
  <c r="D12" i="78"/>
  <c r="C92" i="78"/>
  <c r="C80" i="78"/>
  <c r="C20" i="78"/>
  <c r="G9" i="78"/>
  <c r="C16" i="78"/>
  <c r="C15" i="78"/>
  <c r="D10" i="78"/>
  <c r="C12" i="78"/>
  <c r="C18" i="78"/>
  <c r="C82" i="78"/>
  <c r="D18" i="78"/>
  <c r="C14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46" i="85"/>
  <c r="C160" i="85"/>
  <c r="C60" i="85"/>
  <c r="C11" i="85"/>
  <c r="C125" i="85"/>
  <c r="C73" i="85"/>
  <c r="C138" i="85"/>
  <c r="C143" i="85"/>
  <c r="C95" i="85"/>
  <c r="C18" i="85"/>
  <c r="C25" i="85"/>
  <c r="C109" i="85"/>
  <c r="C154" i="85"/>
  <c r="C90" i="85"/>
  <c r="C37" i="85"/>
  <c r="C5" i="85"/>
  <c r="C155" i="85"/>
  <c r="C142" i="85"/>
  <c r="C162" i="85"/>
  <c r="C130" i="85"/>
  <c r="C100" i="85"/>
  <c r="C132" i="85"/>
  <c r="C9" i="85"/>
  <c r="C38" i="85"/>
  <c r="C13" i="85"/>
  <c r="C133" i="85"/>
  <c r="C45" i="85"/>
  <c r="C159" i="85"/>
  <c r="C104" i="85"/>
  <c r="C103" i="85"/>
  <c r="C119" i="85"/>
  <c r="C157" i="85"/>
  <c r="C106" i="85"/>
  <c r="C144" i="85"/>
  <c r="C110" i="85"/>
  <c r="C145" i="85"/>
  <c r="C77" i="85"/>
  <c r="C39" i="85"/>
  <c r="C87" i="85"/>
  <c r="C137" i="85"/>
  <c r="C127" i="85"/>
  <c r="C17" i="85"/>
  <c r="C151" i="85"/>
  <c r="C15" i="85"/>
  <c r="C117" i="85"/>
  <c r="C139" i="85"/>
  <c r="C150" i="85"/>
  <c r="C140" i="85"/>
  <c r="C167" i="85"/>
  <c r="C16" i="85"/>
  <c r="C102" i="85"/>
  <c r="C166" i="85"/>
  <c r="C4" i="85"/>
  <c r="C115" i="85"/>
  <c r="C131" i="85"/>
  <c r="C153" i="85"/>
  <c r="C8" i="85"/>
  <c r="C123" i="85"/>
  <c r="C108" i="85"/>
  <c r="C20" i="85"/>
  <c r="C24" i="85"/>
  <c r="C147" i="85"/>
  <c r="C164" i="85"/>
  <c r="C105" i="85"/>
  <c r="C165" i="85"/>
  <c r="C98" i="85"/>
  <c r="C158" i="85"/>
  <c r="C71" i="85"/>
  <c r="C101" i="85"/>
  <c r="C10" i="85"/>
  <c r="C129" i="85"/>
  <c r="C107" i="85"/>
  <c r="C57" i="85"/>
  <c r="C26" i="85"/>
  <c r="C152" i="85"/>
  <c r="C163" i="85"/>
  <c r="C32" i="85"/>
  <c r="C96" i="85"/>
  <c r="C148" i="85"/>
  <c r="C23" i="85"/>
  <c r="C97" i="85"/>
  <c r="C6" i="85"/>
  <c r="C146" i="85"/>
  <c r="C141" i="85"/>
  <c r="C113" i="85"/>
  <c r="C156" i="85"/>
  <c r="C3" i="85"/>
  <c r="C112" i="85"/>
  <c r="C111" i="85"/>
  <c r="C21" i="85"/>
  <c r="C149" i="85"/>
  <c r="C19" i="85"/>
  <c r="C7" i="85"/>
  <c r="C14" i="85"/>
  <c r="C134" i="85"/>
  <c r="C161" i="85"/>
  <c r="C44" i="85"/>
  <c r="C99" i="85"/>
  <c r="C114" i="85"/>
  <c r="C121" i="85"/>
  <c r="C12" i="85"/>
  <c r="C36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22" i="85"/>
  <c r="C136" i="85"/>
  <c r="C31" i="85"/>
  <c r="C70" i="85"/>
  <c r="C135" i="85"/>
  <c r="C88" i="85"/>
  <c r="C82" i="85"/>
  <c r="X48" i="25" l="1"/>
  <c r="F31" i="58"/>
  <c r="F30" i="58"/>
  <c r="F32" i="58"/>
  <c r="F29" i="58"/>
  <c r="H28" i="58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D46" i="50" s="1"/>
  <c r="H13" i="25"/>
  <c r="M74" i="78"/>
  <c r="R74" i="78"/>
  <c r="J74" i="78"/>
  <c r="S74" i="78"/>
  <c r="N74" i="78"/>
  <c r="G74" i="78"/>
  <c r="I74" i="78"/>
  <c r="C30" i="85"/>
  <c r="K74" i="78"/>
  <c r="C72" i="85"/>
  <c r="U74" i="78"/>
  <c r="O74" i="78"/>
  <c r="L74" i="78"/>
  <c r="E74" i="78"/>
  <c r="D74" i="78"/>
  <c r="P74" i="78"/>
  <c r="H74" i="78"/>
  <c r="Q74" i="78"/>
  <c r="T74" i="78"/>
  <c r="F74" i="78"/>
  <c r="X47" i="25" l="1"/>
  <c r="AN194" i="89"/>
  <c r="Q184" i="49"/>
  <c r="P184" i="49" s="1"/>
  <c r="AN185" i="89"/>
  <c r="Q175" i="49"/>
  <c r="P175" i="49" s="1"/>
  <c r="AN192" i="89"/>
  <c r="Q182" i="49"/>
  <c r="P182" i="49" s="1"/>
  <c r="K30" i="39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X46" i="25" s="1"/>
  <c r="I73" i="78"/>
  <c r="T73" i="78"/>
  <c r="R73" i="78"/>
  <c r="L73" i="78"/>
  <c r="D73" i="78"/>
  <c r="J73" i="78"/>
  <c r="F73" i="78"/>
  <c r="O73" i="78"/>
  <c r="S73" i="78"/>
  <c r="N73" i="78"/>
  <c r="K73" i="78"/>
  <c r="M73" i="78"/>
  <c r="P73" i="78"/>
  <c r="E73" i="78"/>
  <c r="G73" i="78"/>
  <c r="U73" i="78"/>
  <c r="Q73" i="78"/>
  <c r="H73" i="78"/>
  <c r="C72" i="64" l="1"/>
  <c r="AU270" i="89"/>
  <c r="C63" i="64"/>
  <c r="AU261" i="89"/>
  <c r="AO185" i="89"/>
  <c r="C70" i="64"/>
  <c r="AU268" i="89"/>
  <c r="G76" i="39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X45" i="25" s="1"/>
  <c r="P29" i="49"/>
  <c r="F72" i="78"/>
  <c r="I72" i="78"/>
  <c r="J72" i="78"/>
  <c r="N72" i="78"/>
  <c r="K72" i="78"/>
  <c r="L72" i="78"/>
  <c r="H72" i="78"/>
  <c r="U72" i="78"/>
  <c r="S72" i="78"/>
  <c r="Q72" i="78"/>
  <c r="O72" i="78"/>
  <c r="D72" i="78"/>
  <c r="E72" i="78"/>
  <c r="P72" i="78"/>
  <c r="G72" i="78"/>
  <c r="M72" i="78"/>
  <c r="T72" i="78"/>
  <c r="R72" i="78"/>
  <c r="L16" i="58" l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X44" i="25" s="1"/>
  <c r="H71" i="78"/>
  <c r="O71" i="78"/>
  <c r="T71" i="78"/>
  <c r="U71" i="78"/>
  <c r="F71" i="78"/>
  <c r="D71" i="78"/>
  <c r="C55" i="85"/>
  <c r="J71" i="78"/>
  <c r="K71" i="78"/>
  <c r="E71" i="78"/>
  <c r="L71" i="78"/>
  <c r="M71" i="78"/>
  <c r="S71" i="78"/>
  <c r="I71" i="78"/>
  <c r="G71" i="78"/>
  <c r="Q71" i="78"/>
  <c r="R71" i="78"/>
  <c r="N71" i="78"/>
  <c r="P71" i="78"/>
  <c r="C10" i="58" l="1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X43" i="25" s="1"/>
  <c r="N44" i="25"/>
  <c r="I70" i="78"/>
  <c r="O70" i="78"/>
  <c r="E70" i="78"/>
  <c r="R70" i="78"/>
  <c r="S70" i="78"/>
  <c r="P70" i="78"/>
  <c r="K70" i="78"/>
  <c r="M70" i="78"/>
  <c r="F70" i="78"/>
  <c r="U70" i="78"/>
  <c r="G70" i="78"/>
  <c r="D70" i="78"/>
  <c r="N70" i="78"/>
  <c r="Q70" i="78"/>
  <c r="H70" i="78"/>
  <c r="T70" i="78"/>
  <c r="L70" i="78"/>
  <c r="J70" i="78"/>
  <c r="C11" i="58" l="1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X42" i="25" s="1"/>
  <c r="N43" i="25"/>
  <c r="S69" i="78"/>
  <c r="F69" i="78"/>
  <c r="L69" i="78"/>
  <c r="R69" i="78"/>
  <c r="E69" i="78"/>
  <c r="D69" i="78"/>
  <c r="N69" i="78"/>
  <c r="M69" i="78"/>
  <c r="O69" i="78"/>
  <c r="P69" i="78"/>
  <c r="J69" i="78"/>
  <c r="H69" i="78"/>
  <c r="G69" i="78"/>
  <c r="Q69" i="78"/>
  <c r="K69" i="78"/>
  <c r="U69" i="78"/>
  <c r="T69" i="78"/>
  <c r="I69" i="78"/>
  <c r="E92" i="50" l="1"/>
  <c r="E96" i="50"/>
  <c r="E93" i="50"/>
  <c r="E95" i="50"/>
  <c r="E94" i="50"/>
  <c r="E99" i="50"/>
  <c r="E97" i="50"/>
  <c r="E42" i="50"/>
  <c r="E46" i="50"/>
  <c r="E48" i="50"/>
  <c r="E45" i="50"/>
  <c r="E43" i="50"/>
  <c r="E47" i="50"/>
  <c r="E44" i="50"/>
  <c r="E37" i="50"/>
  <c r="E38" i="50"/>
  <c r="E35" i="50"/>
  <c r="E41" i="50"/>
  <c r="E49" i="50"/>
  <c r="E40" i="50"/>
  <c r="E28" i="50"/>
  <c r="E39" i="50"/>
  <c r="E65" i="50"/>
  <c r="E71" i="50"/>
  <c r="E27" i="50"/>
  <c r="E32" i="50"/>
  <c r="E36" i="50"/>
  <c r="E57" i="50"/>
  <c r="E26" i="50"/>
  <c r="E51" i="50"/>
  <c r="E50" i="50"/>
  <c r="E64" i="50"/>
  <c r="E30" i="50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X41" i="25" s="1"/>
  <c r="N42" i="25"/>
  <c r="U68" i="78"/>
  <c r="S68" i="78"/>
  <c r="J68" i="78"/>
  <c r="K68" i="78"/>
  <c r="T68" i="78"/>
  <c r="L68" i="78"/>
  <c r="R68" i="78"/>
  <c r="G68" i="78"/>
  <c r="M68" i="78"/>
  <c r="I68" i="78"/>
  <c r="H68" i="78"/>
  <c r="P68" i="78"/>
  <c r="O68" i="78"/>
  <c r="N68" i="78"/>
  <c r="F68" i="78"/>
  <c r="Q68" i="78"/>
  <c r="E68" i="78"/>
  <c r="D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X40" i="25" s="1"/>
  <c r="N41" i="25"/>
  <c r="O67" i="78"/>
  <c r="G67" i="78"/>
  <c r="J67" i="78"/>
  <c r="N67" i="78"/>
  <c r="P67" i="78"/>
  <c r="Q67" i="78"/>
  <c r="F67" i="78"/>
  <c r="D67" i="78"/>
  <c r="U67" i="78"/>
  <c r="I67" i="78"/>
  <c r="S67" i="78"/>
  <c r="M67" i="78"/>
  <c r="K67" i="78"/>
  <c r="R67" i="78"/>
  <c r="E67" i="78"/>
  <c r="T67" i="78"/>
  <c r="H67" i="78"/>
  <c r="L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H66" i="78"/>
  <c r="Q66" i="78"/>
  <c r="P66" i="78"/>
  <c r="L66" i="78"/>
  <c r="N66" i="78"/>
  <c r="G66" i="78"/>
  <c r="D66" i="78"/>
  <c r="M66" i="78"/>
  <c r="S66" i="78"/>
  <c r="F66" i="78"/>
  <c r="J66" i="78"/>
  <c r="K66" i="78"/>
  <c r="I66" i="78"/>
  <c r="U66" i="78"/>
  <c r="O66" i="78"/>
  <c r="E66" i="78"/>
  <c r="R66" i="78"/>
  <c r="T66" i="78"/>
  <c r="B38" i="25" l="1"/>
  <c r="X38" i="25" s="1"/>
  <c r="X39" i="25"/>
  <c r="H65" i="5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M65" i="78"/>
  <c r="N65" i="78"/>
  <c r="H65" i="78"/>
  <c r="K65" i="78"/>
  <c r="L65" i="78"/>
  <c r="S65" i="78"/>
  <c r="P65" i="78"/>
  <c r="D65" i="78"/>
  <c r="Q65" i="78"/>
  <c r="T65" i="78"/>
  <c r="E65" i="78"/>
  <c r="J65" i="78"/>
  <c r="I65" i="78"/>
  <c r="U65" i="78"/>
  <c r="F65" i="78"/>
  <c r="G65" i="78"/>
  <c r="O65" i="78"/>
  <c r="R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X37" i="25" s="1"/>
  <c r="N38" i="25"/>
  <c r="L64" i="78"/>
  <c r="M64" i="78"/>
  <c r="K64" i="78"/>
  <c r="R64" i="78"/>
  <c r="F64" i="78"/>
  <c r="P64" i="78"/>
  <c r="H64" i="78"/>
  <c r="E64" i="78"/>
  <c r="I64" i="78"/>
  <c r="N64" i="78"/>
  <c r="D64" i="78"/>
  <c r="J64" i="78"/>
  <c r="G64" i="78"/>
  <c r="T64" i="78"/>
  <c r="S64" i="78"/>
  <c r="Q64" i="78"/>
  <c r="O64" i="78"/>
  <c r="U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X36" i="25" s="1"/>
  <c r="N37" i="25"/>
  <c r="N63" i="78"/>
  <c r="P63" i="78"/>
  <c r="Q63" i="78"/>
  <c r="U63" i="78"/>
  <c r="E63" i="78"/>
  <c r="L63" i="78"/>
  <c r="I63" i="78"/>
  <c r="H63" i="78"/>
  <c r="F63" i="78"/>
  <c r="O63" i="78"/>
  <c r="K63" i="78"/>
  <c r="D63" i="78"/>
  <c r="G63" i="78"/>
  <c r="R63" i="78"/>
  <c r="T63" i="78"/>
  <c r="M63" i="78"/>
  <c r="J63" i="78"/>
  <c r="S63" i="78"/>
  <c r="H62" i="51" l="1"/>
  <c r="H31" i="51" s="1"/>
  <c r="O68" i="25" s="1"/>
  <c r="I62" i="51"/>
  <c r="U75" i="78"/>
  <c r="C62" i="51"/>
  <c r="C31" i="51" s="1"/>
  <c r="T75" i="78"/>
  <c r="S75" i="78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X35" i="25" s="1"/>
  <c r="N36" i="25"/>
  <c r="J79" i="89" l="1"/>
  <c r="L79" i="89" s="1"/>
  <c r="I31" i="5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X34" i="25" s="1"/>
  <c r="N35" i="25"/>
  <c r="G12" i="78"/>
  <c r="G17" i="78" l="1"/>
  <c r="G19" i="78" s="1"/>
  <c r="AT223" i="89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G64" i="39"/>
  <c r="O35" i="25" s="1"/>
  <c r="P35" i="25" s="1"/>
  <c r="H64" i="39"/>
  <c r="Q36" i="25"/>
  <c r="R36" i="25" s="1"/>
  <c r="I77" i="39"/>
  <c r="Q35" i="25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X33" i="25" s="1"/>
  <c r="N34" i="25"/>
  <c r="AV223" i="89" l="1"/>
  <c r="X65" i="25"/>
  <c r="P65" i="25"/>
  <c r="R65" i="25"/>
  <c r="G63" i="39"/>
  <c r="O34" i="25" s="1"/>
  <c r="P34" i="25" s="1"/>
  <c r="Q34" i="25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X32" i="25" s="1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X31" i="25" s="1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X30" i="25" s="1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X29" i="25" s="1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X28" i="25" s="1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X27" i="25" s="1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X26" i="25" s="1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X25" i="25" s="1"/>
  <c r="X49" i="25" s="1"/>
  <c r="D98" i="50" s="1"/>
  <c r="L26" i="25"/>
  <c r="D26" i="25"/>
  <c r="N26" i="25"/>
  <c r="H26" i="25"/>
  <c r="AN207" i="89" l="1"/>
  <c r="AO207" i="89" s="1"/>
  <c r="Q236" i="49"/>
  <c r="P236" i="49" s="1"/>
  <c r="E98" i="50"/>
  <c r="Q238" i="49"/>
  <c r="P238" i="49" s="1"/>
  <c r="E100" i="50"/>
  <c r="X57" i="25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X24" i="25" s="1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AN179" i="89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7" i="89" s="1"/>
  <c r="C85" i="64" l="1"/>
  <c r="AU283" i="89"/>
  <c r="C57" i="64"/>
  <c r="AU255" i="89"/>
  <c r="C55" i="64"/>
  <c r="AU253" i="89"/>
  <c r="Q169" i="49"/>
  <c r="P169" i="49" s="1"/>
  <c r="E31" i="50"/>
  <c r="Q167" i="49"/>
  <c r="P167" i="49" s="1"/>
  <c r="E29" i="50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Q147" i="49" l="1"/>
  <c r="P147" i="49" s="1"/>
  <c r="AO174" i="89"/>
  <c r="X55" i="25"/>
  <c r="X80" i="25" s="1"/>
  <c r="R55" i="25"/>
  <c r="R80" i="25" s="1"/>
  <c r="M42" i="51" s="1"/>
  <c r="D23" i="50" s="1"/>
  <c r="AN170" i="89" s="1"/>
  <c r="P55" i="25"/>
  <c r="P80" i="25" s="1"/>
  <c r="M41" i="51" s="1"/>
  <c r="D22" i="50" s="1"/>
  <c r="T55" i="25"/>
  <c r="T80" i="25" s="1"/>
  <c r="V55" i="25"/>
  <c r="V80" i="25" s="1"/>
  <c r="N55" i="25"/>
  <c r="N80" i="25" s="1"/>
  <c r="M35" i="51" s="1"/>
  <c r="D19" i="50" s="1"/>
  <c r="F16" i="143" s="1"/>
  <c r="D55" i="25"/>
  <c r="F55" i="25"/>
  <c r="L55" i="25"/>
  <c r="L80" i="25" s="1"/>
  <c r="M37" i="51" s="1"/>
  <c r="D21" i="50" s="1"/>
  <c r="H55" i="25"/>
  <c r="H80" i="25" s="1"/>
  <c r="M31" i="51" s="1"/>
  <c r="D15" i="50" s="1"/>
  <c r="J55" i="25"/>
  <c r="J80" i="25" s="1"/>
  <c r="BE291" i="89"/>
  <c r="BE296" i="89"/>
  <c r="BE293" i="89"/>
  <c r="BE294" i="89"/>
  <c r="BE295" i="89"/>
  <c r="M34" i="51"/>
  <c r="D18" i="50" s="1"/>
  <c r="F39" i="143" s="1"/>
  <c r="M36" i="51"/>
  <c r="D20" i="50" s="1"/>
  <c r="C48" i="64" l="1"/>
  <c r="AU246" i="89"/>
  <c r="AN169" i="89"/>
  <c r="AO170" i="89"/>
  <c r="F27" i="143"/>
  <c r="F11" i="143"/>
  <c r="Q161" i="49"/>
  <c r="P161" i="49" s="1"/>
  <c r="E23" i="50"/>
  <c r="Q160" i="49"/>
  <c r="P160" i="49" s="1"/>
  <c r="E22" i="50"/>
  <c r="Q159" i="49"/>
  <c r="P159" i="49" s="1"/>
  <c r="E21" i="50"/>
  <c r="M43" i="51"/>
  <c r="M32" i="51"/>
  <c r="D16" i="50" s="1"/>
  <c r="F15" i="143" s="1"/>
  <c r="BE292" i="89"/>
  <c r="BE297" i="89" s="1"/>
  <c r="C47" i="64" l="1"/>
  <c r="AU245" i="89"/>
  <c r="AN168" i="89"/>
  <c r="Q158" i="49"/>
  <c r="P158" i="49" s="1"/>
  <c r="E20" i="50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D52" i="50"/>
  <c r="D54" i="50"/>
  <c r="E54" i="50" s="1"/>
  <c r="D56" i="50"/>
  <c r="D55" i="50"/>
  <c r="E55" i="50" s="1"/>
  <c r="D25" i="50"/>
  <c r="F20" i="143" s="1"/>
  <c r="D24" i="50"/>
  <c r="E20" i="143"/>
  <c r="F26" i="64"/>
  <c r="C104" i="39"/>
  <c r="BM301" i="89"/>
  <c r="BN301" i="89" s="1"/>
  <c r="AU234" i="89"/>
  <c r="Q24" i="49"/>
  <c r="P24" i="49" s="1"/>
  <c r="E26" i="64"/>
  <c r="C30" i="95"/>
  <c r="C21" i="95"/>
  <c r="AW234" i="89" l="1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E52" i="50"/>
  <c r="Q162" i="49"/>
  <c r="P162" i="49" s="1"/>
  <c r="E24" i="50"/>
  <c r="Q191" i="49"/>
  <c r="P191" i="49" s="1"/>
  <c r="E53" i="50"/>
  <c r="Q163" i="49"/>
  <c r="P163" i="49" s="1"/>
  <c r="E25" i="50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N14" i="58" l="1"/>
  <c r="AC140" i="89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D18" i="137" l="1"/>
  <c r="E18" i="137" s="1"/>
  <c r="D33" i="50" s="1"/>
  <c r="F23" i="143" l="1"/>
  <c r="Q171" i="49"/>
  <c r="P171" i="49" s="1"/>
  <c r="E33" i="50"/>
  <c r="AO179" i="89" l="1"/>
  <c r="D19" i="137"/>
  <c r="E19" i="137" s="1"/>
  <c r="D34" i="50" s="1"/>
  <c r="AU258" i="89" l="1"/>
  <c r="AN181" i="89"/>
  <c r="AO182" i="89"/>
  <c r="C60" i="64"/>
  <c r="Q172" i="49"/>
  <c r="P172" i="49" s="1"/>
  <c r="F7" i="123"/>
  <c r="E34" i="50"/>
  <c r="Q11" i="58"/>
  <c r="Q13" i="58" s="1"/>
  <c r="N13" i="58"/>
  <c r="Q37" i="49" s="1"/>
  <c r="P37" i="49" s="1"/>
  <c r="C59" i="64" l="1"/>
  <c r="AU257" i="89"/>
  <c r="Q36" i="49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8" i="49"/>
  <c r="P38" i="49" s="1"/>
  <c r="Q94" i="49"/>
  <c r="P94" i="49" s="1"/>
  <c r="N19" i="58"/>
  <c r="L19" i="58" s="1"/>
  <c r="S15" i="58"/>
  <c r="Q16" i="58"/>
  <c r="R16" i="58" s="1"/>
  <c r="R17" i="58" s="1"/>
  <c r="Q18" i="58" s="1"/>
  <c r="Q34" i="49" l="1"/>
  <c r="P34" i="49" s="1"/>
  <c r="L18" i="58"/>
  <c r="N7" i="123"/>
  <c r="N11" i="123" s="1"/>
  <c r="G11" i="123"/>
  <c r="BQ313" i="89"/>
  <c r="M11" i="123"/>
  <c r="D12" i="58"/>
  <c r="Q17" i="58"/>
  <c r="Q35" i="49"/>
  <c r="P35" i="49" s="1"/>
  <c r="D13" i="58"/>
  <c r="Q95" i="49"/>
  <c r="P95" i="49" s="1"/>
  <c r="C13" i="58" l="1"/>
  <c r="L35" i="58"/>
  <c r="Q146" i="49" s="1"/>
  <c r="P146" i="49" s="1"/>
  <c r="C12" i="58"/>
  <c r="BG293" i="89"/>
  <c r="BG297" i="89" s="1"/>
  <c r="BQ317" i="89"/>
  <c r="BR317" i="89" s="1"/>
  <c r="BS317" i="89" s="1"/>
  <c r="Q129" i="49"/>
  <c r="P129" i="49" s="1"/>
  <c r="BR313" i="89"/>
  <c r="D9" i="58"/>
  <c r="T125" i="89"/>
  <c r="C9" i="58" l="1"/>
  <c r="C5" i="58" s="1"/>
  <c r="C15" i="58" s="1"/>
  <c r="Q135" i="49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M30" i="58"/>
  <c r="BJ293" i="89"/>
  <c r="BH297" i="89"/>
  <c r="BJ297" i="89" s="1"/>
  <c r="H4" i="50"/>
  <c r="D60" i="50" s="1"/>
  <c r="H5" i="50"/>
  <c r="D61" i="50" s="1"/>
  <c r="H2" i="50"/>
  <c r="H3" i="50"/>
  <c r="E6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E76" i="50"/>
  <c r="D91" i="50"/>
  <c r="E91" i="50" s="1"/>
  <c r="D86" i="50"/>
  <c r="E86" i="50" s="1"/>
  <c r="D14" i="50"/>
  <c r="D81" i="50"/>
  <c r="E81" i="50" s="1"/>
  <c r="D59" i="50"/>
  <c r="E59" i="50" s="1"/>
  <c r="D58" i="50"/>
  <c r="D67" i="50"/>
  <c r="Q205" i="49" s="1"/>
  <c r="P205" i="49" s="1"/>
  <c r="E73" i="50"/>
  <c r="D69" i="50"/>
  <c r="E69" i="50" s="1"/>
  <c r="E75" i="50"/>
  <c r="D68" i="50"/>
  <c r="E68" i="50" s="1"/>
  <c r="E74" i="50"/>
  <c r="D66" i="50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Q151" i="49" s="1"/>
  <c r="P151" i="49" s="1"/>
  <c r="D90" i="50"/>
  <c r="E90" i="50" s="1"/>
  <c r="D12" i="50"/>
  <c r="Q150" i="49" s="1"/>
  <c r="P150" i="49" s="1"/>
  <c r="D89" i="50"/>
  <c r="E89" i="50" s="1"/>
  <c r="D10" i="50"/>
  <c r="D87" i="50"/>
  <c r="E87" i="50" s="1"/>
  <c r="Q201" i="49"/>
  <c r="P201" i="49" s="1"/>
  <c r="E60" i="50"/>
  <c r="Q198" i="49"/>
  <c r="P198" i="49" s="1"/>
  <c r="E61" i="50"/>
  <c r="Q199" i="49"/>
  <c r="P199" i="49" s="1"/>
  <c r="L9" i="51"/>
  <c r="S29" i="58"/>
  <c r="T29" i="58" s="1"/>
  <c r="N30" i="58"/>
  <c r="C23" i="58" s="1"/>
  <c r="AA143" i="89"/>
  <c r="AN202" i="89" l="1"/>
  <c r="AO202" i="89" s="1"/>
  <c r="D7" i="50"/>
  <c r="E77" i="50"/>
  <c r="AU278" i="89"/>
  <c r="AN199" i="89"/>
  <c r="AU275" i="89" s="1"/>
  <c r="Q226" i="49"/>
  <c r="P226" i="49" s="1"/>
  <c r="Q215" i="49"/>
  <c r="P215" i="49" s="1"/>
  <c r="Q217" i="49"/>
  <c r="P217" i="49" s="1"/>
  <c r="Q216" i="49"/>
  <c r="P216" i="49" s="1"/>
  <c r="Q219" i="49"/>
  <c r="P219" i="49" s="1"/>
  <c r="Q218" i="49"/>
  <c r="P218" i="49" s="1"/>
  <c r="AN204" i="89"/>
  <c r="AU280" i="89" s="1"/>
  <c r="Q220" i="49"/>
  <c r="P220" i="49" s="1"/>
  <c r="AN203" i="89"/>
  <c r="AU279" i="89" s="1"/>
  <c r="E72" i="50"/>
  <c r="AU277" i="89"/>
  <c r="E66" i="50"/>
  <c r="E58" i="50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E67" i="50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E12" i="50"/>
  <c r="E13" i="50"/>
  <c r="Q225" i="49"/>
  <c r="P225" i="49" s="1"/>
  <c r="E10" i="50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Q42" i="49"/>
  <c r="P42" i="49" s="1"/>
  <c r="M42" i="58"/>
  <c r="N42" i="58" s="1"/>
  <c r="M53" i="58"/>
  <c r="M58" i="58"/>
  <c r="N58" i="58" s="1"/>
  <c r="C21" i="58"/>
  <c r="M57" i="58"/>
  <c r="N57" i="58" s="1"/>
  <c r="C80" i="64" l="1"/>
  <c r="D80" i="64" s="1"/>
  <c r="E80" i="64" s="1"/>
  <c r="AN208" i="89"/>
  <c r="AN209" i="89" s="1"/>
  <c r="D5" i="50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8" i="89"/>
  <c r="AY278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M60" i="58"/>
  <c r="E23" i="58" l="1"/>
  <c r="F23" i="58" s="1"/>
  <c r="Q43" i="49" s="1"/>
  <c r="P43" i="49" s="1"/>
  <c r="AU284" i="89"/>
  <c r="C44" i="64"/>
  <c r="D44" i="64" s="1"/>
  <c r="D45" i="64"/>
  <c r="E45" i="64" s="1"/>
  <c r="AW243" i="89"/>
  <c r="AW284" i="89" s="1"/>
  <c r="AA144" i="89"/>
  <c r="AC141" i="89"/>
  <c r="AC144" i="89" s="1"/>
  <c r="AD141" i="89"/>
  <c r="L13" i="51"/>
  <c r="L14" i="51" s="1"/>
  <c r="C6" i="51" s="1"/>
  <c r="Q45" i="49"/>
  <c r="P45" i="49" s="1"/>
  <c r="L12" i="89"/>
  <c r="E24" i="58" l="1"/>
  <c r="D14" i="58" s="1"/>
  <c r="E32" i="143" s="1"/>
  <c r="F24" i="58"/>
  <c r="L73" i="39" s="1"/>
  <c r="AY243" i="89"/>
  <c r="E62" i="50"/>
  <c r="C13" i="51"/>
  <c r="O7" i="51"/>
  <c r="D17" i="64"/>
  <c r="E11" i="143" s="1"/>
  <c r="AB144" i="89"/>
  <c r="D33" i="64" l="1"/>
  <c r="AU231" i="89" s="1"/>
  <c r="M73" i="39"/>
  <c r="D15" i="58"/>
  <c r="E44" i="143"/>
  <c r="E33" i="143"/>
  <c r="Q40" i="49"/>
  <c r="P40" i="49" s="1"/>
  <c r="E52" i="143"/>
  <c r="E34" i="143"/>
  <c r="AY267" i="89"/>
  <c r="Q200" i="49"/>
  <c r="P200" i="49" s="1"/>
  <c r="E14" i="50"/>
  <c r="Q152" i="49"/>
  <c r="P152" i="49" s="1"/>
  <c r="E56" i="50"/>
  <c r="F26" i="143"/>
  <c r="Q194" i="49"/>
  <c r="P194" i="49" s="1"/>
  <c r="Q13" i="49"/>
  <c r="P13" i="49" s="1"/>
  <c r="N103" i="89"/>
  <c r="E17" i="64"/>
  <c r="F17" i="64"/>
  <c r="H42" i="39" s="1"/>
  <c r="AU222" i="89"/>
  <c r="D14" i="64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F34" i="143" l="1"/>
  <c r="Q88" i="49"/>
  <c r="P88" i="49" s="1"/>
  <c r="F52" i="143"/>
  <c r="Q39" i="49"/>
  <c r="P39" i="49" s="1"/>
  <c r="E60" i="143" s="1"/>
  <c r="F33" i="143"/>
  <c r="Q103" i="49"/>
  <c r="P103" i="49" s="1"/>
  <c r="F33" i="64"/>
  <c r="O9" i="51"/>
  <c r="O11" i="51" s="1"/>
  <c r="E33" i="64"/>
  <c r="L10" i="89" s="1"/>
  <c r="AE16" i="89"/>
  <c r="D34" i="64"/>
  <c r="E34" i="64" s="1"/>
  <c r="F44" i="143"/>
  <c r="F32" i="143"/>
  <c r="AO192" i="89"/>
  <c r="AY265" i="89"/>
  <c r="AO190" i="89"/>
  <c r="G49" i="143"/>
  <c r="G54" i="143" s="1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AU238" i="89" l="1"/>
  <c r="C5" i="64"/>
  <c r="E57" i="143" s="1"/>
  <c r="F34" i="64"/>
  <c r="Q89" i="49"/>
  <c r="P89" i="49" s="1"/>
  <c r="G26" i="143"/>
  <c r="U9" i="89"/>
  <c r="AV230" i="89"/>
  <c r="AW219" i="89"/>
  <c r="AY222" i="89"/>
  <c r="AW230" i="89"/>
  <c r="AY231" i="89"/>
  <c r="AU237" i="89"/>
  <c r="AV219" i="89"/>
  <c r="U11" i="89"/>
  <c r="AX219" i="89" l="1"/>
  <c r="AX225" i="89"/>
  <c r="AX226" i="89"/>
  <c r="T29" i="89" s="1"/>
  <c r="C7" i="64"/>
  <c r="H1" i="137" s="1"/>
  <c r="C52" i="89"/>
  <c r="C54" i="89" s="1"/>
  <c r="Q93" i="49"/>
  <c r="P93" i="49" s="1"/>
  <c r="AW240" i="89"/>
  <c r="AX238" i="89"/>
  <c r="AV238" i="89"/>
  <c r="AW238" i="89"/>
  <c r="AY230" i="89"/>
  <c r="AX223" i="89"/>
  <c r="T27" i="89" s="1"/>
  <c r="AX236" i="89"/>
  <c r="AX220" i="89"/>
  <c r="T24" i="89" s="1"/>
  <c r="AX224" i="89"/>
  <c r="AX234" i="89"/>
  <c r="AX233" i="89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H1" i="82" l="1"/>
  <c r="K1" i="50"/>
  <c r="G1" i="142"/>
  <c r="H1" i="87"/>
  <c r="Q6" i="49"/>
  <c r="P6" i="49" s="1"/>
  <c r="H1" i="25"/>
  <c r="F1" i="71"/>
  <c r="G1" i="58"/>
  <c r="I1" i="51"/>
  <c r="H1" i="61"/>
  <c r="H1" i="78"/>
  <c r="T11" i="89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E18" i="50" l="1"/>
  <c r="Q156" i="49"/>
  <c r="P156" i="49" s="1"/>
  <c r="E15" i="50" l="1"/>
  <c r="Q153" i="49"/>
  <c r="P153" i="49" s="1"/>
  <c r="E16" i="50"/>
  <c r="Q154" i="49"/>
  <c r="P154" i="49" s="1"/>
  <c r="Q155" i="49"/>
  <c r="P155" i="49" s="1"/>
  <c r="E17" i="50"/>
  <c r="E19" i="50" l="1"/>
  <c r="Q157" i="49"/>
  <c r="P157" i="49" s="1"/>
  <c r="F60" i="143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1258" i="85"/>
  <c r="C1221" i="85"/>
  <c r="C1209" i="85"/>
  <c r="C1781" i="85"/>
  <c r="C360" i="85"/>
  <c r="C1705" i="85"/>
  <c r="C440" i="85"/>
  <c r="C1016" i="85"/>
  <c r="C1937" i="85"/>
  <c r="C1902" i="85"/>
  <c r="C1983" i="85"/>
  <c r="C59" i="85"/>
  <c r="C1759" i="85"/>
  <c r="C1828" i="85"/>
  <c r="C231" i="85"/>
  <c r="C1893" i="85"/>
  <c r="C1338" i="85"/>
  <c r="C1919" i="85"/>
  <c r="C1184" i="85"/>
  <c r="C1490" i="85"/>
  <c r="C1399" i="85"/>
  <c r="C790" i="85"/>
  <c r="C53" i="85"/>
  <c r="C1215" i="85"/>
  <c r="C1512" i="85"/>
  <c r="C1801" i="85"/>
  <c r="C1849" i="85"/>
  <c r="C1101" i="85"/>
  <c r="C1663" i="85"/>
  <c r="C1822" i="85"/>
  <c r="C542" i="85"/>
  <c r="C1057" i="85"/>
  <c r="C1074" i="85"/>
  <c r="C1397" i="85"/>
  <c r="C1466" i="85"/>
  <c r="C819" i="85"/>
  <c r="C878" i="85"/>
  <c r="C1666" i="85"/>
  <c r="C972" i="85"/>
  <c r="C641" i="85"/>
  <c r="C192" i="85"/>
  <c r="C500" i="85"/>
  <c r="C912" i="85"/>
  <c r="C1358" i="85"/>
  <c r="C1005" i="85"/>
  <c r="C497" i="85"/>
  <c r="C92" i="85"/>
  <c r="C890" i="85"/>
  <c r="C1115" i="85"/>
  <c r="C963" i="85"/>
  <c r="C1800" i="85"/>
  <c r="C1496" i="85"/>
  <c r="C1216" i="85"/>
  <c r="C619" i="85"/>
  <c r="C1097" i="85"/>
  <c r="C1095" i="85"/>
  <c r="C1453" i="85"/>
  <c r="C1761" i="85"/>
  <c r="C1368" i="85"/>
  <c r="C1568" i="85"/>
  <c r="C181" i="85"/>
  <c r="C301" i="85"/>
  <c r="C1889" i="85"/>
  <c r="C51" i="85"/>
  <c r="C1418" i="85"/>
  <c r="C1161" i="85"/>
  <c r="C785" i="85"/>
  <c r="C1672" i="85"/>
  <c r="C551" i="85"/>
  <c r="C860" i="85"/>
  <c r="C1385" i="85"/>
  <c r="C623" i="85"/>
  <c r="C1953" i="85"/>
  <c r="C1657" i="85"/>
  <c r="C62" i="85"/>
  <c r="C907" i="85"/>
  <c r="C224" i="85"/>
  <c r="C643" i="85"/>
  <c r="C502" i="85"/>
  <c r="C875" i="85"/>
  <c r="C1077" i="85"/>
  <c r="C1142" i="85"/>
  <c r="C1597" i="85"/>
  <c r="C1748" i="85"/>
  <c r="C294" i="85"/>
  <c r="C1406" i="85"/>
  <c r="C1926" i="85"/>
  <c r="C814" i="85"/>
  <c r="C361" i="85"/>
  <c r="C774" i="85"/>
  <c r="C1224" i="85"/>
  <c r="C1847" i="85"/>
  <c r="C1135" i="85"/>
  <c r="C515" i="85"/>
  <c r="C174" i="85"/>
  <c r="C1987" i="85"/>
  <c r="C1650" i="85"/>
  <c r="C1373" i="85"/>
  <c r="C629" i="85"/>
  <c r="C1144" i="85"/>
  <c r="C446" i="85"/>
  <c r="C1838" i="85"/>
  <c r="C1267" i="85"/>
  <c r="C1827" i="85"/>
  <c r="C1766" i="85"/>
  <c r="C867" i="85"/>
  <c r="C476" i="85"/>
  <c r="C803" i="85"/>
  <c r="C1871" i="85"/>
  <c r="C1564" i="85"/>
  <c r="C1109" i="85"/>
  <c r="C441" i="85"/>
  <c r="C702" i="85"/>
  <c r="C1624" i="85"/>
  <c r="C1747" i="85"/>
  <c r="C228" i="85"/>
  <c r="C1473" i="85"/>
  <c r="C1344" i="85"/>
  <c r="C687" i="85"/>
  <c r="C1164" i="85"/>
  <c r="C1681" i="85"/>
  <c r="C233" i="85"/>
  <c r="C1053" i="85"/>
  <c r="C256" i="85"/>
  <c r="C261" i="85"/>
  <c r="C765" i="85"/>
  <c r="C762" i="85"/>
  <c r="C217" i="85"/>
  <c r="C1099" i="85"/>
  <c r="C1524" i="85"/>
  <c r="C916" i="85"/>
  <c r="C1255" i="85"/>
  <c r="C1607" i="85"/>
  <c r="C609" i="85"/>
  <c r="C1738" i="85"/>
  <c r="C1969" i="85"/>
  <c r="C516" i="85"/>
  <c r="C1083" i="85"/>
  <c r="C232" i="85"/>
  <c r="C1035" i="85"/>
  <c r="C979" i="85"/>
  <c r="C1273" i="85"/>
  <c r="C1921" i="85"/>
  <c r="C1158" i="85"/>
  <c r="C893" i="85"/>
  <c r="C188" i="85"/>
  <c r="C1980" i="85"/>
  <c r="C1546" i="85"/>
  <c r="C1351" i="85"/>
  <c r="C274" i="85"/>
  <c r="C676" i="85"/>
  <c r="C1134" i="85"/>
  <c r="C202" i="85"/>
  <c r="C363" i="85"/>
  <c r="C196" i="85"/>
  <c r="C1422" i="85"/>
  <c r="C1021" i="85"/>
  <c r="C1629" i="85"/>
  <c r="C418" i="85"/>
  <c r="C1155" i="85"/>
  <c r="C1437" i="85"/>
  <c r="C589" i="85"/>
  <c r="C1223" i="85"/>
  <c r="C245" i="85"/>
  <c r="C1702" i="85"/>
  <c r="C752" i="85"/>
  <c r="C1412" i="85"/>
  <c r="C592" i="85"/>
  <c r="C1600" i="85"/>
  <c r="C870" i="85"/>
  <c r="C1876" i="85"/>
  <c r="C450" i="85"/>
  <c r="C1367" i="85"/>
  <c r="C1289" i="85"/>
  <c r="C975" i="85"/>
  <c r="C276" i="85"/>
  <c r="C1146" i="85"/>
  <c r="C1151" i="85"/>
  <c r="C1434" i="85"/>
  <c r="C184" i="85"/>
  <c r="C262" i="85"/>
  <c r="C810" i="85"/>
  <c r="C1537" i="85"/>
  <c r="C247" i="85"/>
  <c r="C523" i="85"/>
  <c r="C1275" i="85"/>
  <c r="C80" i="85"/>
  <c r="C1923" i="85"/>
  <c r="C1478" i="85"/>
  <c r="C1013" i="85"/>
  <c r="C484" i="85"/>
  <c r="C1826" i="85"/>
  <c r="C1559" i="85"/>
  <c r="C43" i="85"/>
  <c r="C1124" i="85"/>
  <c r="C934" i="85"/>
  <c r="C1079" i="85"/>
  <c r="C1915" i="85"/>
  <c r="C1772" i="85"/>
  <c r="C1054" i="85"/>
  <c r="C436" i="85"/>
  <c r="C1029" i="85"/>
  <c r="C250" i="85"/>
  <c r="C258" i="85"/>
  <c r="C374" i="85"/>
  <c r="C817" i="85"/>
  <c r="C1615" i="85"/>
  <c r="C773" i="85"/>
  <c r="C1181" i="85"/>
  <c r="C801" i="85"/>
  <c r="C1278" i="85"/>
  <c r="C549" i="85"/>
  <c r="C1881" i="85"/>
  <c r="C532" i="85"/>
  <c r="C1141" i="85"/>
  <c r="C74" i="85"/>
  <c r="C1557" i="85"/>
  <c r="C1069" i="85"/>
  <c r="C1995" i="85"/>
  <c r="C610" i="85"/>
  <c r="C1858" i="85"/>
  <c r="C427" i="85"/>
  <c r="C1194" i="85"/>
  <c r="C452" i="85"/>
  <c r="C176" i="85"/>
  <c r="C1545" i="85"/>
  <c r="C881" i="85"/>
  <c r="C1525" i="85"/>
  <c r="C1982" i="85"/>
  <c r="C1140" i="85"/>
  <c r="C1531" i="85"/>
  <c r="C457" i="85"/>
  <c r="C1958" i="85"/>
  <c r="C485" i="85"/>
  <c r="C927" i="85"/>
  <c r="C874" i="85"/>
  <c r="C667" i="85"/>
  <c r="C1547" i="85"/>
  <c r="C1187" i="85"/>
  <c r="C1113" i="85"/>
  <c r="C678" i="85"/>
  <c r="C1867" i="85"/>
  <c r="C804" i="85"/>
  <c r="C1231" i="85"/>
  <c r="C1506" i="85"/>
  <c r="C1760" i="85"/>
  <c r="C1017" i="85"/>
  <c r="C279" i="85"/>
  <c r="C820" i="85"/>
  <c r="C602" i="85"/>
  <c r="C809" i="85"/>
  <c r="C311" i="85"/>
  <c r="C1831" i="85"/>
  <c r="C738" i="85"/>
  <c r="C234" i="85"/>
  <c r="C1977" i="85"/>
  <c r="C646" i="85"/>
  <c r="C229" i="85"/>
  <c r="C1212" i="85"/>
  <c r="C35" i="85"/>
  <c r="C1830" i="85"/>
  <c r="C1042" i="85"/>
  <c r="C852" i="85"/>
  <c r="C1300" i="85"/>
  <c r="C1667" i="85"/>
  <c r="C372" i="85"/>
  <c r="C1117" i="85"/>
  <c r="C1479" i="85"/>
  <c r="C438" i="85"/>
  <c r="C1984" i="85"/>
  <c r="C377" i="85"/>
  <c r="C223" i="85"/>
  <c r="C1269" i="85"/>
  <c r="C1468" i="85"/>
  <c r="C426" i="85"/>
  <c r="C727" i="85"/>
  <c r="C1660" i="85"/>
  <c r="C1914" i="85"/>
  <c r="C1241" i="85"/>
  <c r="C1475" i="85"/>
  <c r="C1971" i="85"/>
  <c r="C630" i="85"/>
  <c r="C788" i="85"/>
  <c r="C1106" i="85"/>
  <c r="C1457" i="85"/>
  <c r="C980" i="85"/>
  <c r="C995" i="85"/>
  <c r="C29" i="85"/>
  <c r="C410" i="85"/>
  <c r="C315" i="85"/>
  <c r="C1383" i="85"/>
  <c r="C350" i="85"/>
  <c r="C1414" i="85"/>
  <c r="C535" i="85"/>
  <c r="C1264" i="85"/>
  <c r="C1500" i="85"/>
  <c r="C648" i="85"/>
  <c r="C698" i="85"/>
  <c r="C1118" i="85"/>
  <c r="C876" i="85"/>
  <c r="C466" i="85"/>
  <c r="C215" i="85"/>
  <c r="C1630" i="85"/>
  <c r="C695" i="85"/>
  <c r="C275" i="85"/>
  <c r="C1354" i="85"/>
  <c r="C1238" i="85"/>
  <c r="C1298" i="85"/>
  <c r="C1235" i="85"/>
  <c r="C178" i="85"/>
  <c r="C406" i="85"/>
  <c r="C1326" i="85"/>
  <c r="C682" i="85"/>
  <c r="C1859" i="85"/>
  <c r="C1265" i="85"/>
  <c r="C1837" i="85"/>
  <c r="C744" i="85"/>
  <c r="C1446" i="85"/>
  <c r="C527" i="85"/>
  <c r="C1023" i="85"/>
  <c r="C764" i="85"/>
  <c r="C970" i="85"/>
  <c r="C615" i="85"/>
  <c r="C1333" i="85"/>
  <c r="C1586" i="85"/>
  <c r="C1529" i="85"/>
  <c r="C1707" i="85"/>
  <c r="C1162" i="85"/>
  <c r="C170" i="85"/>
  <c r="C1732" i="85"/>
  <c r="C924" i="85"/>
  <c r="C1610" i="85"/>
  <c r="C1758" i="85"/>
  <c r="C1649" i="85"/>
  <c r="C680" i="85"/>
  <c r="C1998" i="85"/>
  <c r="C490" i="85"/>
  <c r="C1843" i="85"/>
  <c r="C420" i="85"/>
  <c r="C518" i="85"/>
  <c r="C344" i="85"/>
  <c r="C320" i="85"/>
  <c r="C1433" i="85"/>
  <c r="C1757" i="85"/>
  <c r="C1751" i="85"/>
  <c r="C580" i="85"/>
  <c r="C168" i="85"/>
  <c r="C1566" i="85"/>
  <c r="C287" i="85"/>
  <c r="C605" i="85"/>
  <c r="C1217" i="85"/>
  <c r="C868" i="85"/>
  <c r="C1523" i="85"/>
  <c r="C1565" i="85"/>
  <c r="C175" i="85"/>
  <c r="C464" i="85"/>
  <c r="C1527" i="85"/>
  <c r="C1561" i="85"/>
  <c r="C1290" i="85"/>
  <c r="C1728" i="85"/>
  <c r="C1832" i="85"/>
  <c r="C757" i="85"/>
  <c r="C857" i="85"/>
  <c r="C463" i="85"/>
  <c r="C720" i="85"/>
  <c r="C921" i="85"/>
  <c r="C1823" i="85"/>
  <c r="C918" i="85"/>
  <c r="C421" i="85"/>
  <c r="C1248" i="85"/>
  <c r="C511" i="85"/>
  <c r="C434" i="85"/>
  <c r="C1365" i="85"/>
  <c r="C1447" i="85"/>
  <c r="C894" i="85"/>
  <c r="C812" i="85"/>
  <c r="C816" i="85"/>
  <c r="C368" i="85"/>
  <c r="C822" i="85"/>
  <c r="C1028" i="85"/>
  <c r="C1026" i="85"/>
  <c r="C1443" i="85"/>
  <c r="C331" i="85"/>
  <c r="C848" i="85"/>
  <c r="C64" i="85"/>
  <c r="C439" i="85"/>
  <c r="C1723" i="85"/>
  <c r="C813" i="85"/>
  <c r="C1834" i="85"/>
  <c r="C1038" i="85"/>
  <c r="C503" i="85"/>
  <c r="C1810" i="85"/>
  <c r="C1172" i="85"/>
  <c r="C451" i="85"/>
  <c r="C948" i="85"/>
  <c r="C1362" i="85"/>
  <c r="C1966" i="85"/>
  <c r="C665" i="85"/>
  <c r="C481" i="85"/>
  <c r="C201" i="85"/>
  <c r="C699" i="85"/>
  <c r="C791" i="85"/>
  <c r="C1900" i="85"/>
  <c r="C1754" i="85"/>
  <c r="C1852" i="85"/>
  <c r="C1481" i="85"/>
  <c r="C1000" i="85"/>
  <c r="C302" i="85"/>
  <c r="C1050" i="85"/>
  <c r="C1851" i="85"/>
  <c r="C631" i="85"/>
  <c r="C1802" i="85"/>
  <c r="C1962" i="85"/>
  <c r="C677" i="85"/>
  <c r="C425" i="85"/>
  <c r="C1425" i="85"/>
  <c r="C569" i="85"/>
  <c r="C1621" i="85"/>
  <c r="C1491" i="85"/>
  <c r="C498" i="85"/>
  <c r="C823" i="85"/>
  <c r="C563" i="85"/>
  <c r="C407" i="85"/>
  <c r="C1087" i="85"/>
  <c r="C588" i="85"/>
  <c r="C47" i="85"/>
  <c r="C903" i="85"/>
  <c r="C248" i="85"/>
  <c r="C663" i="85"/>
  <c r="C1593" i="85"/>
  <c r="C459" i="85"/>
  <c r="C624" i="85"/>
  <c r="C1207" i="85"/>
  <c r="C1295" i="85"/>
  <c r="C1999" i="85"/>
  <c r="C169" i="85"/>
  <c r="C1664" i="85"/>
  <c r="C1679" i="85"/>
  <c r="C1743" i="85"/>
  <c r="C326" i="85"/>
  <c r="C85" i="85"/>
  <c r="C983" i="85"/>
  <c r="C1596" i="85"/>
  <c r="C210" i="85"/>
  <c r="C1842" i="85"/>
  <c r="C777" i="85"/>
  <c r="C1186" i="85"/>
  <c r="C1739" i="85"/>
  <c r="C1032" i="85"/>
  <c r="C753" i="85"/>
  <c r="C520" i="85"/>
  <c r="C612" i="85"/>
  <c r="C213" i="85"/>
  <c r="C843" i="85"/>
  <c r="C1618" i="85"/>
  <c r="C1873" i="85"/>
  <c r="C1456" i="85"/>
  <c r="C1487" i="85"/>
  <c r="C1294" i="85"/>
  <c r="C582" i="85"/>
  <c r="C607" i="85"/>
  <c r="C1727" i="85"/>
  <c r="C1994" i="85"/>
  <c r="C259" i="85"/>
  <c r="C264" i="85"/>
  <c r="C1685" i="85"/>
  <c r="C769" i="85"/>
  <c r="C1956" i="85"/>
  <c r="C923" i="85"/>
  <c r="C1091" i="85"/>
  <c r="C465" i="85"/>
  <c r="C1339" i="85"/>
  <c r="C1636" i="85"/>
  <c r="C1885" i="85"/>
  <c r="C1384" i="85"/>
  <c r="C724" i="85"/>
  <c r="C1282" i="85"/>
  <c r="C965" i="85"/>
  <c r="C1329" i="85"/>
  <c r="C806" i="85"/>
  <c r="C1572" i="85"/>
  <c r="C859" i="85"/>
  <c r="C1190" i="85"/>
  <c r="C1280" i="85"/>
  <c r="C1001" i="85"/>
  <c r="C1122" i="85"/>
  <c r="C841" i="85"/>
  <c r="C392" i="85"/>
  <c r="C922" i="85"/>
  <c r="C454" i="85"/>
  <c r="C1818" i="85"/>
  <c r="C1733" i="85"/>
  <c r="C191" i="85"/>
  <c r="C1085" i="85"/>
  <c r="C1633" i="85"/>
  <c r="C1307" i="85"/>
  <c r="C1202" i="85"/>
  <c r="C964" i="85"/>
  <c r="C1313" i="85"/>
  <c r="C263" i="85"/>
  <c r="C1895" i="85"/>
  <c r="C751" i="85"/>
  <c r="C1322" i="85"/>
  <c r="C1516" i="85"/>
  <c r="C566" i="85"/>
  <c r="C244" i="85"/>
  <c r="C1092" i="85"/>
  <c r="C1744" i="85"/>
  <c r="C1882" i="85"/>
  <c r="C411" i="85"/>
  <c r="C1726" i="85"/>
  <c r="C997" i="85"/>
  <c r="C314" i="85"/>
  <c r="C1750" i="85"/>
  <c r="C458" i="85"/>
  <c r="C1173" i="85"/>
  <c r="C1939" i="85"/>
  <c r="C1193" i="85"/>
  <c r="C1352" i="85"/>
  <c r="C636" i="85"/>
  <c r="C872" i="85"/>
  <c r="C947" i="85"/>
  <c r="C1584" i="85"/>
  <c r="C721" i="85"/>
  <c r="C574" i="85"/>
  <c r="C1247" i="85"/>
  <c r="C1420" i="85"/>
  <c r="C1287" i="85"/>
  <c r="C1325" i="85"/>
  <c r="C1463" i="85"/>
  <c r="C787" i="85"/>
  <c r="C1211" i="85"/>
  <c r="C1198" i="85"/>
  <c r="C1693" i="85"/>
  <c r="C1945" i="85"/>
  <c r="C1096" i="85"/>
  <c r="C1349" i="85"/>
  <c r="C340" i="85"/>
  <c r="C1064" i="85"/>
  <c r="C1595" i="85"/>
  <c r="C583" i="85"/>
  <c r="C1668" i="85"/>
  <c r="C1866" i="85"/>
  <c r="C1874" i="85"/>
  <c r="C1034" i="85"/>
  <c r="C299" i="85"/>
  <c r="C1704" i="85"/>
  <c r="C950" i="85"/>
  <c r="C1364" i="85"/>
  <c r="C1865" i="85"/>
  <c r="C939" i="85"/>
  <c r="C805" i="85"/>
  <c r="C289" i="85"/>
  <c r="C768" i="85"/>
  <c r="C1486" i="85"/>
  <c r="C1665" i="85"/>
  <c r="C1884" i="85"/>
  <c r="C1068" i="85"/>
  <c r="C1340" i="85"/>
  <c r="C1567" i="85"/>
  <c r="C52" i="85"/>
  <c r="C1526" i="85"/>
  <c r="C1377" i="85"/>
  <c r="C599" i="85"/>
  <c r="C1229" i="85"/>
  <c r="C1786" i="85"/>
  <c r="C578" i="85"/>
  <c r="C560" i="85"/>
  <c r="C1510" i="85"/>
  <c r="C375" i="85"/>
  <c r="C717" i="85"/>
  <c r="C564" i="85"/>
  <c r="C389" i="85"/>
  <c r="C1129" i="85"/>
  <c r="C1504" i="85"/>
  <c r="C1616" i="85"/>
  <c r="C1763" i="85"/>
  <c r="C1829" i="85"/>
  <c r="C508" i="85"/>
  <c r="C1343" i="85"/>
  <c r="C1304" i="85"/>
  <c r="C1469" i="85"/>
  <c r="C1892" i="85"/>
  <c r="C807" i="85"/>
  <c r="C524" i="85"/>
  <c r="C225" i="85"/>
  <c r="C1697" i="85"/>
  <c r="C453" i="85"/>
  <c r="C364" i="85"/>
  <c r="C1459" i="85"/>
  <c r="C858" i="85"/>
  <c r="C956" i="85"/>
  <c r="C1102" i="85"/>
  <c r="C1424" i="85"/>
  <c r="C1720" i="85"/>
  <c r="C587" i="85"/>
  <c r="C1200" i="85"/>
  <c r="C83" i="85"/>
  <c r="C1335" i="85"/>
  <c r="C1587" i="85"/>
  <c r="C771" i="85"/>
  <c r="C898" i="85"/>
  <c r="C1890" i="85"/>
  <c r="C1407" i="85"/>
  <c r="C177" i="85"/>
  <c r="C889" i="85"/>
  <c r="C537" i="85"/>
  <c r="C1686" i="85"/>
  <c r="C887" i="85"/>
  <c r="C603" i="85"/>
  <c r="C1594" i="85"/>
  <c r="C1454" i="85"/>
  <c r="C205" i="85"/>
  <c r="C1661" i="85"/>
  <c r="C1292" i="85"/>
  <c r="C1798" i="85"/>
  <c r="C182" i="85"/>
  <c r="C510" i="85"/>
  <c r="C928" i="85"/>
  <c r="C1222" i="85"/>
  <c r="C194" i="85"/>
  <c r="C1494" i="85"/>
  <c r="C1082" i="85"/>
  <c r="C1908" i="85"/>
  <c r="C940" i="85"/>
  <c r="C1927" i="85"/>
  <c r="C1324" i="85"/>
  <c r="C1387" i="85"/>
  <c r="C1870" i="85"/>
  <c r="C1864" i="85"/>
  <c r="C414" i="85"/>
  <c r="C1281" i="85"/>
  <c r="C1611" i="85"/>
  <c r="C938" i="85"/>
  <c r="C1782" i="85"/>
  <c r="C1796" i="85"/>
  <c r="C1951" i="85"/>
  <c r="C735" i="85"/>
  <c r="C1266" i="85"/>
  <c r="C525" i="85"/>
  <c r="C1988" i="85"/>
  <c r="C990" i="85"/>
  <c r="C782" i="85"/>
  <c r="C1065" i="85"/>
  <c r="C986" i="85"/>
  <c r="C1816" i="85"/>
  <c r="C1293" i="85"/>
  <c r="C659" i="85"/>
  <c r="C386" i="85"/>
  <c r="C371" i="85"/>
  <c r="C741" i="85"/>
  <c r="C1041" i="85"/>
  <c r="C1137" i="85"/>
  <c r="C554" i="85"/>
  <c r="C869" i="85"/>
  <c r="C430" i="85"/>
  <c r="C1774" i="85"/>
  <c r="C444" i="85"/>
  <c r="C1470" i="85"/>
  <c r="C1742" i="85"/>
  <c r="C173" i="85"/>
  <c r="C611" i="85"/>
  <c r="C844" i="85"/>
  <c r="C1121" i="85"/>
  <c r="C900" i="85"/>
  <c r="C1252" i="85"/>
  <c r="C1647" i="85"/>
  <c r="C917" i="85"/>
  <c r="C1821" i="85"/>
  <c r="C1402" i="85"/>
  <c r="C1917" i="85"/>
  <c r="C552" i="85"/>
  <c r="C1395" i="85"/>
  <c r="C586" i="85"/>
  <c r="C1316" i="85"/>
  <c r="C332" i="85"/>
  <c r="C246" i="85"/>
  <c r="C1765" i="85"/>
  <c r="C1907" i="85"/>
  <c r="C1671" i="85"/>
  <c r="C387" i="85"/>
  <c r="C544" i="85"/>
  <c r="C1439" i="85"/>
  <c r="C1904" i="85"/>
  <c r="C300" i="85"/>
  <c r="C507" i="85"/>
  <c r="C635" i="85"/>
  <c r="C1067" i="85"/>
  <c r="C312" i="85"/>
  <c r="C1533" i="85"/>
  <c r="C1455" i="85"/>
  <c r="C1024" i="85"/>
  <c r="C767" i="85"/>
  <c r="C960" i="85"/>
  <c r="C318" i="85"/>
  <c r="C471" i="85"/>
  <c r="C343" i="85"/>
  <c r="C941" i="85"/>
  <c r="C190" i="85"/>
  <c r="C1256" i="85"/>
  <c r="C517" i="85"/>
  <c r="C1952" i="85"/>
  <c r="C942" i="85"/>
  <c r="C388" i="85"/>
  <c r="C1700" i="85"/>
  <c r="C1755" i="85"/>
  <c r="C124" i="85"/>
  <c r="C1157" i="85"/>
  <c r="C776" i="85"/>
  <c r="C1769" i="85"/>
  <c r="C394" i="85"/>
  <c r="C1734" i="85"/>
  <c r="C493" i="85"/>
  <c r="C909" i="85"/>
  <c r="C1291" i="85"/>
  <c r="C944" i="85"/>
  <c r="C1532" i="85"/>
  <c r="C1361" i="85"/>
  <c r="C1887" i="85"/>
  <c r="C1301" i="85"/>
  <c r="C1888" i="85"/>
  <c r="C495" i="85"/>
  <c r="C61" i="85"/>
  <c r="C1964" i="85"/>
  <c r="C558" i="85"/>
  <c r="C1571" i="85"/>
  <c r="C1655" i="85"/>
  <c r="C825" i="85"/>
  <c r="C172" i="85"/>
  <c r="C1669" i="85"/>
  <c r="C1081" i="85"/>
  <c r="C681" i="85"/>
  <c r="C1448" i="85"/>
  <c r="C1935" i="85"/>
  <c r="C747" i="85"/>
  <c r="C1991" i="85"/>
  <c r="C1730" i="85"/>
  <c r="C298" i="85"/>
  <c r="C1107" i="85"/>
  <c r="C408" i="85"/>
  <c r="C419" i="85"/>
  <c r="C68" i="85"/>
  <c r="C1922" i="85"/>
  <c r="C349" i="85"/>
  <c r="C473" i="85"/>
  <c r="C1014" i="85"/>
  <c r="C1369" i="85"/>
  <c r="C896" i="85"/>
  <c r="C409" i="85"/>
  <c r="C1651" i="85"/>
  <c r="C1737" i="85"/>
  <c r="C713" i="85"/>
  <c r="C1787" i="85"/>
  <c r="C1323" i="85"/>
  <c r="C1846" i="85"/>
  <c r="C1880" i="85"/>
  <c r="C1055" i="85"/>
  <c r="C951" i="85"/>
  <c r="C559" i="85"/>
  <c r="C221" i="85"/>
  <c r="C283" i="85"/>
  <c r="C976" i="85"/>
  <c r="C794" i="85"/>
  <c r="C75" i="85"/>
  <c r="C618" i="85"/>
  <c r="C1569" i="85"/>
  <c r="C1690" i="85"/>
  <c r="C555" i="85"/>
  <c r="C1793" i="85"/>
  <c r="C1396" i="85"/>
  <c r="C1257" i="85"/>
  <c r="C925" i="85"/>
  <c r="C1752" i="85"/>
  <c r="C335" i="85"/>
  <c r="C65" i="85"/>
  <c r="C489" i="85"/>
  <c r="C1317" i="85"/>
  <c r="C1080" i="85"/>
  <c r="C211" i="85"/>
  <c r="C1429" i="85"/>
  <c r="C849" i="85"/>
  <c r="C943" i="85"/>
  <c r="C48" i="85"/>
  <c r="C797" i="85"/>
  <c r="C656" i="85"/>
  <c r="C1807" i="85"/>
  <c r="C760" i="85"/>
  <c r="C1421" i="85"/>
  <c r="C443" i="85"/>
  <c r="C905" i="85"/>
  <c r="C251" i="85"/>
  <c r="C669" i="85"/>
  <c r="C961" i="85"/>
  <c r="C855" i="85"/>
  <c r="C391" i="85"/>
  <c r="C432" i="85"/>
  <c r="C308" i="85"/>
  <c r="C199" i="85"/>
  <c r="C1071" i="85"/>
  <c r="C1027" i="85"/>
  <c r="C220" i="85"/>
  <c r="C1599" i="85"/>
  <c r="C1505" i="85"/>
  <c r="C1896" i="85"/>
  <c r="C1427" i="85"/>
  <c r="C1150" i="85"/>
  <c r="C594" i="85"/>
  <c r="C1143" i="85"/>
  <c r="C1036" i="85"/>
  <c r="C706" i="85"/>
  <c r="C866" i="85"/>
  <c r="C1430" i="85"/>
  <c r="C1271" i="85"/>
  <c r="C836" i="85"/>
  <c r="C379" i="85"/>
  <c r="C1965" i="85"/>
  <c r="C838" i="85"/>
  <c r="C378" i="85"/>
  <c r="C937" i="85"/>
  <c r="C835" i="85"/>
  <c r="C403" i="85"/>
  <c r="C1225" i="85"/>
  <c r="C861" i="85"/>
  <c r="C1123" i="85"/>
  <c r="C1319" i="85"/>
  <c r="C1450" i="85"/>
  <c r="C1603" i="85"/>
  <c r="C1116" i="85"/>
  <c r="C1243" i="85"/>
  <c r="C93" i="85"/>
  <c r="C914" i="85"/>
  <c r="C910" i="85"/>
  <c r="C1981" i="85"/>
  <c r="C1480" i="85"/>
  <c r="C1680" i="85"/>
  <c r="C1139" i="85"/>
  <c r="C1974" i="85"/>
  <c r="C1558" i="85"/>
  <c r="C1059" i="85"/>
  <c r="C81" i="85"/>
  <c r="C230" i="85"/>
  <c r="C41" i="85"/>
  <c r="C470" i="85"/>
  <c r="C543" i="85"/>
  <c r="C644" i="85"/>
  <c r="C1066" i="85"/>
  <c r="C50" i="85"/>
  <c r="C962" i="85"/>
  <c r="C1790" i="85"/>
  <c r="C1575" i="85"/>
  <c r="C829" i="85"/>
  <c r="C749" i="85"/>
  <c r="C505" i="85"/>
  <c r="C718" i="85"/>
  <c r="C1262" i="85"/>
  <c r="C901" i="85"/>
  <c r="C1601" i="85"/>
  <c r="C1020" i="85"/>
  <c r="C380" i="85"/>
  <c r="C1928" i="85"/>
  <c r="C1536" i="85"/>
  <c r="C472" i="85"/>
  <c r="C567" i="85"/>
  <c r="C1201" i="85"/>
  <c r="C1577" i="85"/>
  <c r="C189" i="85"/>
  <c r="C1196" i="85"/>
  <c r="C255" i="85"/>
  <c r="C1764" i="85"/>
  <c r="C1018" i="85"/>
  <c r="C1609" i="85"/>
  <c r="C243" i="85"/>
  <c r="C1799" i="85"/>
  <c r="C1691" i="85"/>
  <c r="C601" i="85"/>
  <c r="C1060" i="85"/>
  <c r="C1931" i="85"/>
  <c r="C249" i="85"/>
  <c r="C1451" i="85"/>
  <c r="C253" i="85"/>
  <c r="C1778" i="85"/>
  <c r="C1812" i="85"/>
  <c r="C748" i="85"/>
  <c r="C1321" i="85"/>
  <c r="C1108" i="85"/>
  <c r="C1482" i="85"/>
  <c r="C442" i="85"/>
  <c r="C540" i="85"/>
  <c r="C1835" i="85"/>
  <c r="C627" i="85"/>
  <c r="C1862" i="85"/>
  <c r="C1153" i="85"/>
  <c r="C282" i="85"/>
  <c r="C1906" i="85"/>
  <c r="C573" i="85"/>
  <c r="C1519" i="85"/>
  <c r="C763" i="85"/>
  <c r="C1556" i="85"/>
  <c r="C1839" i="85"/>
  <c r="C1098" i="85"/>
  <c r="C1905" i="85"/>
  <c r="C1940" i="85"/>
  <c r="C1528" i="85"/>
  <c r="C1484" i="85"/>
  <c r="C686" i="85"/>
  <c r="C204" i="85"/>
  <c r="C1642" i="85"/>
  <c r="C1495" i="85"/>
  <c r="C579" i="85"/>
  <c r="C1840" i="85"/>
  <c r="C529" i="85"/>
  <c r="C475" i="85"/>
  <c r="C428" i="85"/>
  <c r="C1692" i="85"/>
  <c r="C958" i="85"/>
  <c r="C689" i="85"/>
  <c r="C1283" i="85"/>
  <c r="C1740" i="85"/>
  <c r="C696" i="85"/>
  <c r="C1288" i="85"/>
  <c r="C1452" i="85"/>
  <c r="C571" i="85"/>
  <c r="C1233" i="85"/>
  <c r="C1910" i="85"/>
  <c r="C1483" i="85"/>
  <c r="C998" i="85"/>
  <c r="C1394" i="85"/>
  <c r="C1461" i="85"/>
  <c r="C1391" i="85"/>
  <c r="C1415" i="85"/>
  <c r="C1538" i="85"/>
  <c r="C1442" i="85"/>
  <c r="C1464" i="85"/>
  <c r="C674" i="85"/>
  <c r="C946" i="85"/>
  <c r="C926" i="85"/>
  <c r="C521" i="85"/>
  <c r="C625" i="85"/>
  <c r="C278" i="85"/>
  <c r="C185" i="85"/>
  <c r="C1699" i="85"/>
  <c r="C1203" i="85"/>
  <c r="C1875" i="85"/>
  <c r="C1694" i="85"/>
  <c r="C338" i="85"/>
  <c r="C1103" i="85"/>
  <c r="C1305" i="85"/>
  <c r="C1375" i="85"/>
  <c r="C834" i="85"/>
  <c r="C1886" i="85"/>
  <c r="C818" i="85"/>
  <c r="C1503" i="85"/>
  <c r="C1166" i="85"/>
  <c r="C1476" i="85"/>
  <c r="C1199" i="85"/>
  <c r="C639" i="85"/>
  <c r="C690" i="85"/>
  <c r="C911" i="85"/>
  <c r="C1185" i="85"/>
  <c r="C884" i="85"/>
  <c r="C1975" i="85"/>
  <c r="C1112" i="85"/>
  <c r="C1712" i="85"/>
  <c r="C1236" i="85"/>
  <c r="C1416" i="85"/>
  <c r="C877" i="85"/>
  <c r="C906" i="85"/>
  <c r="C800" i="85"/>
  <c r="C1031" i="85"/>
  <c r="C351" i="85"/>
  <c r="C352" i="85"/>
  <c r="C730" i="85"/>
  <c r="C811" i="85"/>
  <c r="C1598" i="85"/>
  <c r="C1261" i="85"/>
  <c r="C327" i="85"/>
  <c r="C988" i="85"/>
  <c r="C1745" i="85"/>
  <c r="C468" i="85"/>
  <c r="C1348" i="85"/>
  <c r="C1100" i="85"/>
  <c r="C985" i="85"/>
  <c r="C1929" i="85"/>
  <c r="C977" i="85"/>
  <c r="C1138" i="85"/>
  <c r="C832" i="85"/>
  <c r="C534" i="85"/>
  <c r="C1627" i="85"/>
  <c r="C863" i="85"/>
  <c r="C966" i="85"/>
  <c r="C1549" i="85"/>
  <c r="C1813" i="85"/>
  <c r="C1379" i="85"/>
  <c r="C851" i="85"/>
  <c r="C227" i="85"/>
  <c r="C1775" i="85"/>
  <c r="C512" i="85"/>
  <c r="C416" i="85"/>
  <c r="C1803" i="85"/>
  <c r="C899" i="85"/>
  <c r="C1891" i="85"/>
  <c r="C1413" i="85"/>
  <c r="C565" i="85"/>
  <c r="C1590" i="85"/>
  <c r="C180" i="85"/>
  <c r="C239" i="85"/>
  <c r="C1404" i="85"/>
  <c r="C996" i="85"/>
  <c r="C596" i="85"/>
  <c r="C1520" i="85"/>
  <c r="C1806" i="85"/>
  <c r="C1677" i="85"/>
  <c r="C1160" i="85"/>
  <c r="C1366" i="85"/>
  <c r="C1353" i="85"/>
  <c r="C671" i="85"/>
  <c r="C672" i="85"/>
  <c r="C1719" i="85"/>
  <c r="C219" i="85"/>
  <c r="C1773" i="85"/>
  <c r="C1819" i="85"/>
  <c r="C362" i="85"/>
  <c r="C200" i="85"/>
  <c r="C1942" i="85"/>
  <c r="C1961" i="85"/>
  <c r="C1477" i="85"/>
  <c r="C1195" i="85"/>
  <c r="C333" i="85"/>
  <c r="C310" i="85"/>
  <c r="C743" i="85"/>
  <c r="C754" i="85"/>
  <c r="C653" i="85"/>
  <c r="C654" i="85"/>
  <c r="C908" i="85"/>
  <c r="C1350" i="85"/>
  <c r="C1508" i="85"/>
  <c r="C971" i="85"/>
  <c r="C1169" i="85"/>
  <c r="C886" i="85"/>
  <c r="C793" i="85"/>
  <c r="C1916" i="85"/>
  <c r="C1620" i="85"/>
  <c r="C1784" i="85"/>
  <c r="C1555" i="85"/>
  <c r="C203" i="85"/>
  <c r="C1332" i="85"/>
  <c r="C1189" i="85"/>
  <c r="C1901" i="85"/>
  <c r="C1063" i="85"/>
  <c r="C710" i="85"/>
  <c r="C1114" i="85"/>
  <c r="C770" i="85"/>
  <c r="C1658" i="85"/>
  <c r="C207" i="85"/>
  <c r="C732" i="85"/>
  <c r="C633" i="85"/>
  <c r="C725" i="85"/>
  <c r="C257" i="85"/>
  <c r="C1449" i="85"/>
  <c r="C756" i="85"/>
  <c r="C91" i="85"/>
  <c r="C456" i="85"/>
  <c r="C187" i="85"/>
  <c r="C1253" i="85"/>
  <c r="C716" i="85"/>
  <c r="C195" i="85"/>
  <c r="C1438" i="85"/>
  <c r="C1706" i="85"/>
  <c r="C775" i="85"/>
  <c r="C862" i="85"/>
  <c r="C496" i="85"/>
  <c r="C398" i="85"/>
  <c r="C1302" i="85"/>
  <c r="C488" i="85"/>
  <c r="C514" i="85"/>
  <c r="C692" i="85"/>
  <c r="C1619" i="85"/>
  <c r="C40" i="85"/>
  <c r="C1084" i="85"/>
  <c r="C1941" i="85"/>
  <c r="C704" i="85"/>
  <c r="C304" i="85"/>
  <c r="C723" i="85"/>
  <c r="C697" i="85"/>
  <c r="C668" i="85"/>
  <c r="C290" i="85"/>
  <c r="C1228" i="85"/>
  <c r="C837" i="85"/>
  <c r="C448" i="85"/>
  <c r="C992" i="85"/>
  <c r="C953" i="85"/>
  <c r="C987" i="85"/>
  <c r="C1860" i="85"/>
  <c r="C1411" i="85"/>
  <c r="C1197" i="85"/>
  <c r="C647" i="85"/>
  <c r="C1314" i="85"/>
  <c r="C1993" i="85"/>
  <c r="C1855" i="85"/>
  <c r="C198" i="85"/>
  <c r="C709" i="85"/>
  <c r="C1850" i="85"/>
  <c r="C291" i="85"/>
  <c r="C708" i="85"/>
  <c r="C355" i="85"/>
  <c r="C1467" i="85"/>
  <c r="C1670" i="85"/>
  <c r="C1039" i="85"/>
  <c r="C49" i="85"/>
  <c r="C1522" i="85"/>
  <c r="C1695" i="85"/>
  <c r="C1239" i="85"/>
  <c r="C1868" i="85"/>
  <c r="C415" i="85"/>
  <c r="C593" i="85"/>
  <c r="C1986" i="85"/>
  <c r="C1444" i="85"/>
  <c r="C606" i="85"/>
  <c r="C632" i="85"/>
  <c r="C936" i="85"/>
  <c r="C1767" i="85"/>
  <c r="C731" i="85"/>
  <c r="C339" i="85"/>
  <c r="C1725" i="85"/>
  <c r="C616" i="85"/>
  <c r="C1637" i="85"/>
  <c r="C1012" i="85"/>
  <c r="C347" i="85"/>
  <c r="C802" i="85"/>
  <c r="C808" i="85"/>
  <c r="C541" i="85"/>
  <c r="C864" i="85"/>
  <c r="C531" i="85"/>
  <c r="C824" i="85"/>
  <c r="C595" i="85"/>
  <c r="C1471" i="85"/>
  <c r="C1073" i="85"/>
  <c r="C1072" i="85"/>
  <c r="C384" i="85"/>
  <c r="C1542" i="85"/>
  <c r="C786" i="85"/>
  <c r="C705" i="85"/>
  <c r="C1785" i="85"/>
  <c r="C1578" i="85"/>
  <c r="C1009" i="85"/>
  <c r="C662" i="85"/>
  <c r="C222" i="85"/>
  <c r="C1015" i="85"/>
  <c r="C1820" i="85"/>
  <c r="C1010" i="85"/>
  <c r="C568" i="85"/>
  <c r="C830" i="85"/>
  <c r="C530" i="85"/>
  <c r="C404" i="85"/>
  <c r="C305" i="85"/>
  <c r="C477" i="85"/>
  <c r="C1250" i="85"/>
  <c r="C891" i="85"/>
  <c r="C553" i="85"/>
  <c r="C1218" i="85"/>
  <c r="C1372" i="85"/>
  <c r="C1749" i="85"/>
  <c r="C974" i="85"/>
  <c r="C58" i="85"/>
  <c r="C1355" i="85"/>
  <c r="C1220" i="85"/>
  <c r="C1489" i="85"/>
  <c r="C235" i="85"/>
  <c r="C33" i="85"/>
  <c r="C28" i="85"/>
  <c r="C212" i="85"/>
  <c r="C1245" i="85"/>
  <c r="C1622" i="85"/>
  <c r="C1714" i="85"/>
  <c r="C1817" i="85"/>
  <c r="C296" i="85"/>
  <c r="C1251" i="85"/>
  <c r="C1432" i="85"/>
  <c r="C1617" i="85"/>
  <c r="C271" i="85"/>
  <c r="C1861" i="85"/>
  <c r="C1049" i="85"/>
  <c r="C1428" i="85"/>
  <c r="C306" i="85"/>
  <c r="C1968" i="85"/>
  <c r="C1286" i="85"/>
  <c r="C385" i="85"/>
  <c r="C285" i="85"/>
  <c r="C691" i="85"/>
  <c r="C1408" i="85"/>
  <c r="C118" i="85"/>
  <c r="C1214" i="85"/>
  <c r="C241" i="85"/>
  <c r="C447" i="85"/>
  <c r="C766" i="85"/>
  <c r="C737" i="85"/>
  <c r="C319" i="85"/>
  <c r="C1474" i="85"/>
  <c r="C557" i="85"/>
  <c r="C683" i="85"/>
  <c r="C1948" i="85"/>
  <c r="C316" i="85"/>
  <c r="C1246" i="85"/>
  <c r="C933" i="85"/>
  <c r="C1460" i="85"/>
  <c r="C570" i="85"/>
  <c r="C745" i="85"/>
  <c r="C679" i="85"/>
  <c r="C1030" i="85"/>
  <c r="C1976" i="85"/>
  <c r="C431" i="85"/>
  <c r="C122" i="85"/>
  <c r="C460" i="85"/>
  <c r="C1336" i="85"/>
  <c r="C935" i="85"/>
  <c r="C1845" i="85"/>
  <c r="C1698" i="85"/>
  <c r="C1270" i="85"/>
  <c r="C1673" i="85"/>
  <c r="C1174" i="85"/>
  <c r="C462" i="85"/>
  <c r="C915" i="85"/>
  <c r="C1513" i="85"/>
  <c r="C967" i="85"/>
  <c r="C1608" i="85"/>
  <c r="C491" i="85"/>
  <c r="C1003" i="85"/>
  <c r="C1612" i="85"/>
  <c r="C1872" i="85"/>
  <c r="C1709" i="85"/>
  <c r="C1947" i="85"/>
  <c r="C711" i="85"/>
  <c r="C1648" i="85"/>
  <c r="C1930" i="85"/>
  <c r="C433" i="85"/>
  <c r="C1485" i="85"/>
  <c r="C1579" i="85"/>
  <c r="C1605" i="85"/>
  <c r="C1232" i="85"/>
  <c r="C1814" i="85"/>
  <c r="C789" i="85"/>
  <c r="C556" i="85"/>
  <c r="C1458" i="85"/>
  <c r="C978" i="85"/>
  <c r="C1170" i="85"/>
  <c r="C528" i="85"/>
  <c r="C1409" i="85"/>
  <c r="C1635" i="85"/>
  <c r="C1645" i="85"/>
  <c r="C1381" i="85"/>
  <c r="C688" i="85"/>
  <c r="C1581" i="85"/>
  <c r="C1909" i="85"/>
  <c r="C1521" i="85"/>
  <c r="C959" i="85"/>
  <c r="C1770" i="85"/>
  <c r="C1376" i="85"/>
  <c r="C853" i="85"/>
  <c r="C1515" i="85"/>
  <c r="C1604" i="85"/>
  <c r="C576" i="85"/>
  <c r="C401" i="85"/>
  <c r="C1701" i="85"/>
  <c r="C1540" i="85"/>
  <c r="C1171" i="85"/>
  <c r="C736" i="85"/>
  <c r="C547" i="85"/>
  <c r="C449" i="85"/>
  <c r="C1574" i="85"/>
  <c r="C1795" i="85"/>
  <c r="C982" i="85"/>
  <c r="C670" i="85"/>
  <c r="C1970" i="85"/>
  <c r="C1254" i="85"/>
  <c r="C1492" i="85"/>
  <c r="C1156" i="85"/>
  <c r="C193" i="85"/>
  <c r="C373" i="85"/>
  <c r="C295" i="85"/>
  <c r="C1374" i="85"/>
  <c r="C402" i="85"/>
  <c r="C1260" i="85"/>
  <c r="C1640" i="85"/>
  <c r="C949" i="85"/>
  <c r="C1089" i="85"/>
  <c r="C652" i="85"/>
  <c r="C617" i="85"/>
  <c r="C1626" i="85"/>
  <c r="C1380" i="85"/>
  <c r="C1736" i="85"/>
  <c r="C1511" i="85"/>
  <c r="C955" i="85"/>
  <c r="C620" i="85"/>
  <c r="C417" i="85"/>
  <c r="C1674" i="85"/>
  <c r="C1592" i="85"/>
  <c r="C1311" i="85"/>
  <c r="C396" i="85"/>
  <c r="C650" i="85"/>
  <c r="C272" i="85"/>
  <c r="C1972" i="85"/>
  <c r="C1296" i="85"/>
  <c r="C1641" i="85"/>
  <c r="C1877" i="85"/>
  <c r="C1762" i="85"/>
  <c r="C317" i="85"/>
  <c r="C1517" i="85"/>
  <c r="C216" i="85"/>
  <c r="C1159" i="85"/>
  <c r="C1682" i="85"/>
  <c r="C1857" i="85"/>
  <c r="C1392" i="85"/>
  <c r="C1126" i="85"/>
  <c r="C492" i="85"/>
  <c r="C930" i="85"/>
  <c r="C1226" i="85"/>
  <c r="C1741" i="85"/>
  <c r="C1562" i="85"/>
  <c r="C640" i="85"/>
  <c r="C405" i="85"/>
  <c r="C2000" i="85"/>
  <c r="C1125" i="85"/>
  <c r="C539" i="85"/>
  <c r="C1632" i="85"/>
  <c r="C1378" i="85"/>
  <c r="C865" i="85"/>
  <c r="C1133" i="85"/>
  <c r="C237" i="85"/>
  <c r="C435" i="85"/>
  <c r="C1334" i="85"/>
  <c r="C847" i="85"/>
  <c r="C120" i="85"/>
  <c r="C1337" i="85"/>
  <c r="C675" i="85"/>
  <c r="C1328" i="85"/>
  <c r="C242" i="85"/>
  <c r="C929" i="85"/>
  <c r="C1462" i="85"/>
  <c r="C991" i="85"/>
  <c r="C657" i="85"/>
  <c r="C1869" i="85"/>
  <c r="C1535" i="85"/>
  <c r="C519" i="85"/>
  <c r="C482" i="85"/>
  <c r="C413" i="85"/>
  <c r="C1918" i="85"/>
  <c r="C422" i="85"/>
  <c r="C1047" i="85"/>
  <c r="C1638" i="85"/>
  <c r="C412" i="85"/>
  <c r="C597" i="85"/>
  <c r="C1717" i="85"/>
  <c r="C1299" i="85"/>
  <c r="C240" i="85"/>
  <c r="C621" i="85"/>
  <c r="C186" i="85"/>
  <c r="C1388" i="85"/>
  <c r="C1646" i="85"/>
  <c r="C1696" i="85"/>
  <c r="C1507" i="85"/>
  <c r="C445" i="85"/>
  <c r="C1780" i="85"/>
  <c r="C957" i="85"/>
  <c r="C1715" i="85"/>
  <c r="C313" i="85"/>
  <c r="C1426" i="85"/>
  <c r="C1950" i="85"/>
  <c r="C1179" i="85"/>
  <c r="C584" i="85"/>
  <c r="C1006" i="85"/>
  <c r="C780" i="85"/>
  <c r="C1249" i="85"/>
  <c r="C1625" i="85"/>
  <c r="C779" i="85"/>
  <c r="C486" i="85"/>
  <c r="C84" i="85"/>
  <c r="C67" i="85"/>
  <c r="C1756" i="85"/>
  <c r="C1809" i="85"/>
  <c r="C1653" i="85"/>
  <c r="C533" i="85"/>
  <c r="C685" i="85"/>
  <c r="C281" i="85"/>
  <c r="C932" i="85"/>
  <c r="C1776" i="85"/>
  <c r="C1037" i="85"/>
  <c r="C183" i="85"/>
  <c r="C1465" i="85"/>
  <c r="C1996" i="85"/>
  <c r="C598" i="85"/>
  <c r="C1163" i="85"/>
  <c r="C1631" i="85"/>
  <c r="C1359" i="85"/>
  <c r="C1753" i="85"/>
  <c r="C1687" i="85"/>
  <c r="C469" i="85"/>
  <c r="C833" i="85"/>
  <c r="C341" i="85"/>
  <c r="C1990" i="85"/>
  <c r="C795" i="85"/>
  <c r="C76" i="85"/>
  <c r="C902" i="85"/>
  <c r="C883" i="85"/>
  <c r="C1093" i="85"/>
  <c r="C1345" i="85"/>
  <c r="C1903" i="85"/>
  <c r="C330" i="85"/>
  <c r="C1530" i="85"/>
  <c r="C336" i="85"/>
  <c r="C1147" i="85"/>
  <c r="C1898" i="85"/>
  <c r="C1688" i="85"/>
  <c r="C1210" i="85"/>
  <c r="C821" i="85"/>
  <c r="C828" i="85"/>
  <c r="C1110" i="85"/>
  <c r="C1678" i="85"/>
  <c r="C1011" i="85"/>
  <c r="C734" i="85"/>
  <c r="C1104" i="85"/>
  <c r="C1440" i="85"/>
  <c r="C854" i="85"/>
  <c r="C504" i="85"/>
  <c r="C548" i="85"/>
  <c r="C494" i="85"/>
  <c r="C1167" i="85"/>
  <c r="C1920" i="85"/>
  <c r="C501" i="85"/>
  <c r="C383" i="85"/>
  <c r="C1946" i="85"/>
  <c r="C1268" i="85"/>
  <c r="C280" i="85"/>
  <c r="C1659" i="85"/>
  <c r="C649" i="85"/>
  <c r="C214" i="85"/>
  <c r="C1676" i="85"/>
  <c r="C1992" i="85"/>
  <c r="C772" i="85"/>
  <c r="C722" i="85"/>
  <c r="C1154" i="85"/>
  <c r="C321" i="85"/>
  <c r="C1242" i="85"/>
  <c r="C604" i="85"/>
  <c r="C1836" i="85"/>
  <c r="C651" i="85"/>
  <c r="C1844" i="85"/>
  <c r="C395" i="85"/>
  <c r="C1401" i="85"/>
  <c r="C1656" i="85"/>
  <c r="C1675" i="85"/>
  <c r="C1824" i="85"/>
  <c r="C479" i="85"/>
  <c r="C1419" i="85"/>
  <c r="C1002" i="85"/>
  <c r="C171" i="85"/>
  <c r="C561" i="85"/>
  <c r="C1279" i="85"/>
  <c r="C895" i="85"/>
  <c r="C1585" i="85"/>
  <c r="C742" i="85"/>
  <c r="C236" i="85"/>
  <c r="C1789" i="85"/>
  <c r="C218" i="85"/>
  <c r="C303" i="85"/>
  <c r="C1563" i="85"/>
  <c r="C1244" i="85"/>
  <c r="C969" i="85"/>
  <c r="C626" i="85"/>
  <c r="C42" i="85"/>
  <c r="C342" i="85"/>
  <c r="C509" i="85"/>
  <c r="C1371" i="85"/>
  <c r="C1746" i="85"/>
  <c r="C1879" i="85"/>
  <c r="C684" i="85"/>
  <c r="C1204" i="85"/>
  <c r="C642" i="85"/>
  <c r="C590" i="85"/>
  <c r="C400" i="85"/>
  <c r="C693" i="85"/>
  <c r="C973" i="85"/>
  <c r="C1652" i="85"/>
  <c r="C1360" i="85"/>
  <c r="C1130" i="85"/>
  <c r="C1346" i="85"/>
  <c r="C1417" i="85"/>
  <c r="C1177" i="85"/>
  <c r="C323" i="85"/>
  <c r="C1240" i="85"/>
  <c r="C1683" i="85"/>
  <c r="C1936" i="85"/>
  <c r="C1178" i="85"/>
  <c r="C798" i="85"/>
  <c r="C1090" i="85"/>
  <c r="C429" i="85"/>
  <c r="C1662" i="85"/>
  <c r="C1815" i="85"/>
  <c r="C1132" i="85"/>
  <c r="C1058" i="85"/>
  <c r="C1543" i="85"/>
  <c r="C831" i="85"/>
  <c r="C1061" i="85"/>
  <c r="C783" i="85"/>
  <c r="C260" i="85"/>
  <c r="C581" i="85"/>
  <c r="C1033" i="85"/>
  <c r="C536" i="85"/>
  <c r="C381" i="85"/>
  <c r="C1894" i="85"/>
  <c r="C1722" i="85"/>
  <c r="C1308" i="85"/>
  <c r="C292" i="85"/>
  <c r="C499" i="85"/>
  <c r="C86" i="85"/>
  <c r="C1191" i="85"/>
  <c r="C1576" i="85"/>
  <c r="C1794" i="85"/>
  <c r="C892" i="85"/>
  <c r="C628" i="85"/>
  <c r="C1062" i="85"/>
  <c r="C506" i="85"/>
  <c r="C1684" i="85"/>
  <c r="C1219" i="85"/>
  <c r="C116" i="85"/>
  <c r="C1934" i="85"/>
  <c r="C1978" i="85"/>
  <c r="C437" i="85"/>
  <c r="C522" i="85"/>
  <c r="C1297" i="85"/>
  <c r="C265" i="85"/>
  <c r="C700" i="85"/>
  <c r="C1410" i="85"/>
  <c r="C1056" i="85"/>
  <c r="C664" i="85"/>
  <c r="C1472" i="85"/>
  <c r="C69" i="85"/>
  <c r="C856" i="85"/>
  <c r="C329" i="85"/>
  <c r="C1973" i="85"/>
  <c r="C1303" i="85"/>
  <c r="C1131" i="85"/>
  <c r="C357" i="85"/>
  <c r="C1514" i="85"/>
  <c r="C1792" i="85"/>
  <c r="C337" i="85"/>
  <c r="C1841" i="85"/>
  <c r="C1445" i="85"/>
  <c r="C1897" i="85"/>
  <c r="C1853" i="85"/>
  <c r="C792" i="85"/>
  <c r="C920" i="85"/>
  <c r="C1548" i="85"/>
  <c r="C284" i="85"/>
  <c r="C1347" i="85"/>
  <c r="C1805" i="85"/>
  <c r="C483" i="85"/>
  <c r="C206" i="85"/>
  <c r="C634" i="85"/>
  <c r="C1165" i="85"/>
  <c r="C952" i="85"/>
  <c r="C1539" i="85"/>
  <c r="C1588" i="85"/>
  <c r="C1188" i="85"/>
  <c r="C1436" i="85"/>
  <c r="C1206" i="85"/>
  <c r="C1356" i="85"/>
  <c r="C513" i="85"/>
  <c r="C904" i="85"/>
  <c r="C882" i="85"/>
  <c r="C546" i="85"/>
  <c r="C1128" i="85"/>
  <c r="C382" i="85"/>
  <c r="C1654" i="85"/>
  <c r="C1277" i="85"/>
  <c r="C66" i="85"/>
  <c r="C307" i="85"/>
  <c r="C701" i="85"/>
  <c r="C1315" i="85"/>
  <c r="C1152" i="85"/>
  <c r="C1804" i="85"/>
  <c r="C1051" i="85"/>
  <c r="C1008" i="85"/>
  <c r="C1423" i="85"/>
  <c r="C1932" i="85"/>
  <c r="C1854" i="85"/>
  <c r="C999" i="85"/>
  <c r="C984" i="85"/>
  <c r="C63" i="85"/>
  <c r="C1274" i="85"/>
  <c r="C455" i="85"/>
  <c r="C1613" i="85"/>
  <c r="C1149" i="85"/>
  <c r="C1007" i="85"/>
  <c r="C266" i="85"/>
  <c r="C1777" i="85"/>
  <c r="C1628" i="85"/>
  <c r="C1606" i="85"/>
  <c r="C1808" i="85"/>
  <c r="C179" i="85"/>
  <c r="C1119" i="85"/>
  <c r="C1306" i="85"/>
  <c r="C1779" i="85"/>
  <c r="C1105" i="85"/>
  <c r="C931" i="85"/>
  <c r="C297" i="85"/>
  <c r="C1342" i="85"/>
  <c r="C1075" i="85"/>
  <c r="C1591" i="85"/>
  <c r="C919" i="85"/>
  <c r="C1963" i="85"/>
  <c r="C324" i="85"/>
  <c r="C694" i="85"/>
  <c r="C545" i="85"/>
  <c r="C1331" i="85"/>
  <c r="C608" i="85"/>
  <c r="C954" i="85"/>
  <c r="C1771" i="85"/>
  <c r="C550" i="85"/>
  <c r="C1878" i="85"/>
  <c r="C1086" i="85"/>
  <c r="C645" i="85"/>
  <c r="C288" i="85"/>
  <c r="C888" i="85"/>
  <c r="C209" i="85"/>
  <c r="C393" i="85"/>
  <c r="C27" i="85"/>
  <c r="C740" i="85"/>
  <c r="C54" i="85"/>
  <c r="C1783" i="85"/>
  <c r="C1957" i="85"/>
  <c r="C1967" i="85"/>
  <c r="C1713" i="85"/>
  <c r="C714" i="85"/>
  <c r="C784" i="85"/>
  <c r="C277" i="85"/>
  <c r="C1040" i="85"/>
  <c r="C270" i="85"/>
  <c r="C989" i="85"/>
  <c r="C286" i="85"/>
  <c r="C1312" i="85"/>
  <c r="C1731" i="85"/>
  <c r="C1497" i="85"/>
  <c r="C655" i="85"/>
  <c r="C1044" i="85"/>
  <c r="C1960" i="85"/>
  <c r="C94" i="85"/>
  <c r="C845" i="85"/>
  <c r="C1583" i="85"/>
  <c r="C1710" i="85"/>
  <c r="C1912" i="85"/>
  <c r="C1136" i="85"/>
  <c r="C1582" i="85"/>
  <c r="C1729" i="85"/>
  <c r="C1797" i="85"/>
  <c r="C993" i="85"/>
  <c r="C1573" i="85"/>
  <c r="C758" i="85"/>
  <c r="C1703" i="85"/>
  <c r="C1382" i="85"/>
  <c r="C1046" i="85"/>
  <c r="C585" i="85"/>
  <c r="C1403" i="85"/>
  <c r="C1788" i="85"/>
  <c r="C637" i="85"/>
  <c r="C354" i="85"/>
  <c r="C1318" i="85"/>
  <c r="C1989" i="85"/>
  <c r="C1234" i="85"/>
  <c r="C1924" i="85"/>
  <c r="C1341" i="85"/>
  <c r="C1711" i="85"/>
  <c r="C897" i="85"/>
  <c r="C726" i="85"/>
  <c r="C1320" i="85"/>
  <c r="C461" i="85"/>
  <c r="C1025" i="85"/>
  <c r="C1441" i="85"/>
  <c r="C538" i="85"/>
  <c r="C1088" i="85"/>
  <c r="C1938" i="85"/>
  <c r="C778" i="85"/>
  <c r="C945" i="85"/>
  <c r="C1580" i="85"/>
  <c r="C1078" i="85"/>
  <c r="C526" i="85"/>
  <c r="C197" i="85"/>
  <c r="C1768" i="85"/>
  <c r="C1552" i="85"/>
  <c r="C309" i="85"/>
  <c r="C1398" i="85"/>
  <c r="C1168" i="85"/>
  <c r="C1070" i="85"/>
  <c r="C638" i="85"/>
  <c r="C1400" i="85"/>
  <c r="C750" i="85"/>
  <c r="C1833" i="85"/>
  <c r="C1389" i="85"/>
  <c r="C968" i="85"/>
  <c r="C480" i="85"/>
  <c r="C325" i="85"/>
  <c r="C781" i="85"/>
  <c r="C1052" i="85"/>
  <c r="C1386" i="85"/>
  <c r="C1390" i="85"/>
  <c r="C1863" i="85"/>
  <c r="C761" i="85"/>
  <c r="C719" i="85"/>
  <c r="C376" i="85"/>
  <c r="C478" i="85"/>
  <c r="C1259" i="85"/>
  <c r="C487" i="85"/>
  <c r="C1644" i="85"/>
  <c r="C1944" i="85"/>
  <c r="C1541" i="85"/>
  <c r="C367" i="85"/>
  <c r="C1045" i="85"/>
  <c r="C600" i="85"/>
  <c r="C1708" i="85"/>
  <c r="C1435" i="85"/>
  <c r="C707" i="85"/>
  <c r="C1176" i="85"/>
  <c r="C1285" i="85"/>
  <c r="C359" i="85"/>
  <c r="C358" i="85"/>
  <c r="C729" i="85"/>
  <c r="C1357" i="85"/>
  <c r="C208" i="85"/>
  <c r="C1327" i="85"/>
  <c r="C1949" i="85"/>
  <c r="C994" i="85"/>
  <c r="C666" i="85"/>
  <c r="C252" i="85"/>
  <c r="C1623" i="85"/>
  <c r="C1048" i="85"/>
  <c r="C1148" i="85"/>
  <c r="C1716" i="85"/>
  <c r="C1501" i="85"/>
  <c r="C739" i="85"/>
  <c r="C1488" i="85"/>
  <c r="C1213" i="85"/>
  <c r="C1997" i="85"/>
  <c r="C1405" i="85"/>
  <c r="C1019" i="85"/>
  <c r="C1272" i="85"/>
  <c r="C1208" i="85"/>
  <c r="C591" i="85"/>
  <c r="C467" i="85"/>
  <c r="C1499" i="85"/>
  <c r="C1363" i="85"/>
  <c r="C1634" i="85"/>
  <c r="C390" i="85"/>
  <c r="C1205" i="85"/>
  <c r="C733" i="85"/>
  <c r="C673" i="85"/>
  <c r="C746" i="85"/>
  <c r="C1111" i="85"/>
  <c r="C1721" i="85"/>
  <c r="C293" i="85"/>
  <c r="C1183" i="85"/>
  <c r="C1735" i="85"/>
  <c r="C1498" i="85"/>
  <c r="C366" i="85"/>
  <c r="C827" i="85"/>
  <c r="C1933" i="85"/>
  <c r="C356" i="85"/>
  <c r="C796" i="85"/>
  <c r="C1175" i="85"/>
  <c r="C1943" i="85"/>
  <c r="C1899" i="85"/>
  <c r="C840" i="85"/>
  <c r="C1551" i="85"/>
  <c r="C254" i="85"/>
  <c r="C1431" i="85"/>
  <c r="C913" i="85"/>
  <c r="C1925" i="85"/>
  <c r="C1076" i="85"/>
  <c r="C613" i="85"/>
  <c r="C1689" i="85"/>
  <c r="C1022" i="85"/>
  <c r="C328" i="85"/>
  <c r="C1856" i="85"/>
  <c r="C799" i="85"/>
  <c r="C78" i="85"/>
  <c r="C1310" i="85"/>
  <c r="C1180" i="85"/>
  <c r="C1370" i="85"/>
  <c r="C1330" i="85"/>
  <c r="C423" i="85"/>
  <c r="C1979" i="85"/>
  <c r="C348" i="85"/>
  <c r="C1825" i="85"/>
  <c r="C614" i="85"/>
  <c r="C1913" i="85"/>
  <c r="C871" i="85"/>
  <c r="C126" i="85"/>
  <c r="C728" i="85"/>
  <c r="C1276" i="85"/>
  <c r="C369" i="85"/>
  <c r="C1284" i="85"/>
  <c r="C1639" i="85"/>
  <c r="C1883" i="85"/>
  <c r="C1602" i="85"/>
  <c r="C1493" i="85"/>
  <c r="C238" i="85"/>
  <c r="C399" i="85"/>
  <c r="C715" i="85"/>
  <c r="C1643" i="85"/>
  <c r="C269" i="85"/>
  <c r="C1182" i="85"/>
  <c r="C842" i="85"/>
  <c r="C1811" i="85"/>
  <c r="C322" i="85"/>
  <c r="C353" i="85"/>
  <c r="C815" i="85"/>
  <c r="C1237" i="85"/>
  <c r="C424" i="85"/>
  <c r="C397" i="85"/>
  <c r="C1959" i="85"/>
  <c r="C755" i="85"/>
  <c r="C660" i="85"/>
  <c r="C1120" i="85"/>
  <c r="C826" i="85"/>
  <c r="C577" i="85"/>
  <c r="C128" i="85"/>
  <c r="C1791" i="85"/>
  <c r="C474" i="85"/>
  <c r="C1985" i="85"/>
  <c r="C880" i="85"/>
  <c r="C846" i="85"/>
  <c r="C345" i="85"/>
  <c r="C1544" i="85"/>
  <c r="C575" i="85"/>
  <c r="C1570" i="85"/>
  <c r="C226" i="85"/>
  <c r="C334" i="85"/>
  <c r="C1127" i="85"/>
  <c r="C1954" i="85"/>
  <c r="C1911" i="85"/>
  <c r="C1004" i="85"/>
  <c r="C267" i="85"/>
  <c r="C1848" i="85"/>
  <c r="C1309" i="85"/>
  <c r="C56" i="85"/>
  <c r="C981" i="85"/>
  <c r="C1393" i="85"/>
  <c r="C370" i="85"/>
  <c r="C661" i="85"/>
  <c r="C1227" i="85"/>
  <c r="C703" i="85"/>
  <c r="C873" i="85"/>
  <c r="C365" i="85"/>
  <c r="C879" i="85"/>
  <c r="C1955" i="85"/>
  <c r="C1263" i="85"/>
  <c r="C1192" i="85"/>
  <c r="C1553" i="85"/>
  <c r="C1509" i="85"/>
  <c r="C1534" i="85"/>
  <c r="C1230" i="85"/>
  <c r="C1589" i="85"/>
  <c r="C1724" i="85"/>
  <c r="C268" i="85"/>
  <c r="C712" i="85"/>
  <c r="C1614" i="85"/>
  <c r="C622" i="85"/>
  <c r="C34" i="85"/>
  <c r="C1094" i="85"/>
  <c r="C658" i="85"/>
  <c r="C1718" i="85"/>
  <c r="C572" i="85"/>
  <c r="C839" i="85"/>
  <c r="C346" i="85"/>
  <c r="C1550" i="85"/>
  <c r="C1145" i="85"/>
  <c r="C562" i="85"/>
  <c r="C273" i="85"/>
  <c r="C759" i="85"/>
  <c r="C1043" i="85"/>
  <c r="C1554" i="85"/>
  <c r="C1560" i="85"/>
  <c r="C885" i="85"/>
  <c r="C1502" i="85"/>
  <c r="C850" i="85"/>
  <c r="C79" i="85"/>
  <c r="C1518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<sst xmlns="http://schemas.openxmlformats.org/spreadsheetml/2006/main" count="13958" uniqueCount="2407">
  <si>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</si>
  <si>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</si>
  <si>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</si>
  <si>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</si>
  <si>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</si>
  <si>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</si>
  <si>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</si>
  <si>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</si>
  <si>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</si>
  <si>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</si>
  <si>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</si>
  <si>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</si>
  <si>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</si>
  <si>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</si>
  <si>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</si>
  <si>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</si>
  <si>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</si>
  <si>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</si>
  <si>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</si>
  <si>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</si>
  <si>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</si>
  <si>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</si>
  <si>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</si>
  <si>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</si>
  <si>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</si>
  <si>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</si>
  <si>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</si>
  <si>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</si>
  <si>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</si>
  <si>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</si>
  <si>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</si>
  <si>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</si>
  <si>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</si>
  <si>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</si>
  <si>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</si>
  <si>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</si>
  <si>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</si>
  <si>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</si>
  <si>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</si>
  <si>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</si>
  <si>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</si>
  <si>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</si>
  <si>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</si>
  <si>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</si>
  <si>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</si>
  <si>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</si>
  <si>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</si>
  <si>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</si>
  <si>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</si>
  <si>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</si>
  <si>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</si>
  <si>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</si>
  <si>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</si>
  <si>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</si>
  <si>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</si>
  <si>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</si>
  <si>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</si>
  <si>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</si>
  <si>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</si>
  <si>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</si>
  <si>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</si>
  <si>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</si>
  <si>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</si>
  <si>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</si>
  <si>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</si>
  <si>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</si>
  <si>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</si>
  <si>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</si>
  <si>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</si>
  <si>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</si>
  <si>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</si>
  <si>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</si>
  <si>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</si>
  <si>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</si>
  <si>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</si>
  <si>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</si>
  <si>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</si>
  <si>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</si>
  <si>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</si>
  <si>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</si>
  <si>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</si>
  <si>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</si>
  <si>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</si>
  <si>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</si>
  <si>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</si>
  <si>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</si>
  <si>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</si>
  <si>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</si>
  <si>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</si>
  <si>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</si>
  <si>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</si>
  <si>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</si>
  <si>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</si>
  <si>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</si>
  <si>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</si>
  <si>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</si>
  <si>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</si>
  <si>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</si>
  <si>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</si>
  <si>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</si>
  <si>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</si>
  <si>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</si>
  <si>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</si>
  <si>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</si>
  <si>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</si>
  <si>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</si>
  <si>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</si>
  <si>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</si>
  <si>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</si>
  <si>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</si>
  <si>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</si>
  <si>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</si>
  <si>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</si>
  <si>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</si>
  <si>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</si>
  <si>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</si>
  <si>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</si>
  <si>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</si>
  <si>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</si>
  <si>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</si>
  <si>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</si>
  <si>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</si>
  <si>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</si>
  <si>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</si>
  <si>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</si>
  <si>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</si>
  <si>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</si>
  <si>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</si>
  <si>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</si>
  <si>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</si>
  <si>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</si>
  <si>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</si>
  <si>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</si>
  <si>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</si>
  <si>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</si>
  <si>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</si>
  <si>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</si>
  <si>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</si>
  <si>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</si>
  <si>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</si>
  <si>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</si>
  <si>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</si>
  <si>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</si>
  <si>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</si>
  <si>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</si>
  <si>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</si>
  <si>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</si>
  <si>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</si>
  <si>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</si>
  <si>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</si>
  <si>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</si>
  <si>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</si>
  <si>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</si>
  <si>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</si>
  <si>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</si>
  <si>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</si>
  <si>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</si>
  <si>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</si>
  <si>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</si>
  <si>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</si>
  <si>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</si>
  <si>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</si>
  <si>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</si>
  <si>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</si>
  <si>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</si>
  <si>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</si>
  <si>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</si>
  <si>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</si>
  <si>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</si>
  <si>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</si>
  <si>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</si>
  <si>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</si>
  <si>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</si>
  <si>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</si>
  <si>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</si>
  <si>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</si>
  <si>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</si>
  <si>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</si>
  <si>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</si>
  <si>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</si>
  <si>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</si>
  <si>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</si>
  <si>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</si>
  <si>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</si>
  <si>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</si>
  <si>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</si>
  <si>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</si>
  <si>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</si>
  <si>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</si>
  <si>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</si>
  <si>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</si>
  <si>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</si>
  <si>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</si>
  <si>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</si>
  <si>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</si>
  <si>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</si>
  <si>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</si>
  <si>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</si>
  <si>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</si>
  <si>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</si>
  <si>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</si>
  <si>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</si>
  <si>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</si>
  <si>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</si>
  <si>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</si>
  <si>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</si>
  <si>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</si>
  <si>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</si>
  <si>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</si>
  <si>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</si>
  <si>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</si>
  <si>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</si>
  <si>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</si>
  <si>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</si>
  <si>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</si>
  <si>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</si>
  <si>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</si>
  <si>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</si>
  <si>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</si>
  <si>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</si>
  <si>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</si>
  <si>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</si>
  <si>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</si>
  <si>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</si>
  <si>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</si>
  <si>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</si>
  <si>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</si>
  <si>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</si>
  <si>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</si>
  <si>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</si>
  <si>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</si>
  <si>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</si>
  <si>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</si>
  <si>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</si>
  <si>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</si>
  <si>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</si>
  <si>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</si>
  <si>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</si>
  <si>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</si>
  <si>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</si>
  <si>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</si>
  <si>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</si>
  <si>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</si>
  <si>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</si>
  <si>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</si>
  <si>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</si>
  <si>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</si>
  <si>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</si>
  <si>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</si>
  <si>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</si>
  <si>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</si>
  <si>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</si>
  <si>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</si>
  <si>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</si>
  <si>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</si>
  <si>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</si>
  <si>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</si>
  <si>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</si>
  <si>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</si>
  <si>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</si>
  <si>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</si>
  <si>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</si>
  <si>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</si>
  <si>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</si>
  <si>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</si>
  <si>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</si>
  <si>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</si>
  <si>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</si>
  <si>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</si>
  <si>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</si>
  <si>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</si>
  <si>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</si>
  <si>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</si>
  <si>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</si>
  <si>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</si>
  <si>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</si>
  <si>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</si>
  <si>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</si>
  <si>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</si>
  <si>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</si>
  <si>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</si>
  <si>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</si>
  <si>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</si>
  <si>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</si>
  <si>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</si>
  <si>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</si>
  <si>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</si>
  <si>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</si>
  <si>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</si>
  <si>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</si>
  <si>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</si>
  <si>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</si>
  <si>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</si>
  <si>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</si>
  <si>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</si>
  <si>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</si>
  <si>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</si>
  <si>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</si>
  <si>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</si>
  <si>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</si>
  <si>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</si>
  <si>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</si>
  <si>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</si>
  <si>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</si>
  <si>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</si>
  <si>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</si>
  <si>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</si>
  <si>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</si>
  <si>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</si>
  <si>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</si>
  <si>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</si>
  <si>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</si>
  <si>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</si>
  <si>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</si>
  <si>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</si>
  <si>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</si>
  <si>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</si>
  <si>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</si>
  <si>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</si>
  <si>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</si>
  <si>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</si>
  <si>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</si>
  <si>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</si>
  <si>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</si>
  <si>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</si>
  <si>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</si>
  <si>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</si>
  <si>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</si>
  <si>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</si>
  <si>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</si>
  <si>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</si>
  <si>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</si>
  <si>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</si>
  <si>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</si>
  <si>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</si>
  <si>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</si>
  <si>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</si>
  <si>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</si>
  <si>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</si>
  <si>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</si>
  <si>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</si>
  <si>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</si>
  <si>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</si>
  <si>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</si>
  <si>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</si>
  <si>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</si>
  <si>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</si>
  <si>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</si>
  <si>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</si>
  <si>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</si>
  <si>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</si>
  <si>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</si>
  <si>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</si>
  <si>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</si>
  <si>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</si>
  <si>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</si>
  <si>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</si>
  <si>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</si>
  <si>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</si>
  <si>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</si>
  <si>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</si>
  <si>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</si>
  <si>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</si>
  <si>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</si>
  <si>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</si>
  <si>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</si>
  <si>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</si>
  <si>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</si>
  <si>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</si>
  <si>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</si>
  <si>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</si>
  <si>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</si>
  <si>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</si>
  <si>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</si>
  <si>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</si>
  <si>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</si>
  <si>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</si>
  <si>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</si>
  <si>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</si>
  <si>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</si>
  <si>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</si>
  <si>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</si>
  <si>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</si>
  <si>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</si>
  <si>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</si>
  <si>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</si>
  <si>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</si>
  <si>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</si>
  <si>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</si>
  <si>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</si>
  <si>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</si>
  <si>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</si>
  <si>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</si>
  <si>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</si>
  <si>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</si>
  <si>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</si>
  <si>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</si>
  <si>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</si>
  <si>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</si>
  <si>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</si>
  <si>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</si>
  <si>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</si>
  <si>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</si>
  <si>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</si>
  <si>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</si>
  <si>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</si>
  <si>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</si>
  <si>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</si>
  <si>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</si>
  <si>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</si>
  <si>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</si>
  <si>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</si>
  <si>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</si>
  <si>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</si>
  <si>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</si>
  <si>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</si>
  <si>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</si>
  <si>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</si>
  <si>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</si>
  <si>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</si>
  <si>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</si>
  <si>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</si>
  <si>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</si>
  <si>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</si>
  <si>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</si>
  <si>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</si>
  <si>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</si>
  <si>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</si>
  <si>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</si>
  <si>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</si>
  <si>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</si>
  <si>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</si>
  <si>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</si>
  <si>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</si>
  <si>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</si>
  <si>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</si>
  <si>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</si>
  <si>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</si>
  <si>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</si>
  <si>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</si>
  <si>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</si>
  <si>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</si>
  <si>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</si>
  <si>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</si>
  <si>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</si>
  <si>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</si>
  <si>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</si>
  <si>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</si>
  <si>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</si>
  <si>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</si>
  <si>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</si>
  <si>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</si>
  <si>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</si>
  <si>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</si>
  <si>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</si>
  <si>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</si>
  <si>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</si>
  <si>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</si>
  <si>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</si>
  <si>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</si>
  <si>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</si>
  <si>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</si>
  <si>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</si>
  <si>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</si>
  <si>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</si>
  <si>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</si>
  <si>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</si>
  <si>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</si>
  <si>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</si>
  <si>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</si>
  <si>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</si>
  <si>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</si>
  <si>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</si>
  <si>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</si>
  <si>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</si>
  <si>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</si>
  <si>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</si>
  <si>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</si>
  <si>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</si>
  <si>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</si>
  <si>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</si>
  <si>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</si>
  <si>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</si>
  <si>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</si>
  <si>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</si>
  <si>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</si>
  <si>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</si>
  <si>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</si>
  <si>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</si>
  <si>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</si>
  <si>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</si>
  <si>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</si>
  <si>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</si>
  <si>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</si>
  <si>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</si>
  <si>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</si>
  <si>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</si>
  <si>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</si>
  <si>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</si>
  <si>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</si>
  <si>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</si>
  <si>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</si>
  <si>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</si>
  <si>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</si>
  <si>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</si>
  <si>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</si>
  <si>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</si>
  <si>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</si>
  <si>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</si>
  <si>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</si>
  <si>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</si>
  <si>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</si>
  <si>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</si>
  <si>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</si>
  <si>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</si>
  <si>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</si>
  <si>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</si>
  <si>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</si>
  <si>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</si>
  <si>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</si>
  <si>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</si>
  <si>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</si>
  <si>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</si>
  <si>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</si>
  <si>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</si>
  <si>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</si>
  <si>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</si>
  <si>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</si>
  <si>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</si>
  <si>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</si>
  <si>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</si>
  <si>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</si>
  <si>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</si>
  <si>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</si>
  <si>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</si>
  <si>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</si>
  <si>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</si>
  <si>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</si>
  <si>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</si>
  <si>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</si>
  <si>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</si>
  <si>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</si>
  <si>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</si>
  <si>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</si>
  <si>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</si>
  <si>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</si>
  <si>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</si>
  <si>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</si>
  <si>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</si>
  <si>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</si>
  <si>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</si>
  <si>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</si>
  <si>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</si>
  <si>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</si>
  <si>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</si>
  <si>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</si>
  <si>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</si>
  <si>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</si>
  <si>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</si>
  <si>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</si>
  <si>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</si>
  <si>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</si>
  <si>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</si>
  <si>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</si>
  <si>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</si>
  <si>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</si>
  <si>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</si>
  <si>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</si>
  <si>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</si>
  <si>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</si>
  <si>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</si>
  <si>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</si>
  <si>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</si>
  <si>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</si>
  <si>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</si>
  <si>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</si>
  <si>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</si>
  <si>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</si>
  <si>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</si>
  <si>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</si>
  <si>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</si>
  <si>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</si>
  <si>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</si>
  <si>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</si>
  <si>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</si>
  <si>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</si>
  <si>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</si>
  <si>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</si>
  <si>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</si>
  <si>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</si>
  <si>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</si>
  <si>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</si>
  <si>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</si>
  <si>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</si>
  <si>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</si>
  <si>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</si>
  <si>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</si>
  <si>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</si>
  <si>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</si>
  <si>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</si>
  <si>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</si>
  <si>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</si>
  <si>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</si>
  <si>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</si>
  <si>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</si>
  <si>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</si>
  <si>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</si>
  <si>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</si>
  <si>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</si>
  <si>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</si>
  <si>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</si>
  <si>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</si>
  <si>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</si>
  <si>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</si>
  <si>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</si>
  <si>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</si>
  <si>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</si>
  <si>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</si>
  <si>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</si>
  <si>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</si>
  <si>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</si>
  <si>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</si>
  <si>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</si>
  <si>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</si>
  <si>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</si>
  <si>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</si>
  <si>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</si>
  <si>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</si>
  <si>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</si>
  <si>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</si>
  <si>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</si>
  <si>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</si>
  <si>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</si>
  <si>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</si>
  <si>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</si>
  <si>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</si>
  <si>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</si>
  <si>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</si>
  <si>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</si>
  <si>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</si>
  <si>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</si>
  <si>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</si>
  <si>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</si>
  <si>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</si>
  <si>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</si>
  <si>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</si>
  <si>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</si>
  <si>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</si>
  <si>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</si>
  <si>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</si>
  <si>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</si>
  <si>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</si>
  <si>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</si>
  <si>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</si>
  <si>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</si>
  <si>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</si>
  <si>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</si>
  <si>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</si>
  <si>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</si>
  <si>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</si>
  <si>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</si>
  <si>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</si>
  <si>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</si>
  <si>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</si>
  <si>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</si>
  <si>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</si>
  <si>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</si>
  <si>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</si>
  <si>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</si>
  <si>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</si>
  <si>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</si>
  <si>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</si>
  <si>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</si>
  <si>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</si>
  <si>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</si>
  <si>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</si>
  <si>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</si>
  <si>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</si>
  <si>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</si>
  <si>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</si>
  <si>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</si>
  <si>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</si>
  <si>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</si>
  <si>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</si>
  <si>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</si>
  <si>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</si>
  <si>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</si>
  <si>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</si>
  <si>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</si>
  <si>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</si>
  <si>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</si>
  <si>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</si>
  <si>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</si>
  <si>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</si>
  <si>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</si>
  <si>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</si>
  <si>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</si>
  <si>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</si>
  <si>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</si>
  <si>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</si>
  <si>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</si>
  <si>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</si>
  <si>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</si>
  <si>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</si>
  <si>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</si>
  <si>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</si>
  <si>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</si>
  <si>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</si>
  <si>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</si>
  <si>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</si>
  <si>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</si>
  <si>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</si>
  <si>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</si>
  <si>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</si>
  <si>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</si>
  <si>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</si>
  <si>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</si>
  <si>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</si>
  <si>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</si>
  <si>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</si>
  <si>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</si>
  <si>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</si>
  <si>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</si>
  <si>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</si>
  <si>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</si>
  <si>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</si>
  <si>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</si>
  <si>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</si>
  <si>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</si>
  <si>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</si>
  <si>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</si>
  <si>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</si>
  <si>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</si>
  <si>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</si>
  <si>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</si>
  <si>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</si>
  <si>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</si>
  <si>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</si>
  <si>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</si>
  <si>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</si>
  <si>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</si>
  <si>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</si>
  <si>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</si>
  <si>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</si>
  <si>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</si>
  <si>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</si>
  <si>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</si>
  <si>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</si>
  <si>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</si>
  <si>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</si>
  <si>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</si>
  <si>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</si>
  <si>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</si>
  <si>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</si>
  <si>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</si>
  <si>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</si>
  <si>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</si>
  <si>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</si>
  <si>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</si>
  <si>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</si>
  <si>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</si>
  <si>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</si>
  <si>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</si>
  <si>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</si>
  <si>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</si>
  <si>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</si>
  <si>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</si>
  <si>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</si>
  <si>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</si>
  <si>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</si>
  <si>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</si>
  <si>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</si>
  <si>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</si>
  <si>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</si>
  <si>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</si>
  <si>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</si>
  <si>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</si>
  <si>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</si>
  <si>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</si>
  <si>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</si>
  <si>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</si>
  <si>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</si>
  <si>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</si>
  <si>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</si>
  <si>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</si>
  <si>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</si>
  <si>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</si>
  <si>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</si>
  <si>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</si>
  <si>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</si>
  <si>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</si>
  <si>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</si>
  <si>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</si>
  <si>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</si>
  <si>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</si>
  <si>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</si>
  <si>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</si>
  <si>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</si>
  <si>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</si>
  <si>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</si>
  <si>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</si>
  <si>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</si>
  <si>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</si>
  <si>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</si>
  <si>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</si>
  <si>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</si>
  <si>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</si>
  <si>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</si>
  <si>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</si>
  <si>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</si>
  <si>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</si>
  <si>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</si>
  <si>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</si>
  <si>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</si>
  <si>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</si>
  <si>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</si>
  <si>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</si>
  <si>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</si>
  <si>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</si>
  <si>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</si>
  <si>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</si>
  <si>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</si>
  <si>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</si>
  <si>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</si>
  <si>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</si>
  <si>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</si>
  <si>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</si>
  <si>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</si>
  <si>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</si>
  <si>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</si>
  <si>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</si>
  <si>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</si>
  <si>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</si>
  <si>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</si>
  <si>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</si>
  <si>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</si>
  <si>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</si>
  <si>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</si>
  <si>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</si>
  <si>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</si>
  <si>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</si>
  <si>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</si>
  <si>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</si>
  <si>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</si>
  <si>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</si>
  <si>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</si>
  <si>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</si>
  <si>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</si>
  <si>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</si>
  <si>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</si>
  <si>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</si>
  <si>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</si>
  <si>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</si>
  <si>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</si>
  <si>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</si>
  <si>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</si>
  <si>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</si>
  <si>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</si>
  <si>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</si>
  <si>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</si>
  <si>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</si>
  <si>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</si>
  <si>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</si>
  <si>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</si>
  <si>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</si>
  <si>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</si>
  <si>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</si>
  <si>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</si>
  <si>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</si>
  <si>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</si>
  <si>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</si>
  <si>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</si>
  <si>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</si>
  <si>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</si>
  <si>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</si>
  <si>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</si>
  <si>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</si>
  <si>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</si>
  <si>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</si>
  <si>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</si>
  <si>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</si>
  <si>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</si>
  <si>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</si>
  <si>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</si>
  <si>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</si>
  <si>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</si>
  <si>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</si>
  <si>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</si>
  <si>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</si>
  <si>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</si>
  <si>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</si>
  <si>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</si>
  <si>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</si>
  <si>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</si>
  <si>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</si>
  <si>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</si>
  <si>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</si>
  <si>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</si>
  <si>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</si>
  <si>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</si>
  <si>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</si>
  <si>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</si>
  <si>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</si>
  <si>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</si>
  <si>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</si>
  <si>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</si>
  <si>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</si>
  <si>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</si>
  <si>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</si>
  <si>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</si>
  <si>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</si>
  <si>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</si>
  <si>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</si>
  <si>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</si>
  <si>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</si>
  <si>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</si>
  <si>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</si>
  <si>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</si>
  <si>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</si>
  <si>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</si>
  <si>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</si>
  <si>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</si>
  <si>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</si>
  <si>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</si>
  <si>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</si>
  <si>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</si>
  <si>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</si>
  <si>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</si>
  <si>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</si>
  <si>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</si>
  <si>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</si>
  <si>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</si>
  <si>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</si>
  <si>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</si>
  <si>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</si>
  <si>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</si>
  <si>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</si>
  <si>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</si>
  <si>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</si>
  <si>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</si>
  <si>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</si>
  <si>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</si>
  <si>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</si>
  <si>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</si>
  <si>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</si>
  <si>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</si>
  <si>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</si>
  <si>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</si>
  <si>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</si>
  <si>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</si>
  <si>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</si>
  <si>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</si>
  <si>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</si>
  <si>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</si>
  <si>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</si>
  <si>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</si>
  <si>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</si>
  <si>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</si>
  <si>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</si>
  <si>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</si>
  <si>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</si>
  <si>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</si>
  <si>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</si>
  <si>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</si>
  <si>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</si>
  <si>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</si>
  <si>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</si>
  <si>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</si>
  <si>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</si>
  <si>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</si>
  <si>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</si>
  <si>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</si>
  <si>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</si>
  <si>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</si>
  <si>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</si>
  <si>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</si>
  <si>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</si>
  <si>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</si>
  <si>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</si>
  <si>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</si>
  <si>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</si>
  <si>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</si>
  <si>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</si>
  <si>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</si>
  <si>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</si>
  <si>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</si>
  <si>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</si>
  <si>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</si>
  <si>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</si>
  <si>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</si>
  <si>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</si>
  <si>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</si>
  <si>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</si>
  <si>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</si>
  <si>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</si>
  <si>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</si>
  <si>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</si>
  <si>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</si>
  <si>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</si>
  <si>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</si>
  <si>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</si>
  <si>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</si>
  <si>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</si>
  <si>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</si>
  <si>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</si>
  <si>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</si>
  <si>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</si>
  <si>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</si>
  <si>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</si>
  <si>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</si>
  <si>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</si>
  <si>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</si>
  <si>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</si>
  <si>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</si>
  <si>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</si>
  <si>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</si>
  <si>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</si>
  <si>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</si>
  <si>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</si>
  <si>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</si>
  <si>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</si>
  <si>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</si>
  <si>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</si>
  <si>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</si>
  <si>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</si>
  <si>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</si>
  <si>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</si>
  <si>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</si>
  <si>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</si>
  <si>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</si>
  <si>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</si>
  <si>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</si>
  <si>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</si>
  <si>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</si>
  <si>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</si>
  <si>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</si>
  <si>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</si>
  <si>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</si>
  <si>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</si>
  <si>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</si>
  <si>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</si>
  <si>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</si>
  <si>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</si>
  <si>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</si>
  <si>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</si>
  <si>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</si>
  <si>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</si>
  <si>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</si>
  <si>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</si>
  <si>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</si>
  <si>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</si>
  <si>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</si>
  <si>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</si>
  <si>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</si>
  <si>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</si>
  <si>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</si>
  <si>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</si>
  <si>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</si>
  <si>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</si>
  <si>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</si>
  <si>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</si>
  <si>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</si>
  <si>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</si>
  <si>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</si>
  <si>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</si>
  <si>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</si>
  <si>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</si>
  <si>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</si>
  <si>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</si>
  <si>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</si>
  <si>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</si>
  <si>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</si>
  <si>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</si>
  <si>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</si>
  <si>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</si>
  <si>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</si>
  <si>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</si>
  <si>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</si>
  <si>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</si>
  <si>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</si>
  <si>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</si>
  <si>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</si>
  <si>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</si>
  <si>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</si>
  <si>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</si>
  <si>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</si>
  <si>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</si>
  <si>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</si>
  <si>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</si>
  <si>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</si>
  <si>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</si>
  <si>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</si>
  <si>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</si>
  <si>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</si>
  <si>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</si>
  <si>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</si>
  <si>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</si>
  <si>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</si>
  <si>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</si>
  <si>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</si>
  <si>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</si>
  <si>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</si>
  <si>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</si>
  <si>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</si>
  <si>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</si>
  <si>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</si>
  <si>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</si>
  <si>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</si>
  <si>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</si>
  <si>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</si>
  <si>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</si>
  <si>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</si>
  <si>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</si>
  <si>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</si>
  <si>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</si>
  <si>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</si>
  <si>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</si>
  <si>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</si>
  <si>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</si>
  <si>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</si>
  <si>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</si>
  <si>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</si>
  <si>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</si>
  <si>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</si>
  <si>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</si>
  <si>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</si>
  <si>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</si>
  <si>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</si>
  <si>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</si>
  <si>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</si>
  <si>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</si>
  <si>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</si>
  <si>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</si>
  <si>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</si>
  <si>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</si>
  <si>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</si>
  <si>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</si>
  <si>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</si>
  <si>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</si>
  <si>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</si>
  <si>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</si>
  <si>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</si>
  <si>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</si>
  <si>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</si>
  <si>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</si>
  <si>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</si>
  <si>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</si>
  <si>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</si>
  <si>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</si>
  <si>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</si>
  <si>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</si>
  <si>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</si>
  <si>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</si>
  <si>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</si>
  <si>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</si>
  <si>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</si>
  <si>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</si>
  <si>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</si>
  <si>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</si>
  <si>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</si>
  <si>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</si>
  <si>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</si>
  <si>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</si>
  <si>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</si>
  <si>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</si>
  <si>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</si>
  <si>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</si>
  <si>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</si>
  <si>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</si>
  <si>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</si>
  <si>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</si>
  <si>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</si>
  <si>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</si>
  <si>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</si>
  <si>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</si>
  <si>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</si>
  <si>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</si>
  <si>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</si>
  <si>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</si>
  <si>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</si>
  <si>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</si>
  <si>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</si>
  <si>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</si>
  <si>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</si>
  <si>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</si>
  <si>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</si>
  <si>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</si>
  <si>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</si>
  <si>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</si>
  <si>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</si>
  <si>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</si>
  <si>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</si>
  <si>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</si>
  <si>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</si>
  <si>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</si>
  <si>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</si>
  <si>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</si>
  <si>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</si>
  <si>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</si>
  <si>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</si>
  <si>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</si>
  <si>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</si>
  <si>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</si>
  <si>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</si>
  <si>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</si>
  <si>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</si>
  <si>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</si>
  <si>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</si>
  <si>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</si>
  <si>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</si>
  <si>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</si>
  <si>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</si>
  <si>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</si>
  <si>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</si>
  <si>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</si>
  <si>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</si>
  <si>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</si>
  <si>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</si>
  <si>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</si>
  <si>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</si>
  <si>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</si>
  <si>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</si>
  <si>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</si>
  <si>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</si>
  <si>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</si>
  <si>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</si>
  <si>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</si>
  <si>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</si>
  <si>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</si>
  <si>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</si>
  <si>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</si>
  <si>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</si>
  <si>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</si>
  <si>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</si>
  <si>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</si>
  <si>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</si>
  <si>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</si>
  <si>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</si>
  <si>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</si>
  <si>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</si>
  <si>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</si>
  <si>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</si>
  <si>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</si>
  <si>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</si>
  <si>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</si>
  <si>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</si>
  <si>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</si>
  <si>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</si>
  <si>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</si>
  <si>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</si>
  <si>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</si>
  <si>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</si>
  <si>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</si>
  <si>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</si>
  <si>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</si>
  <si>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</si>
  <si>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</si>
  <si>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</si>
  <si>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</si>
  <si>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</si>
  <si>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</si>
  <si>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</si>
  <si>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</si>
  <si>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</si>
  <si>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</si>
  <si>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</si>
  <si>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</si>
  <si>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</si>
  <si>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</si>
  <si>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</si>
  <si>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</si>
  <si>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</si>
  <si>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</si>
  <si>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</si>
  <si>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</si>
  <si>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</si>
  <si>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</si>
  <si>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</si>
  <si>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</si>
  <si>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</si>
  <si>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</si>
  <si>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</si>
  <si>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</si>
  <si>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</si>
  <si>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</si>
  <si>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</si>
  <si>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</si>
  <si>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</si>
  <si>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</si>
  <si>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</si>
  <si>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</si>
  <si>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</si>
  <si>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</si>
  <si>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</si>
  <si>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</si>
  <si>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</si>
  <si>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</si>
  <si>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</si>
  <si>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</si>
  <si>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</si>
  <si>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</si>
  <si>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</si>
  <si>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</si>
  <si>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</si>
  <si>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</si>
  <si>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</si>
  <si>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</si>
  <si>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</si>
  <si>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</si>
  <si>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</si>
  <si>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</si>
  <si>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</si>
  <si>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</si>
  <si>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</si>
  <si>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</si>
  <si>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</si>
  <si>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</si>
  <si>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</si>
  <si>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</si>
  <si>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</si>
  <si>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</si>
  <si>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</si>
  <si>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</si>
  <si>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</si>
  <si>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</si>
  <si>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</si>
  <si>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</si>
  <si>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</si>
  <si>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</si>
  <si>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</si>
  <si>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</si>
  <si>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</si>
  <si>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</si>
  <si>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</si>
  <si>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</si>
  <si>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</si>
  <si>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</si>
  <si>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</si>
  <si>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</si>
  <si>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</si>
  <si>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</si>
  <si>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</si>
  <si>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</si>
  <si>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</si>
  <si>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</si>
  <si>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</si>
  <si>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</si>
  <si>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</si>
  <si>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</si>
  <si>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</si>
  <si>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</si>
  <si>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</si>
  <si>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</si>
  <si>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</si>
  <si>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</si>
  <si>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</si>
  <si>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</si>
  <si>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</si>
  <si>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</si>
  <si>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</si>
  <si>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</si>
  <si>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</si>
  <si>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</si>
  <si>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</si>
  <si>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</si>
  <si>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</si>
  <si>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</si>
  <si>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</si>
  <si>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</si>
  <si>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</si>
  <si>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</si>
  <si>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</si>
  <si>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</si>
  <si>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</si>
  <si>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</si>
  <si>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</si>
  <si>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</si>
  <si>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</si>
  <si>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</si>
  <si>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</si>
  <si>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</si>
  <si>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</si>
  <si>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</si>
  <si>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</si>
  <si>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</si>
  <si>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</si>
  <si>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</si>
  <si>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</si>
  <si>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</si>
  <si>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</si>
  <si>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</si>
  <si>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</si>
  <si>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</si>
  <si>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</si>
  <si>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</si>
  <si>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</si>
  <si>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</si>
  <si>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</si>
  <si>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</si>
  <si>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</si>
  <si>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</si>
  <si>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</si>
  <si>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</si>
  <si>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</si>
  <si>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</si>
  <si>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</si>
  <si>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</si>
  <si>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</si>
  <si>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</si>
  <si>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</si>
  <si>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</si>
  <si>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</si>
  <si>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</si>
  <si>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</si>
  <si>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</si>
  <si>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</si>
  <si>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</si>
  <si>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</si>
  <si>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</si>
  <si>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</si>
  <si>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</si>
  <si>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</si>
  <si>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</si>
  <si>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</si>
  <si>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</si>
  <si>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</si>
  <si>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</si>
  <si>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</si>
  <si>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</si>
  <si>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</si>
  <si>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</si>
  <si>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</si>
  <si>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</si>
  <si>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</si>
  <si>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</si>
  <si>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</si>
  <si>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</si>
  <si>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</si>
  <si>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</si>
  <si>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</si>
  <si>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</si>
  <si>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</si>
  <si>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</si>
  <si>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</si>
  <si>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</si>
  <si>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</si>
  <si>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</si>
  <si>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</si>
  <si>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</si>
  <si>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</si>
  <si>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</si>
  <si>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</si>
  <si>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</si>
  <si>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</si>
  <si>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</si>
  <si>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</si>
  <si>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</si>
  <si>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</si>
  <si>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</si>
  <si>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</si>
  <si>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</si>
  <si>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</si>
  <si>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</si>
  <si>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</si>
  <si>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</si>
  <si>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</si>
  <si>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</si>
  <si>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</si>
  <si>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</si>
  <si>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</si>
  <si>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</si>
  <si>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</si>
  <si>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</si>
  <si>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</si>
  <si>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</si>
  <si>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</si>
  <si>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</si>
  <si>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</si>
  <si>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</si>
  <si>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</si>
  <si>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</si>
  <si>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</si>
  <si>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</si>
  <si>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</si>
  <si>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</si>
  <si>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</si>
  <si>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</si>
  <si>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</si>
  <si>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</si>
  <si>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</si>
  <si>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</si>
  <si>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</si>
  <si>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</si>
  <si>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</si>
  <si>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</si>
  <si>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</si>
  <si>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</si>
  <si>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</si>
  <si>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</si>
  <si>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</si>
  <si>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</si>
  <si>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</si>
  <si>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</si>
  <si>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</si>
  <si>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</si>
  <si>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</si>
  <si>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</si>
  <si>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</si>
  <si>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</si>
  <si>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</si>
  <si>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</si>
  <si>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</si>
  <si>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</si>
  <si>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</si>
  <si>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</si>
  <si>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</si>
  <si>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</si>
  <si>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</si>
  <si>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</si>
  <si>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</si>
  <si>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</si>
  <si>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</si>
  <si>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</si>
  <si>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</si>
  <si>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</si>
  <si>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</si>
  <si>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</si>
  <si>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</si>
  <si>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</si>
  <si>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</si>
  <si>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</si>
  <si>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</si>
  <si>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</si>
  <si>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</si>
  <si>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</si>
  <si>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</si>
  <si>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</si>
  <si>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</si>
  <si>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</si>
  <si>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</si>
  <si>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</si>
  <si>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</si>
  <si>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</si>
  <si>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</si>
  <si>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</si>
  <si>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</si>
  <si>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</si>
  <si>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</si>
  <si>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</si>
  <si>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</si>
  <si>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</si>
  <si>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</si>
  <si>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</si>
  <si>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</si>
  <si>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</si>
  <si>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</si>
  <si>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</si>
  <si>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</si>
  <si>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</si>
  <si>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</si>
  <si>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</si>
  <si>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</si>
  <si>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</si>
  <si>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</si>
  <si>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</si>
  <si>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</si>
  <si>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</si>
  <si>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</si>
  <si>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</si>
  <si>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</si>
  <si>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</si>
  <si>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</si>
  <si>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</si>
  <si>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</si>
  <si>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</si>
  <si>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</si>
  <si>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</si>
  <si>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</si>
  <si>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</si>
  <si>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</si>
  <si>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</si>
  <si>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</si>
  <si>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</si>
  <si>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</si>
  <si>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</si>
  <si>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</si>
  <si>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</si>
  <si>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</si>
  <si>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</si>
  <si>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</si>
  <si>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</si>
  <si>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</si>
  <si>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</si>
  <si>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</si>
  <si>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</si>
  <si>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</si>
  <si>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</si>
  <si>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</si>
  <si>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</si>
  <si>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</si>
  <si>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</si>
  <si>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</si>
  <si>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</si>
  <si>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</si>
  <si>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</si>
  <si>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</si>
  <si>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</si>
  <si>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</si>
  <si>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</si>
  <si>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</si>
  <si>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</si>
  <si>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</si>
  <si>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</si>
  <si>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</si>
  <si>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</si>
  <si>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</si>
  <si>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</si>
  <si>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</si>
  <si>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</si>
  <si>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</si>
  <si>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</si>
  <si>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</si>
  <si>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</si>
  <si>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</si>
  <si>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</si>
  <si>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</si>
  <si>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</si>
  <si>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</si>
  <si>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</si>
  <si>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</si>
  <si>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</si>
  <si>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</si>
  <si>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</si>
  <si>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</si>
  <si>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</si>
  <si>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</si>
  <si>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</si>
  <si>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</si>
  <si>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</si>
  <si>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</si>
  <si>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</si>
  <si>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</si>
  <si>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</si>
  <si>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</si>
  <si>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</si>
  <si>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</si>
  <si>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</si>
  <si>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</si>
  <si>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</si>
  <si>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</si>
  <si>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</si>
  <si>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</si>
  <si>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</si>
  <si>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</si>
  <si>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</si>
  <si>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</si>
  <si>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</si>
  <si>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</si>
  <si>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</si>
  <si>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</si>
  <si>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</si>
  <si>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</si>
  <si>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</si>
  <si>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</si>
  <si>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</si>
  <si>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</si>
  <si>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</si>
  <si>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</si>
  <si>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</si>
  <si>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</si>
  <si>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</si>
  <si>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</si>
  <si>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</si>
  <si>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</si>
  <si>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</si>
  <si>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</si>
  <si>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</si>
  <si>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</si>
  <si>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</si>
  <si>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</si>
  <si>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</si>
  <si>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</si>
  <si>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</si>
  <si>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</si>
  <si>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</si>
  <si>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</si>
  <si>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</si>
  <si>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</si>
  <si>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</si>
  <si>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</si>
  <si>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</si>
  <si>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</si>
  <si>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</si>
  <si>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</si>
  <si>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</si>
  <si>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</si>
  <si>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</si>
  <si>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</si>
  <si>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</si>
  <si>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</si>
  <si>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</si>
  <si>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</si>
  <si>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</si>
  <si>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</si>
  <si>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</si>
  <si>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</si>
  <si>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</si>
  <si>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</si>
  <si>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</si>
  <si>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</si>
  <si>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</si>
  <si>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</si>
  <si>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</si>
  <si>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</si>
  <si>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</si>
  <si>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</si>
  <si>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</si>
  <si>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</si>
  <si>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</si>
  <si>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</si>
  <si>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</si>
  <si>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</si>
  <si>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</si>
  <si>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</si>
  <si>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</si>
  <si>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</si>
  <si>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</si>
  <si>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</si>
  <si>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</si>
  <si>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</si>
  <si>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</si>
  <si>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</si>
  <si>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</si>
  <si>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</si>
  <si>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</si>
  <si>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</si>
  <si>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</si>
  <si>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</si>
  <si>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</si>
  <si>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</si>
  <si>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</si>
  <si>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</si>
  <si>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</si>
  <si>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</si>
  <si>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</si>
  <si>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</si>
  <si>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</si>
  <si>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</si>
  <si>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</si>
  <si>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</si>
  <si>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</si>
  <si>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</si>
  <si>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</si>
  <si>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</si>
  <si>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</si>
  <si>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</si>
  <si>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</si>
  <si>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</si>
  <si>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</si>
  <si>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</si>
  <si>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</si>
  <si>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</si>
  <si>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</si>
  <si>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</si>
  <si>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</si>
  <si>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</si>
  <si>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</si>
  <si>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</si>
  <si>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</si>
  <si>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</si>
  <si>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</si>
  <si>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</si>
  <si>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</si>
  <si>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</si>
  <si>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</si>
  <si>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</si>
  <si>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</si>
  <si>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</si>
  <si>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</si>
  <si>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</si>
  <si>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</si>
  <si>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</si>
  <si>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</si>
  <si>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</si>
  <si>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</si>
  <si>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</si>
  <si>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</si>
  <si>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</si>
  <si>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</si>
  <si>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</si>
  <si>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</si>
  <si>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</si>
  <si>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</si>
  <si>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</si>
  <si>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</si>
  <si>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</si>
  <si>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</si>
  <si>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</si>
  <si>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</si>
  <si>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</si>
  <si>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</si>
  <si>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</si>
  <si>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</si>
  <si>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</si>
  <si>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</si>
  <si>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</si>
  <si>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</si>
  <si>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</si>
  <si>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</si>
  <si>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</si>
  <si>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</si>
  <si>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</si>
  <si>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</si>
  <si>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</si>
  <si>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</si>
  <si>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</si>
  <si>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</si>
  <si>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</si>
  <si>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</si>
  <si>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</si>
  <si>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</si>
  <si>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</si>
  <si>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</si>
  <si>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</si>
  <si>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</si>
  <si>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</si>
  <si>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</si>
  <si>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</si>
  <si>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</si>
  <si>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</si>
  <si>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</si>
  <si>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</si>
  <si>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</si>
  <si>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</si>
  <si>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</si>
  <si>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</si>
  <si>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</si>
  <si>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</si>
  <si>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</si>
  <si>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</si>
  <si>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</si>
  <si>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</si>
  <si>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</si>
  <si>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</si>
  <si>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</si>
  <si>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</si>
  <si>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</si>
  <si>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</si>
  <si>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</si>
  <si>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</si>
  <si>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</si>
  <si>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</si>
  <si>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</si>
  <si>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</si>
  <si>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</si>
  <si>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</si>
  <si>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</si>
  <si>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</si>
  <si>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</si>
  <si>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</si>
  <si>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</si>
  <si>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</si>
  <si>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</si>
  <si>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</si>
  <si>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</si>
  <si>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</si>
  <si>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</si>
  <si>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</si>
  <si>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</si>
  <si>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</si>
  <si>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</si>
  <si>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</si>
  <si>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</si>
  <si>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</si>
  <si>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</si>
  <si>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</si>
  <si>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</si>
  <si>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</si>
  <si>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</si>
  <si>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</si>
  <si>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</si>
  <si>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</si>
  <si>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</si>
  <si>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</si>
  <si>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</si>
  <si>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</si>
  <si>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</si>
  <si>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</si>
  <si>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</si>
  <si>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</si>
  <si>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</si>
  <si>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</si>
  <si>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</si>
  <si>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</si>
  <si>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</si>
  <si>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</si>
  <si>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</si>
  <si>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</si>
  <si>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</si>
  <si>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</si>
  <si>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</si>
  <si>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</si>
  <si>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</si>
  <si>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</si>
  <si>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</si>
  <si>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</si>
  <si>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</si>
  <si>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</si>
  <si>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</si>
  <si>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</si>
  <si>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</si>
  <si>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</si>
  <si>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</si>
  <si>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</si>
  <si>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</si>
  <si>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</si>
  <si>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</si>
  <si>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</si>
  <si>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</si>
  <si>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</si>
  <si>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</si>
  <si>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</si>
  <si>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</si>
  <si>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</si>
  <si>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</si>
  <si>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</si>
  <si>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</si>
  <si>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</si>
  <si>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</si>
  <si>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</si>
  <si>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</si>
  <si>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</si>
  <si>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</si>
  <si>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</si>
  <si>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</si>
  <si>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</si>
  <si>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</si>
  <si>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</si>
  <si>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</si>
  <si>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</si>
  <si>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</si>
  <si>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</si>
  <si>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</si>
  <si>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</si>
  <si>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</si>
  <si>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</si>
  <si>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</si>
  <si>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</si>
  <si>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</si>
  <si>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</si>
  <si>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</si>
  <si>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</si>
  <si>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</si>
  <si>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</si>
  <si>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</si>
  <si>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</si>
  <si>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</si>
  <si>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</si>
  <si>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</si>
  <si>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</si>
  <si>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</si>
  <si>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</si>
  <si>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</si>
  <si>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</si>
  <si>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</si>
  <si>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</si>
  <si>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</si>
  <si>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</si>
  <si>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</si>
  <si>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</si>
  <si>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</si>
  <si>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</si>
  <si>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</si>
  <si>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</si>
  <si>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</si>
  <si>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</si>
  <si>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</si>
  <si>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</si>
  <si>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</si>
  <si>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</si>
  <si>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</si>
  <si>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</si>
  <si>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</si>
  <si>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</si>
  <si>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</si>
  <si>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</si>
  <si>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</si>
  <si>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</si>
  <si>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</si>
  <si>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</si>
  <si>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</si>
  <si>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</si>
  <si>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</si>
  <si>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</si>
  <si>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</si>
  <si>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</si>
  <si>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</si>
  <si>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</si>
  <si>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</si>
  <si>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</si>
  <si>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</si>
  <si>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</si>
  <si>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</si>
  <si>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</si>
  <si>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</si>
  <si>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</si>
  <si>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</si>
  <si>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</si>
  <si>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</si>
  <si>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</si>
  <si>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</si>
  <si>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</si>
  <si>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</si>
  <si>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</si>
  <si>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</si>
  <si>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</si>
  <si>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</si>
  <si>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</si>
  <si>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</si>
  <si>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</si>
  <si>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</si>
  <si>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</si>
  <si>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</si>
  <si>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</si>
  <si>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</si>
  <si>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</si>
  <si>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</si>
  <si>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</si>
  <si>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</si>
  <si>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</si>
  <si>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</si>
  <si>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</si>
  <si>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</si>
  <si>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</si>
  <si>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</si>
  <si>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</si>
  <si>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</si>
  <si>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</si>
  <si>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</si>
  <si>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</si>
  <si>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</si>
  <si>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</si>
  <si>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</si>
  <si>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</si>
  <si>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</si>
  <si>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</si>
  <si>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</si>
  <si>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</si>
  <si>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</si>
  <si>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</si>
  <si>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</si>
  <si>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</si>
  <si>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</si>
  <si>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</si>
  <si>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</si>
  <si>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</si>
  <si>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</si>
  <si>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</si>
  <si>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</si>
  <si>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</si>
  <si>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</si>
  <si>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</si>
  <si>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</si>
  <si>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</si>
  <si>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</si>
  <si>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</si>
  <si>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</si>
  <si>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</si>
  <si>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</si>
  <si>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</si>
  <si>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</si>
  <si>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</si>
  <si>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</si>
  <si>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</si>
  <si>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</si>
  <si>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</si>
  <si>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</si>
  <si>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</si>
  <si>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</si>
  <si>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</si>
  <si>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</si>
  <si>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</si>
  <si>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</si>
  <si>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</si>
  <si>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</si>
  <si>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</si>
  <si>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</si>
  <si>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</si>
  <si>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</si>
  <si>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</si>
  <si>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</si>
  <si>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</si>
  <si>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</si>
  <si>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</si>
  <si>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</si>
  <si>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</si>
  <si>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</si>
  <si>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</si>
  <si>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</si>
  <si>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</si>
  <si>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</si>
  <si>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</si>
  <si>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</si>
  <si>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</si>
  <si>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</si>
  <si>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</si>
  <si>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</si>
  <si>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</si>
  <si>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</si>
  <si>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</si>
  <si>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</si>
  <si>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</si>
  <si>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</si>
  <si>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</si>
  <si>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</si>
  <si>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</si>
  <si>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</si>
  <si>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</si>
  <si>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</si>
  <si>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</si>
  <si>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</si>
  <si>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</si>
  <si>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</si>
  <si>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</si>
  <si>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</si>
  <si>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</si>
  <si>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</si>
  <si>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</si>
  <si>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</si>
  <si>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</si>
  <si>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</si>
  <si>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</si>
  <si>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</si>
  <si>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</si>
  <si>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</si>
  <si>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</si>
  <si>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</si>
  <si>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</si>
  <si>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</si>
  <si>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</si>
  <si>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</si>
  <si>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</si>
  <si>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</si>
  <si>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</si>
  <si>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</si>
  <si>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</si>
  <si>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</si>
  <si>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</si>
  <si>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</si>
  <si>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</si>
  <si>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</si>
  <si>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</si>
  <si>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</si>
  <si>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</si>
  <si>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</si>
  <si>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</si>
  <si>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</si>
  <si>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</si>
  <si>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</si>
  <si>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</si>
  <si>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</si>
  <si>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</si>
  <si>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</si>
  <si>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</si>
  <si>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</si>
  <si>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</si>
  <si>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</si>
  <si>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</si>
  <si>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</si>
  <si>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</si>
  <si>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</si>
  <si>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</si>
  <si>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</si>
  <si>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</si>
  <si>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</si>
  <si>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</si>
  <si>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</si>
  <si>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</si>
  <si>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</si>
  <si>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</si>
  <si>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</si>
  <si>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</si>
  <si>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</si>
  <si>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</si>
  <si>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</si>
  <si>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</si>
  <si>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</si>
  <si>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</si>
  <si>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</si>
  <si>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</si>
  <si>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</si>
  <si>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</si>
  <si>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</si>
  <si>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</si>
  <si>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</si>
  <si>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</si>
  <si>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</si>
  <si>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</si>
  <si>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</si>
  <si>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</si>
  <si>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</si>
  <si>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</si>
  <si>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</si>
  <si>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</si>
  <si>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</si>
  <si>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</si>
  <si>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</si>
  <si>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</si>
  <si>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</si>
  <si>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</si>
  <si>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</si>
  <si>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</si>
  <si>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</si>
  <si>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</si>
  <si>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</si>
  <si>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</si>
  <si>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</si>
  <si>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</si>
  <si>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</si>
  <si>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</si>
  <si>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</si>
  <si>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</si>
  <si>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</si>
  <si>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</si>
  <si>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</si>
  <si>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</si>
  <si>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</si>
  <si>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</si>
  <si>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</si>
  <si>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</si>
  <si>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</si>
  <si>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</si>
  <si>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</si>
  <si>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</si>
  <si>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</si>
  <si>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</si>
  <si>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</si>
  <si>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</si>
  <si>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</si>
  <si>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</si>
  <si>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</si>
  <si>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</si>
  <si>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</si>
  <si>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</si>
  <si>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</si>
  <si>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</si>
  <si>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</si>
  <si>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</si>
  <si>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</si>
  <si>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</si>
  <si>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</si>
  <si>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</si>
  <si>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</si>
  <si>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</si>
  <si>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</si>
  <si>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</si>
  <si>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</si>
  <si>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</si>
  <si>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</si>
  <si>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</si>
  <si>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</si>
  <si>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</si>
  <si>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</si>
  <si>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</si>
  <si>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</si>
  <si>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</si>
  <si>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</si>
  <si>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</si>
  <si>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</si>
  <si>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</si>
  <si>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</si>
  <si>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</si>
  <si>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</si>
  <si>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</si>
  <si>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</si>
  <si>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</si>
  <si>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</si>
  <si>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</si>
  <si>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</si>
  <si>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</si>
  <si>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</si>
  <si>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</si>
  <si>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</si>
  <si>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</si>
  <si>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Covid Demais Componentes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</si>
  <si>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</si>
  <si>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</si>
  <si>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</si>
  <si>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</si>
  <si>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</si>
  <si>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</si>
  <si>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</si>
  <si>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</si>
  <si>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</si>
  <si>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</si>
  <si>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</si>
  <si>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</si>
  <si>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</si>
  <si>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</si>
  <si>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</si>
  <si>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</si>
  <si>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</si>
  <si>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</si>
  <si>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</si>
  <si>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</si>
  <si>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</si>
  <si>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</si>
  <si>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</si>
  <si>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</si>
  <si>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</si>
  <si>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</si>
  <si>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</si>
  <si>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</si>
  <si>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</si>
  <si>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</si>
  <si>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</si>
  <si>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</si>
  <si>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DSP 1959/2022</t>
  </si>
  <si>
    <t>CDE Covid</t>
  </si>
  <si>
    <t>DSP  939/2021</t>
  </si>
  <si>
    <t>CDE Covid TUSD%</t>
  </si>
  <si>
    <t>CDE Covid TE%</t>
  </si>
  <si>
    <t>Desp. 521/2022</t>
  </si>
  <si>
    <t>CEGERO</t>
  </si>
  <si>
    <t>CELESC-DIS</t>
  </si>
  <si>
    <t>RESOLUÇÃO HOMOLOGATÓRIA Nº 3.094, DE 16 DE AGOSTO DE 2022</t>
  </si>
  <si>
    <t>Fora ponta</t>
  </si>
  <si>
    <t>Energia suprimento permissionária</t>
  </si>
  <si>
    <t>COOPERATIVA DE ELETRICIDADE DE SÃO LUDGERO</t>
  </si>
  <si>
    <t>A2 (88 a 138 kV)</t>
  </si>
  <si>
    <t>01-20217418325892-9</t>
  </si>
  <si>
    <t>01-20217513095504-81</t>
  </si>
  <si>
    <t>01-20217663039787-77</t>
  </si>
  <si>
    <t>01-20217820470900-92</t>
  </si>
  <si>
    <t>01-20217907499773-8</t>
  </si>
  <si>
    <t>01-20218171456201-58</t>
  </si>
  <si>
    <t>01-20228358671048-53</t>
  </si>
  <si>
    <t>01-20228483466787-90</t>
  </si>
  <si>
    <t>01-20228640270437-6</t>
  </si>
  <si>
    <t>01-20228723188794-0</t>
  </si>
  <si>
    <t>01-20228888328450-3</t>
  </si>
  <si>
    <t>01-20229025731080-57</t>
  </si>
  <si>
    <t>01-20229166328441-30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</si>
  <si>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</si>
  <si>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</si>
  <si>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</si>
  <si>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</si>
  <si>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</si>
  <si>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</si>
  <si>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</si>
  <si>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</si>
  <si>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Azul</t>
  </si>
  <si>
    <t>Verde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</si>
  <si>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</si>
  <si>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</si>
  <si>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</si>
  <si>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</si>
  <si>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</si>
  <si>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</si>
  <si>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</si>
  <si>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</si>
  <si>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</si>
  <si>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</si>
  <si>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</si>
  <si>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PINHEIROS II</t>
  </si>
  <si>
    <t>GERAÇÃO</t>
  </si>
  <si>
    <t>RIO DAS FURNAS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</si>
  <si>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</si>
  <si>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</si>
  <si>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</si>
  <si>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</si>
  <si>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</si>
  <si>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</si>
  <si>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</si>
  <si>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</si>
  <si>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</si>
  <si>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</si>
  <si>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</si>
  <si>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</si>
  <si>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</si>
  <si>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Reversão Diferimento Parcela B</t>
  </si>
  <si>
    <t>Cemig GT</t>
  </si>
  <si>
    <t>01-20229309989097-24</t>
  </si>
  <si>
    <t>Of. 14/2022, de 31/08/2022.</t>
  </si>
  <si>
    <t>Hélvio Guerra</t>
  </si>
  <si>
    <t>Diferimento de Energia</t>
  </si>
  <si>
    <t xml:space="preserve">Repasse de ICMS </t>
  </si>
  <si>
    <t>Diferimento de PIS COFINS</t>
  </si>
  <si>
    <t>Conta Escassez H. - Diferimento Parcela B</t>
  </si>
  <si>
    <t xml:space="preserve">Reversão do Diferimento de Compra de Energia </t>
  </si>
  <si>
    <t>Reversão do Diferimento de Parcela B</t>
  </si>
  <si>
    <t>Diferimento Parcela B</t>
  </si>
  <si>
    <t>Reversão do Diferimento de Pis Cofins</t>
  </si>
  <si>
    <t>Reversão do Diferimento de Pis Cofins TUSD</t>
  </si>
  <si>
    <t>Reversão do Diferimento de Pis Cofins TE</t>
  </si>
  <si>
    <t>01-20229472833909-22</t>
  </si>
  <si>
    <t>Despacho 1.177/2022, 3/5/2022</t>
  </si>
  <si>
    <t>Subvenção Baixa Densidade Carga</t>
  </si>
  <si>
    <t>Garantias financeiras na contratação regulada de energia (CCEAR)</t>
  </si>
  <si>
    <t>Diferimento da Previsão de Risco Hidrologico - Energia de Revenda</t>
  </si>
  <si>
    <t>Diferimento da Previsão de Risco Hidrologico - Perda Não Técnica</t>
  </si>
  <si>
    <t>Diferimento da Previsão de Risco Hidrologico - Perda Técnica</t>
  </si>
  <si>
    <t>Diferimento da Previsão de Risco Hidrologico - Perda Rede Básica sobre Dist.</t>
  </si>
  <si>
    <t>Diferimento da Previsão de Risco Hidrologico - Perda Rede Básica sobre mercado Cat.</t>
  </si>
  <si>
    <t xml:space="preserve">Diferimento CUSD </t>
  </si>
  <si>
    <t>Diferimento da Previsão do Risco Hidrológico</t>
  </si>
  <si>
    <t>Garantias Financeiras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</si>
</sst>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2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51">
    <xf numFmtId="0" fontId="0" fillId="0" borderId="0"/>
    <xf numFmtId="0" fontId="48" fillId="0" borderId="0">
      <alignment vertical="center"/>
    </xf>
    <xf numFmtId="0" fontId="49" fillId="0" borderId="0">
      <alignment vertical="center"/>
    </xf>
    <xf numFmtId="0" fontId="48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9" fillId="0" borderId="0">
      <alignment vertical="center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9" fillId="0" borderId="0">
      <alignment vertical="center"/>
    </xf>
    <xf numFmtId="0" fontId="48" fillId="0" borderId="0">
      <alignment vertical="center"/>
    </xf>
    <xf numFmtId="0" fontId="49" fillId="0" borderId="0">
      <alignment vertical="center"/>
    </xf>
    <xf numFmtId="0" fontId="48" fillId="0" borderId="0">
      <alignment vertical="center"/>
    </xf>
    <xf numFmtId="0" fontId="49" fillId="0" borderId="0">
      <alignment vertical="center"/>
    </xf>
    <xf numFmtId="0" fontId="48" fillId="0" borderId="0">
      <alignment vertical="center"/>
    </xf>
    <xf numFmtId="0" fontId="49" fillId="0" borderId="0">
      <alignment vertical="center"/>
    </xf>
    <xf numFmtId="0" fontId="48" fillId="0" borderId="0">
      <alignment vertical="center"/>
    </xf>
    <xf numFmtId="0" fontId="49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center"/>
    </xf>
    <xf numFmtId="0" fontId="48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4" fillId="0" borderId="0"/>
    <xf numFmtId="0" fontId="34" fillId="0" borderId="0"/>
    <xf numFmtId="0" fontId="34" fillId="0" borderId="0"/>
    <xf numFmtId="0" fontId="48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9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14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0" fillId="0" borderId="0">
      <alignment vertical="top"/>
    </xf>
    <xf numFmtId="0" fontId="114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9" fillId="0" borderId="0">
      <alignment vertical="center"/>
    </xf>
    <xf numFmtId="0" fontId="48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3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8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4" fillId="0" borderId="0"/>
    <xf numFmtId="0" fontId="34" fillId="0" borderId="0"/>
    <xf numFmtId="0" fontId="34" fillId="0" borderId="0"/>
    <xf numFmtId="3" fontId="51" fillId="2" borderId="0">
      <alignment horizontal="left"/>
    </xf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3" fontId="53" fillId="9" borderId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6" borderId="0" applyNumberFormat="0" applyBorder="0" applyAlignment="0" applyProtection="0"/>
    <xf numFmtId="0" fontId="52" fillId="10" borderId="0" applyNumberFormat="0" applyBorder="0" applyAlignment="0" applyProtection="0"/>
    <xf numFmtId="0" fontId="52" fillId="13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6" borderId="0" applyNumberFormat="0" applyBorder="0" applyAlignment="0" applyProtection="0"/>
    <xf numFmtId="0" fontId="52" fillId="10" borderId="0" applyNumberFormat="0" applyBorder="0" applyAlignment="0" applyProtection="0"/>
    <xf numFmtId="0" fontId="52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4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0" borderId="0"/>
    <xf numFmtId="0" fontId="56" fillId="0" borderId="0"/>
    <xf numFmtId="0" fontId="56" fillId="0" borderId="0"/>
    <xf numFmtId="37" fontId="57" fillId="0" borderId="0"/>
    <xf numFmtId="0" fontId="57" fillId="0" borderId="1" applyBorder="0"/>
    <xf numFmtId="0" fontId="54" fillId="18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21" borderId="0" applyNumberFormat="0" applyBorder="0" applyAlignment="0" applyProtection="0"/>
    <xf numFmtId="177" fontId="35" fillId="22" borderId="2">
      <alignment horizontal="center" vertical="center"/>
    </xf>
    <xf numFmtId="0" fontId="44" fillId="0" borderId="0"/>
    <xf numFmtId="10" fontId="34" fillId="23" borderId="0" applyFont="0" applyBorder="0" applyAlignment="0">
      <protection locked="0"/>
    </xf>
    <xf numFmtId="173" fontId="34" fillId="23" borderId="0" applyBorder="0" applyAlignment="0">
      <protection locked="0"/>
    </xf>
    <xf numFmtId="3" fontId="58" fillId="0" borderId="0" applyNumberFormat="0" applyFill="0" applyBorder="0" applyAlignment="0" applyProtection="0"/>
    <xf numFmtId="3" fontId="59" fillId="0" borderId="0" applyNumberFormat="0" applyFill="0" applyBorder="0" applyAlignment="0" applyProtection="0"/>
    <xf numFmtId="0" fontId="60" fillId="4" borderId="0" applyNumberFormat="0" applyBorder="0" applyAlignment="0" applyProtection="0"/>
    <xf numFmtId="0" fontId="61" fillId="0" borderId="0" applyNumberFormat="0" applyFill="0" applyBorder="0" applyAlignment="0" applyProtection="0"/>
    <xf numFmtId="0" fontId="34" fillId="0" borderId="0" applyNumberFormat="0" applyFill="0" applyBorder="0" applyAlignment="0"/>
    <xf numFmtId="178" fontId="62" fillId="0" borderId="0">
      <alignment vertical="top"/>
    </xf>
    <xf numFmtId="179" fontId="63" fillId="0" borderId="3"/>
    <xf numFmtId="0" fontId="64" fillId="5" borderId="0" applyNumberFormat="0" applyBorder="0" applyAlignment="0" applyProtection="0"/>
    <xf numFmtId="0" fontId="65" fillId="0" borderId="0">
      <protection locked="0"/>
    </xf>
    <xf numFmtId="0" fontId="65" fillId="0" borderId="0">
      <protection locked="0"/>
    </xf>
    <xf numFmtId="14" fontId="66" fillId="24" borderId="4" applyBorder="0" applyAlignment="0">
      <alignment horizontal="center" vertical="center"/>
    </xf>
    <xf numFmtId="0" fontId="66" fillId="25" borderId="4" applyNumberFormat="0" applyBorder="0" applyAlignment="0">
      <alignment horizontal="center" vertical="center"/>
    </xf>
    <xf numFmtId="180" fontId="44" fillId="0" borderId="0" applyFill="0" applyBorder="0" applyAlignment="0"/>
    <xf numFmtId="178" fontId="67" fillId="0" borderId="0" applyFill="0" applyBorder="0" applyAlignment="0"/>
    <xf numFmtId="174" fontId="67" fillId="0" borderId="0" applyFill="0" applyBorder="0" applyAlignment="0"/>
    <xf numFmtId="175" fontId="49" fillId="0" borderId="0" applyFill="0" applyBorder="0" applyAlignment="0"/>
    <xf numFmtId="181" fontId="34" fillId="0" borderId="0" applyFill="0" applyBorder="0" applyAlignment="0"/>
    <xf numFmtId="180" fontId="44" fillId="0" borderId="0" applyFill="0" applyBorder="0" applyAlignment="0"/>
    <xf numFmtId="0" fontId="44" fillId="0" borderId="0" applyFill="0" applyBorder="0" applyAlignment="0"/>
    <xf numFmtId="178" fontId="67" fillId="0" borderId="0" applyFill="0" applyBorder="0" applyAlignment="0"/>
    <xf numFmtId="0" fontId="68" fillId="26" borderId="5" applyNumberFormat="0" applyAlignment="0" applyProtection="0"/>
    <xf numFmtId="0" fontId="68" fillId="26" borderId="5" applyNumberFormat="0" applyAlignment="0" applyProtection="0"/>
    <xf numFmtId="40" fontId="67" fillId="23" borderId="6">
      <alignment vertical="center"/>
    </xf>
    <xf numFmtId="0" fontId="69" fillId="27" borderId="7" applyNumberFormat="0" applyAlignment="0" applyProtection="0"/>
    <xf numFmtId="0" fontId="70" fillId="0" borderId="8" applyNumberFormat="0" applyFill="0" applyAlignment="0" applyProtection="0"/>
    <xf numFmtId="0" fontId="69" fillId="27" borderId="7" applyNumberFormat="0" applyAlignment="0" applyProtection="0"/>
    <xf numFmtId="0" fontId="71" fillId="28" borderId="9" applyFont="0" applyFill="0" applyBorder="0"/>
    <xf numFmtId="0" fontId="46" fillId="0" borderId="10"/>
    <xf numFmtId="0" fontId="72" fillId="0" borderId="11"/>
    <xf numFmtId="41" fontId="116" fillId="0" borderId="0" applyFont="0" applyFill="0" applyBorder="0" applyAlignment="0" applyProtection="0"/>
    <xf numFmtId="180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43" fontId="116" fillId="0" borderId="0" applyFont="0" applyFill="0" applyBorder="0" applyAlignment="0" applyProtection="0"/>
    <xf numFmtId="3" fontId="73" fillId="0" borderId="0" applyFont="0" applyFill="0" applyBorder="0" applyAlignment="0" applyProtection="0"/>
    <xf numFmtId="168" fontId="34" fillId="29" borderId="0" applyNumberFormat="0" applyFont="0" applyBorder="0" applyAlignment="0" applyProtection="0"/>
    <xf numFmtId="0" fontId="72" fillId="0" borderId="11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198" fontId="116" fillId="0" borderId="0" applyFont="0" applyFill="0" applyBorder="0" applyAlignment="0" applyProtection="0"/>
    <xf numFmtId="178" fontId="67" fillId="0" borderId="0" applyFont="0" applyFill="0" applyBorder="0" applyAlignment="0" applyProtection="0"/>
    <xf numFmtId="199" fontId="116" fillId="0" borderId="0" applyFont="0" applyFill="0" applyBorder="0" applyAlignment="0" applyProtection="0"/>
    <xf numFmtId="182" fontId="73" fillId="0" borderId="0" applyFont="0" applyFill="0" applyBorder="0" applyAlignment="0" applyProtection="0"/>
    <xf numFmtId="0" fontId="65" fillId="0" borderId="0">
      <protection locked="0"/>
    </xf>
    <xf numFmtId="169" fontId="75" fillId="0" borderId="0">
      <protection locked="0"/>
    </xf>
    <xf numFmtId="14" fontId="43" fillId="0" borderId="0" applyFill="0" applyBorder="0" applyAlignment="0"/>
    <xf numFmtId="0" fontId="34" fillId="0" borderId="0" applyFont="0" applyFill="0" applyBorder="0" applyProtection="0">
      <alignment horizontal="left"/>
    </xf>
    <xf numFmtId="0" fontId="34" fillId="0" borderId="0" applyFont="0" applyFill="0" applyBorder="0" applyAlignment="0" applyProtection="0">
      <protection locked="0"/>
    </xf>
    <xf numFmtId="39" fontId="72" fillId="0" borderId="0" applyFont="0" applyFill="0" applyBorder="0" applyAlignment="0" applyProtection="0"/>
    <xf numFmtId="0" fontId="74" fillId="0" borderId="0" applyFont="0" applyFill="0" applyBorder="0" applyAlignment="0"/>
    <xf numFmtId="183" fontId="44" fillId="0" borderId="12">
      <alignment vertical="center"/>
    </xf>
    <xf numFmtId="0" fontId="54" fillId="18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21" borderId="0" applyNumberFormat="0" applyBorder="0" applyAlignment="0" applyProtection="0"/>
    <xf numFmtId="180" fontId="44" fillId="0" borderId="0" applyFill="0" applyBorder="0" applyAlignment="0"/>
    <xf numFmtId="178" fontId="67" fillId="0" borderId="0" applyFill="0" applyBorder="0" applyAlignment="0"/>
    <xf numFmtId="180" fontId="44" fillId="0" borderId="0" applyFill="0" applyBorder="0" applyAlignment="0"/>
    <xf numFmtId="0" fontId="44" fillId="0" borderId="0" applyFill="0" applyBorder="0" applyAlignment="0"/>
    <xf numFmtId="178" fontId="67" fillId="0" borderId="0" applyFill="0" applyBorder="0" applyAlignment="0"/>
    <xf numFmtId="0" fontId="76" fillId="8" borderId="5" applyNumberFormat="0" applyAlignment="0" applyProtection="0"/>
    <xf numFmtId="0" fontId="48" fillId="0" borderId="0">
      <alignment vertical="center"/>
    </xf>
    <xf numFmtId="184" fontId="34" fillId="0" borderId="0" applyFont="0" applyFill="0" applyBorder="0" applyAlignment="0" applyProtection="0"/>
    <xf numFmtId="3" fontId="42" fillId="0" borderId="13" applyFill="0" applyBorder="0"/>
    <xf numFmtId="0" fontId="77" fillId="0" borderId="0" applyNumberFormat="0" applyFill="0" applyBorder="0" applyAlignment="0" applyProtection="0"/>
    <xf numFmtId="37" fontId="78" fillId="0" borderId="0" applyBorder="0" applyAlignment="0"/>
    <xf numFmtId="185" fontId="34" fillId="0" borderId="0">
      <protection locked="0"/>
    </xf>
    <xf numFmtId="186" fontId="65" fillId="0" borderId="0"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0" fontId="79" fillId="23" borderId="0" applyNumberFormat="0" applyFont="0" applyBorder="0" applyAlignment="0" applyProtection="0">
      <alignment horizontal="centerContinuous"/>
    </xf>
    <xf numFmtId="0" fontId="79" fillId="30" borderId="0" applyNumberFormat="0" applyFont="0" applyBorder="0" applyAlignment="0" applyProtection="0">
      <alignment horizontal="centerContinuous"/>
    </xf>
    <xf numFmtId="0" fontId="80" fillId="9" borderId="14" applyNumberFormat="0" applyFont="0" applyBorder="0" applyAlignment="0"/>
    <xf numFmtId="0" fontId="44" fillId="23" borderId="15" applyNumberFormat="0" applyFont="0" applyBorder="0" applyAlignment="0" applyProtection="0"/>
    <xf numFmtId="10" fontId="34" fillId="23" borderId="0" applyNumberFormat="0" applyFont="0" applyBorder="0" applyAlignment="0"/>
    <xf numFmtId="0" fontId="64" fillId="5" borderId="0" applyNumberFormat="0" applyBorder="0" applyAlignment="0" applyProtection="0"/>
    <xf numFmtId="38" fontId="81" fillId="9" borderId="0" applyNumberFormat="0" applyBorder="0" applyAlignment="0" applyProtection="0"/>
    <xf numFmtId="0" fontId="82" fillId="0" borderId="0" applyNumberFormat="0" applyFill="0" applyBorder="0" applyAlignment="0" applyProtection="0"/>
    <xf numFmtId="0" fontId="83" fillId="0" borderId="16" applyNumberFormat="0" applyAlignment="0" applyProtection="0">
      <alignment horizontal="left" vertical="center"/>
    </xf>
    <xf numFmtId="0" fontId="83" fillId="0" borderId="17">
      <alignment horizontal="left" vertical="center"/>
    </xf>
    <xf numFmtId="0" fontId="84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18" applyNumberFormat="0" applyFill="0" applyAlignment="0" applyProtection="0"/>
    <xf numFmtId="0" fontId="86" fillId="0" borderId="0" applyNumberFormat="0" applyFill="0" applyBorder="0" applyAlignment="0" applyProtection="0"/>
    <xf numFmtId="187" fontId="34" fillId="0" borderId="0">
      <protection locked="0"/>
    </xf>
    <xf numFmtId="187" fontId="34" fillId="0" borderId="0">
      <protection locked="0"/>
    </xf>
    <xf numFmtId="0" fontId="87" fillId="0" borderId="19" applyNumberFormat="0" applyFill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60" fillId="4" borderId="0" applyNumberFormat="0" applyBorder="0" applyAlignment="0" applyProtection="0"/>
    <xf numFmtId="0" fontId="48" fillId="0" borderId="0"/>
    <xf numFmtId="37" fontId="88" fillId="0" borderId="0" applyFill="0" applyBorder="0" applyAlignment="0">
      <protection locked="0"/>
    </xf>
    <xf numFmtId="0" fontId="88" fillId="0" borderId="20" applyFill="0" applyBorder="0" applyAlignment="0">
      <alignment horizontal="center"/>
      <protection locked="0"/>
    </xf>
    <xf numFmtId="10" fontId="81" fillId="23" borderId="6" applyNumberFormat="0" applyBorder="0" applyAlignment="0" applyProtection="0"/>
    <xf numFmtId="0" fontId="34" fillId="0" borderId="0" applyFill="0" applyBorder="0" applyAlignment="0">
      <protection locked="0"/>
    </xf>
    <xf numFmtId="0" fontId="74" fillId="0" borderId="0" applyFill="0" applyBorder="0" applyAlignment="0" applyProtection="0">
      <protection locked="0"/>
    </xf>
    <xf numFmtId="180" fontId="44" fillId="0" borderId="0" applyFill="0" applyBorder="0" applyAlignment="0"/>
    <xf numFmtId="178" fontId="67" fillId="0" borderId="0" applyFill="0" applyBorder="0" applyAlignment="0"/>
    <xf numFmtId="180" fontId="44" fillId="0" borderId="0" applyFill="0" applyBorder="0" applyAlignment="0"/>
    <xf numFmtId="0" fontId="44" fillId="0" borderId="0" applyFill="0" applyBorder="0" applyAlignment="0"/>
    <xf numFmtId="178" fontId="67" fillId="0" borderId="0" applyFill="0" applyBorder="0" applyAlignment="0"/>
    <xf numFmtId="0" fontId="70" fillId="0" borderId="8" applyNumberFormat="0" applyFill="0" applyAlignment="0" applyProtection="0"/>
    <xf numFmtId="167" fontId="32" fillId="0" borderId="0" applyFont="0" applyFill="0" applyBorder="0" applyAlignment="0" applyProtection="0"/>
    <xf numFmtId="188" fontId="65" fillId="0" borderId="0">
      <protection locked="0"/>
    </xf>
    <xf numFmtId="0" fontId="34" fillId="0" borderId="0" applyFont="0" applyFill="0" applyBorder="0" applyAlignment="0" applyProtection="0"/>
    <xf numFmtId="3" fontId="89" fillId="2" borderId="1">
      <alignment horizontal="center"/>
    </xf>
    <xf numFmtId="0" fontId="90" fillId="31" borderId="0" applyNumberFormat="0" applyBorder="0" applyAlignment="0" applyProtection="0"/>
    <xf numFmtId="0" fontId="90" fillId="31" borderId="0" applyNumberFormat="0" applyBorder="0" applyAlignment="0" applyProtection="0"/>
    <xf numFmtId="37" fontId="91" fillId="0" borderId="0"/>
    <xf numFmtId="189" fontId="92" fillId="0" borderId="0"/>
    <xf numFmtId="190" fontId="93" fillId="0" borderId="0"/>
    <xf numFmtId="191" fontId="93" fillId="0" borderId="0"/>
    <xf numFmtId="0" fontId="34" fillId="0" borderId="0" applyFill="0" applyBorder="0" applyAlignment="0"/>
    <xf numFmtId="0" fontId="34" fillId="0" borderId="0">
      <alignment vertical="top"/>
    </xf>
    <xf numFmtId="0" fontId="44" fillId="0" borderId="0"/>
    <xf numFmtId="0" fontId="44" fillId="0" borderId="0"/>
    <xf numFmtId="0" fontId="34" fillId="0" borderId="0"/>
    <xf numFmtId="0" fontId="44" fillId="0" borderId="0"/>
    <xf numFmtId="0" fontId="34" fillId="0" borderId="0"/>
    <xf numFmtId="0" fontId="44" fillId="0" borderId="0"/>
    <xf numFmtId="0" fontId="44" fillId="0" borderId="0"/>
    <xf numFmtId="0" fontId="34" fillId="0" borderId="0" applyProtection="0"/>
    <xf numFmtId="0" fontId="44" fillId="32" borderId="21" applyNumberFormat="0" applyFont="0" applyAlignment="0" applyProtection="0"/>
    <xf numFmtId="0" fontId="34" fillId="32" borderId="21" applyNumberFormat="0" applyFont="0" applyAlignment="0" applyProtection="0"/>
    <xf numFmtId="0" fontId="94" fillId="26" borderId="22" applyNumberFormat="0" applyAlignment="0" applyProtection="0"/>
    <xf numFmtId="0" fontId="95" fillId="33" borderId="0"/>
    <xf numFmtId="0" fontId="34" fillId="0" borderId="23" applyFont="0" applyFill="0" applyBorder="0" applyAlignment="0" applyProtection="0">
      <alignment horizontal="right"/>
    </xf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76" fontId="44" fillId="0" borderId="0" applyFont="0" applyFill="0" applyBorder="0" applyAlignment="0" applyProtection="0"/>
    <xf numFmtId="1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2" fillId="22" borderId="24" applyNumberFormat="0" applyFont="0" applyBorder="0" applyAlignment="0" applyProtection="0"/>
    <xf numFmtId="180" fontId="44" fillId="0" borderId="0" applyFill="0" applyBorder="0" applyAlignment="0"/>
    <xf numFmtId="178" fontId="67" fillId="0" borderId="0" applyFill="0" applyBorder="0" applyAlignment="0"/>
    <xf numFmtId="180" fontId="44" fillId="0" borderId="0" applyFill="0" applyBorder="0" applyAlignment="0"/>
    <xf numFmtId="0" fontId="44" fillId="0" borderId="0" applyFill="0" applyBorder="0" applyAlignment="0"/>
    <xf numFmtId="178" fontId="67" fillId="0" borderId="0" applyFill="0" applyBorder="0" applyAlignment="0"/>
    <xf numFmtId="14" fontId="66" fillId="34" borderId="19" applyNumberFormat="0" applyFont="0" applyBorder="0" applyAlignment="0" applyProtection="0">
      <alignment horizontal="center" vertical="center"/>
    </xf>
    <xf numFmtId="3" fontId="96" fillId="0" borderId="0" applyFill="0" applyBorder="0" applyAlignment="0" applyProtection="0"/>
    <xf numFmtId="3" fontId="47" fillId="0" borderId="0" applyFill="0" applyBorder="0" applyAlignment="0" applyProtection="0"/>
    <xf numFmtId="3" fontId="96" fillId="0" borderId="0" applyFill="0" applyBorder="0" applyAlignment="0" applyProtection="0"/>
    <xf numFmtId="0" fontId="94" fillId="26" borderId="22" applyNumberFormat="0" applyAlignment="0" applyProtection="0"/>
    <xf numFmtId="38" fontId="74" fillId="0" borderId="0" applyFont="0" applyFill="0" applyBorder="0" applyAlignment="0" applyProtection="0"/>
    <xf numFmtId="192" fontId="97" fillId="0" borderId="0">
      <protection locked="0"/>
    </xf>
    <xf numFmtId="168" fontId="32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44" fillId="0" borderId="0" applyFont="0" applyFill="0" applyBorder="0" applyAlignment="0" applyProtection="0"/>
    <xf numFmtId="38" fontId="74" fillId="35" borderId="0" applyNumberFormat="0" applyFont="0" applyBorder="0" applyAlignment="0" applyProtection="0"/>
    <xf numFmtId="3" fontId="98" fillId="36" borderId="0">
      <alignment horizontal="left"/>
    </xf>
    <xf numFmtId="0" fontId="50" fillId="0" borderId="0">
      <alignment vertical="top"/>
    </xf>
    <xf numFmtId="0" fontId="99" fillId="0" borderId="0"/>
    <xf numFmtId="0" fontId="99" fillId="0" borderId="0"/>
    <xf numFmtId="0" fontId="99" fillId="0" borderId="0"/>
    <xf numFmtId="0" fontId="99" fillId="0" borderId="0"/>
    <xf numFmtId="38" fontId="100" fillId="0" borderId="0" applyFill="0" applyBorder="0" applyAlignment="0" applyProtection="0"/>
    <xf numFmtId="0" fontId="34" fillId="0" borderId="0" applyFill="0" applyBorder="0" applyAlignment="0" applyProtection="0"/>
    <xf numFmtId="49" fontId="43" fillId="0" borderId="0" applyFill="0" applyBorder="0" applyAlignment="0"/>
    <xf numFmtId="0" fontId="44" fillId="0" borderId="0" applyFill="0" applyBorder="0" applyAlignment="0"/>
    <xf numFmtId="0" fontId="44" fillId="0" borderId="0" applyFill="0" applyBorder="0" applyAlignment="0"/>
    <xf numFmtId="0" fontId="10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8" fontId="102" fillId="0" borderId="0" applyFont="0" applyFill="0" applyBorder="0" applyAlignment="0" applyProtection="0">
      <alignment horizontal="left"/>
    </xf>
    <xf numFmtId="0" fontId="103" fillId="0" borderId="0" applyNumberFormat="0" applyFill="0" applyBorder="0" applyAlignment="0" applyProtection="0"/>
    <xf numFmtId="3" fontId="104" fillId="36" borderId="0">
      <alignment horizontal="center"/>
    </xf>
    <xf numFmtId="0" fontId="103" fillId="0" borderId="0" applyNumberFormat="0" applyFill="0" applyBorder="0" applyAlignment="0" applyProtection="0"/>
    <xf numFmtId="0" fontId="105" fillId="0" borderId="25" applyNumberFormat="0" applyFill="0" applyAlignment="0" applyProtection="0"/>
    <xf numFmtId="0" fontId="106" fillId="0" borderId="26" applyNumberFormat="0" applyFill="0" applyAlignment="0" applyProtection="0"/>
    <xf numFmtId="0" fontId="86" fillId="0" borderId="18" applyNumberFormat="0" applyFill="0" applyAlignment="0" applyProtection="0"/>
    <xf numFmtId="0" fontId="8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3" fontId="108" fillId="36" borderId="0">
      <alignment horizontal="left"/>
    </xf>
    <xf numFmtId="187" fontId="34" fillId="0" borderId="27">
      <protection locked="0"/>
    </xf>
    <xf numFmtId="3" fontId="53" fillId="37" borderId="0">
      <alignment horizontal="right"/>
    </xf>
    <xf numFmtId="10" fontId="109" fillId="0" borderId="28" applyNumberFormat="0" applyFont="0" applyFill="0" applyAlignment="0" applyProtection="0"/>
    <xf numFmtId="37" fontId="81" fillId="29" borderId="0" applyNumberFormat="0" applyBorder="0" applyAlignment="0" applyProtection="0"/>
    <xf numFmtId="37" fontId="46" fillId="0" borderId="0"/>
    <xf numFmtId="3" fontId="110" fillId="0" borderId="19" applyProtection="0"/>
    <xf numFmtId="193" fontId="65" fillId="0" borderId="0">
      <protection locked="0"/>
    </xf>
    <xf numFmtId="194" fontId="65" fillId="0" borderId="0">
      <protection locked="0"/>
    </xf>
    <xf numFmtId="0" fontId="101" fillId="0" borderId="0" applyNumberFormat="0" applyFill="0" applyBorder="0" applyAlignment="0" applyProtection="0"/>
    <xf numFmtId="0" fontId="34" fillId="0" borderId="17" applyFont="0" applyFill="0" applyBorder="0" applyAlignment="0" applyProtection="0"/>
    <xf numFmtId="167" fontId="34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39" fillId="0" borderId="0">
      <alignment vertical="top"/>
    </xf>
    <xf numFmtId="0" fontId="34" fillId="0" borderId="0"/>
    <xf numFmtId="9" fontId="34" fillId="0" borderId="0" applyFont="0" applyFill="0" applyBorder="0" applyAlignment="0" applyProtection="0"/>
    <xf numFmtId="0" fontId="32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6" borderId="0" applyNumberFormat="0" applyBorder="0" applyAlignment="0" applyProtection="0"/>
    <xf numFmtId="0" fontId="52" fillId="10" borderId="0" applyNumberFormat="0" applyBorder="0" applyAlignment="0" applyProtection="0"/>
    <xf numFmtId="0" fontId="52" fillId="13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6" borderId="0" applyNumberFormat="0" applyBorder="0" applyAlignment="0" applyProtection="0"/>
    <xf numFmtId="0" fontId="52" fillId="10" borderId="0" applyNumberFormat="0" applyBorder="0" applyAlignment="0" applyProtection="0"/>
    <xf numFmtId="0" fontId="52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4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7" fillId="0" borderId="30" applyBorder="0"/>
    <xf numFmtId="200" fontId="34" fillId="22" borderId="2">
      <alignment horizontal="center" vertical="center"/>
    </xf>
    <xf numFmtId="200" fontId="34" fillId="22" borderId="2">
      <alignment horizontal="center" vertical="center"/>
    </xf>
    <xf numFmtId="200" fontId="34" fillId="22" borderId="2">
      <alignment horizontal="center" vertical="center"/>
    </xf>
    <xf numFmtId="200" fontId="34" fillId="22" borderId="2">
      <alignment horizontal="center" vertical="center"/>
    </xf>
    <xf numFmtId="0" fontId="34" fillId="0" borderId="0"/>
    <xf numFmtId="3" fontId="51" fillId="0" borderId="0" applyNumberFormat="0" applyFill="0" applyBorder="0" applyAlignment="0" applyProtection="0"/>
    <xf numFmtId="0" fontId="64" fillId="5" borderId="0" applyNumberFormat="0" applyBorder="0" applyAlignment="0" applyProtection="0"/>
    <xf numFmtId="0" fontId="64" fillId="5" borderId="0" applyNumberFormat="0" applyBorder="0" applyAlignment="0" applyProtection="0"/>
    <xf numFmtId="180" fontId="34" fillId="0" borderId="0" applyFill="0" applyBorder="0" applyAlignment="0"/>
    <xf numFmtId="175" fontId="48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0" fontId="68" fillId="26" borderId="31" applyNumberFormat="0" applyAlignment="0" applyProtection="0"/>
    <xf numFmtId="0" fontId="69" fillId="27" borderId="32" applyNumberFormat="0" applyAlignment="0" applyProtection="0"/>
    <xf numFmtId="0" fontId="70" fillId="0" borderId="8" applyNumberFormat="0" applyFill="0" applyAlignment="0" applyProtection="0"/>
    <xf numFmtId="0" fontId="69" fillId="27" borderId="32" applyNumberFormat="0" applyAlignment="0" applyProtection="0"/>
    <xf numFmtId="0" fontId="70" fillId="0" borderId="8" applyNumberFormat="0" applyFill="0" applyAlignment="0" applyProtection="0"/>
    <xf numFmtId="180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4" fontId="39" fillId="0" borderId="0" applyFill="0" applyBorder="0" applyAlignment="0"/>
    <xf numFmtId="183" fontId="34" fillId="0" borderId="12">
      <alignment vertical="center"/>
    </xf>
    <xf numFmtId="0" fontId="86" fillId="0" borderId="0" applyNumberFormat="0" applyFill="0" applyBorder="0" applyAlignment="0" applyProtection="0"/>
    <xf numFmtId="0" fontId="54" fillId="18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21" borderId="0" applyNumberFormat="0" applyBorder="0" applyAlignment="0" applyProtection="0"/>
    <xf numFmtId="0" fontId="54" fillId="18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21" borderId="0" applyNumberFormat="0" applyBorder="0" applyAlignment="0" applyProtection="0"/>
    <xf numFmtId="180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0" fontId="76" fillId="8" borderId="31" applyNumberFormat="0" applyAlignment="0" applyProtection="0"/>
    <xf numFmtId="185" fontId="34" fillId="0" borderId="0">
      <protection locked="0"/>
    </xf>
    <xf numFmtId="185" fontId="34" fillId="0" borderId="0">
      <protection locked="0"/>
    </xf>
    <xf numFmtId="185" fontId="34" fillId="0" borderId="0">
      <protection locked="0"/>
    </xf>
    <xf numFmtId="0" fontId="34" fillId="23" borderId="33" applyNumberFormat="0" applyFont="0" applyBorder="0" applyAlignment="0" applyProtection="0"/>
    <xf numFmtId="38" fontId="46" fillId="9" borderId="0" applyNumberFormat="0" applyBorder="0" applyAlignment="0" applyProtection="0"/>
    <xf numFmtId="38" fontId="46" fillId="9" borderId="0" applyNumberFormat="0" applyBorder="0" applyAlignment="0" applyProtection="0"/>
    <xf numFmtId="38" fontId="46" fillId="9" borderId="0" applyNumberFormat="0" applyBorder="0" applyAlignment="0" applyProtection="0"/>
    <xf numFmtId="38" fontId="46" fillId="9" borderId="0" applyNumberFormat="0" applyBorder="0" applyAlignment="0" applyProtection="0"/>
    <xf numFmtId="0" fontId="105" fillId="0" borderId="25" applyNumberFormat="0" applyFill="0" applyAlignment="0" applyProtection="0"/>
    <xf numFmtId="0" fontId="106" fillId="0" borderId="26" applyNumberFormat="0" applyFill="0" applyAlignment="0" applyProtection="0"/>
    <xf numFmtId="201" fontId="34" fillId="0" borderId="0">
      <protection locked="0"/>
    </xf>
    <xf numFmtId="201" fontId="34" fillId="0" borderId="0">
      <protection locked="0"/>
    </xf>
    <xf numFmtId="201" fontId="34" fillId="0" borderId="0">
      <protection locked="0"/>
    </xf>
    <xf numFmtId="201" fontId="34" fillId="0" borderId="0">
      <protection locked="0"/>
    </xf>
    <xf numFmtId="201" fontId="34" fillId="0" borderId="0">
      <protection locked="0"/>
    </xf>
    <xf numFmtId="201" fontId="34" fillId="0" borderId="0">
      <protection locked="0"/>
    </xf>
    <xf numFmtId="201" fontId="34" fillId="0" borderId="0">
      <protection locked="0"/>
    </xf>
    <xf numFmtId="201" fontId="34" fillId="0" borderId="0">
      <protection locked="0"/>
    </xf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0" fontId="46" fillId="23" borderId="34" applyNumberFormat="0" applyBorder="0" applyAlignment="0" applyProtection="0"/>
    <xf numFmtId="10" fontId="46" fillId="23" borderId="34" applyNumberFormat="0" applyBorder="0" applyAlignment="0" applyProtection="0"/>
    <xf numFmtId="10" fontId="46" fillId="23" borderId="34" applyNumberFormat="0" applyBorder="0" applyAlignment="0" applyProtection="0"/>
    <xf numFmtId="10" fontId="46" fillId="23" borderId="34" applyNumberFormat="0" applyBorder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0" fontId="76" fillId="8" borderId="31" applyNumberFormat="0" applyAlignment="0" applyProtection="0"/>
    <xf numFmtId="180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168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3" fontId="89" fillId="2" borderId="30">
      <alignment horizontal="center"/>
    </xf>
    <xf numFmtId="0" fontId="90" fillId="31" borderId="0" applyNumberFormat="0" applyBorder="0" applyAlignment="0" applyProtection="0"/>
    <xf numFmtId="203" fontId="34" fillId="0" borderId="0"/>
    <xf numFmtId="203" fontId="34" fillId="0" borderId="0"/>
    <xf numFmtId="203" fontId="34" fillId="0" borderId="0"/>
    <xf numFmtId="203" fontId="34" fillId="0" borderId="0"/>
    <xf numFmtId="190" fontId="120" fillId="0" borderId="0"/>
    <xf numFmtId="191" fontId="120" fillId="0" borderId="0"/>
    <xf numFmtId="0" fontId="74" fillId="0" borderId="0"/>
    <xf numFmtId="0" fontId="39" fillId="0" borderId="0"/>
    <xf numFmtId="0" fontId="34" fillId="0" borderId="0">
      <alignment vertical="top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0" fontId="121" fillId="0" borderId="0"/>
    <xf numFmtId="0" fontId="121" fillId="0" borderId="0"/>
    <xf numFmtId="0" fontId="121" fillId="0" borderId="0"/>
    <xf numFmtId="0" fontId="34" fillId="0" borderId="0"/>
    <xf numFmtId="0" fontId="34" fillId="0" borderId="0"/>
    <xf numFmtId="184" fontId="74" fillId="0" borderId="0"/>
    <xf numFmtId="184" fontId="74" fillId="0" borderId="0"/>
    <xf numFmtId="0" fontId="34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70" fontId="34" fillId="0" borderId="0"/>
    <xf numFmtId="0" fontId="122" fillId="0" borderId="0"/>
    <xf numFmtId="0" fontId="34" fillId="0" borderId="0"/>
    <xf numFmtId="0" fontId="31" fillId="0" borderId="0"/>
    <xf numFmtId="170" fontId="34" fillId="0" borderId="0"/>
    <xf numFmtId="0" fontId="34" fillId="0" borderId="0">
      <alignment vertical="center"/>
    </xf>
    <xf numFmtId="0" fontId="34" fillId="0" borderId="0"/>
    <xf numFmtId="0" fontId="34" fillId="0" borderId="0"/>
    <xf numFmtId="0" fontId="52" fillId="0" borderId="0"/>
    <xf numFmtId="0" fontId="52" fillId="32" borderId="35" applyNumberFormat="0" applyFont="0" applyAlignment="0" applyProtection="0"/>
    <xf numFmtId="0" fontId="34" fillId="32" borderId="35" applyNumberFormat="0" applyFont="0" applyAlignment="0" applyProtection="0"/>
    <xf numFmtId="0" fontId="34" fillId="32" borderId="35" applyNumberFormat="0" applyFont="0" applyAlignment="0" applyProtection="0"/>
    <xf numFmtId="0" fontId="34" fillId="32" borderId="35" applyNumberFormat="0" applyFont="0" applyAlignment="0" applyProtection="0"/>
    <xf numFmtId="0" fontId="34" fillId="32" borderId="35" applyNumberFormat="0" applyFont="0" applyAlignment="0" applyProtection="0"/>
    <xf numFmtId="0" fontId="34" fillId="32" borderId="35" applyNumberFormat="0" applyFont="0" applyAlignment="0" applyProtection="0"/>
    <xf numFmtId="0" fontId="34" fillId="32" borderId="35" applyNumberFormat="0" applyFont="0" applyAlignment="0" applyProtection="0"/>
    <xf numFmtId="0" fontId="34" fillId="32" borderId="35" applyNumberFormat="0" applyFont="0" applyAlignment="0" applyProtection="0"/>
    <xf numFmtId="0" fontId="34" fillId="0" borderId="23" applyFont="0" applyFill="0" applyBorder="0" applyAlignment="0" applyProtection="0">
      <alignment horizontal="right"/>
    </xf>
    <xf numFmtId="176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5" fillId="22" borderId="36" applyNumberFormat="0" applyFont="0" applyBorder="0" applyAlignment="0" applyProtection="0"/>
    <xf numFmtId="180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0" fontId="123" fillId="0" borderId="0" applyNumberFormat="0" applyFill="0" applyBorder="0" applyAlignment="0" applyProtection="0"/>
    <xf numFmtId="0" fontId="94" fillId="26" borderId="37" applyNumberFormat="0" applyAlignment="0" applyProtection="0"/>
    <xf numFmtId="0" fontId="94" fillId="26" borderId="37" applyNumberFormat="0" applyAlignment="0" applyProtection="0"/>
    <xf numFmtId="168" fontId="39" fillId="0" borderId="0" applyFont="0" applyFill="0" applyBorder="0" applyAlignment="0" applyProtection="0"/>
    <xf numFmtId="168" fontId="3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04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205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74" fillId="0" borderId="0" applyFont="0" applyFill="0" applyBorder="0" applyAlignment="0" applyProtection="0"/>
    <xf numFmtId="0" fontId="124" fillId="0" borderId="38" applyProtection="0">
      <alignment horizontal="centerContinuous"/>
    </xf>
    <xf numFmtId="0" fontId="47" fillId="0" borderId="0"/>
    <xf numFmtId="0" fontId="47" fillId="0" borderId="0"/>
    <xf numFmtId="0" fontId="47" fillId="0" borderId="0"/>
    <xf numFmtId="0" fontId="47" fillId="0" borderId="0"/>
    <xf numFmtId="49" fontId="39" fillId="0" borderId="0" applyFill="0" applyBorder="0" applyAlignment="0"/>
    <xf numFmtId="0" fontId="34" fillId="0" borderId="0" applyFill="0" applyBorder="0" applyAlignment="0"/>
    <xf numFmtId="0" fontId="34" fillId="0" borderId="0" applyFill="0" applyBorder="0" applyAlignment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05" fillId="0" borderId="25" applyNumberFormat="0" applyFill="0" applyAlignment="0" applyProtection="0"/>
    <xf numFmtId="0" fontId="106" fillId="0" borderId="26" applyNumberFormat="0" applyFill="0" applyAlignment="0" applyProtection="0"/>
    <xf numFmtId="0" fontId="86" fillId="0" borderId="18" applyNumberFormat="0" applyFill="0" applyAlignment="0" applyProtection="0"/>
    <xf numFmtId="0" fontId="86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25" fillId="0" borderId="39" applyNumberFormat="0" applyFill="0" applyAlignment="0" applyProtection="0"/>
    <xf numFmtId="37" fontId="46" fillId="29" borderId="0" applyNumberFormat="0" applyBorder="0" applyAlignment="0" applyProtection="0"/>
    <xf numFmtId="37" fontId="46" fillId="29" borderId="0" applyNumberFormat="0" applyBorder="0" applyAlignment="0" applyProtection="0"/>
    <xf numFmtId="37" fontId="46" fillId="29" borderId="0" applyNumberFormat="0" applyBorder="0" applyAlignment="0" applyProtection="0"/>
    <xf numFmtId="37" fontId="46" fillId="29" borderId="0" applyNumberFormat="0" applyBorder="0" applyAlignment="0" applyProtection="0"/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4" fillId="0" borderId="0"/>
    <xf numFmtId="0" fontId="55" fillId="0" borderId="0"/>
    <xf numFmtId="0" fontId="55" fillId="0" borderId="0"/>
    <xf numFmtId="0" fontId="30" fillId="0" borderId="0"/>
    <xf numFmtId="168" fontId="45" fillId="0" borderId="0" applyFont="0" applyFill="0" applyBorder="0" applyAlignment="0" applyProtection="0"/>
    <xf numFmtId="0" fontId="45" fillId="0" borderId="0"/>
    <xf numFmtId="9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206" fontId="128" fillId="0" borderId="0" applyFill="0" applyBorder="0" applyProtection="0">
      <alignment horizontal="right"/>
      <protection locked="0"/>
    </xf>
    <xf numFmtId="207" fontId="128" fillId="0" borderId="0" applyFill="0" applyBorder="0" applyProtection="0">
      <alignment horizontal="right"/>
      <protection locked="0"/>
    </xf>
    <xf numFmtId="208" fontId="128" fillId="0" borderId="0" applyFill="0" applyBorder="0" applyProtection="0">
      <alignment horizontal="right"/>
      <protection locked="0"/>
    </xf>
    <xf numFmtId="207" fontId="128" fillId="0" borderId="0" applyFont="0" applyFill="0" applyBorder="0" applyAlignment="0"/>
    <xf numFmtId="208" fontId="128" fillId="0" borderId="0" applyFont="0" applyFill="0" applyBorder="0" applyAlignment="0"/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209" fontId="120" fillId="0" borderId="0" applyFill="0" applyBorder="0" applyProtection="0">
      <alignment horizontal="right"/>
      <protection locked="0"/>
    </xf>
    <xf numFmtId="210" fontId="128" fillId="0" borderId="41" applyFont="0" applyFill="0" applyBorder="0" applyAlignment="0"/>
    <xf numFmtId="211" fontId="128" fillId="0" borderId="0" applyFill="0" applyBorder="0" applyProtection="0">
      <alignment horizontal="right"/>
      <protection locked="0"/>
    </xf>
    <xf numFmtId="212" fontId="120" fillId="0" borderId="0" applyFill="0" applyBorder="0" applyProtection="0">
      <alignment horizontal="right"/>
      <protection locked="0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34" fillId="0" borderId="0"/>
    <xf numFmtId="168" fontId="34" fillId="0" borderId="0" applyFont="0" applyFill="0" applyBorder="0" applyAlignment="0" applyProtection="0">
      <alignment wrapText="1"/>
    </xf>
    <xf numFmtId="17" fontId="71" fillId="0" borderId="0" applyFill="0" applyBorder="0">
      <alignment horizontal="right"/>
    </xf>
    <xf numFmtId="169" fontId="75" fillId="0" borderId="0">
      <protection locked="0"/>
    </xf>
    <xf numFmtId="0" fontId="129" fillId="47" borderId="0" applyNumberFormat="0" applyBorder="0" applyProtection="0">
      <alignment horizontal="center"/>
      <protection locked="0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130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3" fontId="131" fillId="0" borderId="42" applyFill="0" applyBorder="0" applyAlignment="0">
      <alignment horizontal="center"/>
    </xf>
    <xf numFmtId="167" fontId="29" fillId="0" borderId="0" applyFont="0" applyFill="0" applyBorder="0" applyAlignment="0" applyProtection="0"/>
    <xf numFmtId="0" fontId="48" fillId="0" borderId="0"/>
    <xf numFmtId="0" fontId="34" fillId="0" borderId="0"/>
    <xf numFmtId="0" fontId="34" fillId="0" borderId="0"/>
    <xf numFmtId="0" fontId="34" fillId="0" borderId="0">
      <alignment vertical="top"/>
    </xf>
    <xf numFmtId="0" fontId="34" fillId="0" borderId="0"/>
    <xf numFmtId="0" fontId="34" fillId="0" borderId="0"/>
    <xf numFmtId="0" fontId="34" fillId="0" borderId="0"/>
    <xf numFmtId="0" fontId="29" fillId="0" borderId="0">
      <alignment vertical="center"/>
    </xf>
    <xf numFmtId="213" fontId="71" fillId="0" borderId="0" applyNumberFormat="0" applyFill="0" applyBorder="0" applyAlignment="0" applyProtection="0"/>
    <xf numFmtId="9" fontId="45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32" fillId="40" borderId="43">
      <alignment horizontal="left"/>
    </xf>
    <xf numFmtId="4" fontId="53" fillId="0" borderId="44" applyNumberFormat="0" applyProtection="0">
      <alignment vertical="center"/>
    </xf>
    <xf numFmtId="4" fontId="133" fillId="29" borderId="44" applyNumberFormat="0" applyProtection="0">
      <alignment vertical="center"/>
    </xf>
    <xf numFmtId="4" fontId="53" fillId="0" borderId="44" applyNumberFormat="0" applyProtection="0">
      <alignment horizontal="left" vertical="center" indent="1"/>
    </xf>
    <xf numFmtId="0" fontId="53" fillId="0" borderId="44" applyNumberFormat="0" applyProtection="0">
      <alignment horizontal="left" vertical="top" indent="1"/>
    </xf>
    <xf numFmtId="4" fontId="53" fillId="0" borderId="0" applyNumberFormat="0" applyProtection="0">
      <alignment horizontal="left" vertical="center" indent="1"/>
    </xf>
    <xf numFmtId="4" fontId="39" fillId="4" borderId="44" applyNumberFormat="0" applyProtection="0">
      <alignment horizontal="right" vertical="center"/>
    </xf>
    <xf numFmtId="4" fontId="39" fillId="11" borderId="44" applyNumberFormat="0" applyProtection="0">
      <alignment horizontal="right" vertical="center"/>
    </xf>
    <xf numFmtId="4" fontId="39" fillId="19" borderId="44" applyNumberFormat="0" applyProtection="0">
      <alignment horizontal="right" vertical="center"/>
    </xf>
    <xf numFmtId="4" fontId="39" fillId="13" borderId="44" applyNumberFormat="0" applyProtection="0">
      <alignment horizontal="right" vertical="center"/>
    </xf>
    <xf numFmtId="4" fontId="39" fillId="17" borderId="44" applyNumberFormat="0" applyProtection="0">
      <alignment horizontal="right" vertical="center"/>
    </xf>
    <xf numFmtId="4" fontId="39" fillId="21" borderId="44" applyNumberFormat="0" applyProtection="0">
      <alignment horizontal="right" vertical="center"/>
    </xf>
    <xf numFmtId="4" fontId="39" fillId="20" borderId="44" applyNumberFormat="0" applyProtection="0">
      <alignment horizontal="right" vertical="center"/>
    </xf>
    <xf numFmtId="4" fontId="39" fillId="48" borderId="44" applyNumberFormat="0" applyProtection="0">
      <alignment horizontal="right" vertical="center"/>
    </xf>
    <xf numFmtId="4" fontId="39" fillId="12" borderId="44" applyNumberFormat="0" applyProtection="0">
      <alignment horizontal="right" vertical="center"/>
    </xf>
    <xf numFmtId="4" fontId="39" fillId="0" borderId="0" applyNumberFormat="0" applyProtection="0">
      <alignment horizontal="left" vertical="center" indent="1"/>
    </xf>
    <xf numFmtId="4" fontId="39" fillId="0" borderId="0" applyNumberFormat="0" applyProtection="0">
      <alignment horizontal="left" vertical="center" indent="1"/>
    </xf>
    <xf numFmtId="4" fontId="134" fillId="49" borderId="0" applyNumberFormat="0" applyProtection="0">
      <alignment horizontal="left" vertical="center" indent="1"/>
    </xf>
    <xf numFmtId="4" fontId="39" fillId="50" borderId="44" applyNumberFormat="0" applyProtection="0">
      <alignment horizontal="right" vertical="center"/>
    </xf>
    <xf numFmtId="4" fontId="39" fillId="0" borderId="0" applyNumberFormat="0" applyProtection="0">
      <alignment horizontal="left" vertical="center" indent="1"/>
    </xf>
    <xf numFmtId="4" fontId="53" fillId="0" borderId="0" applyNumberFormat="0" applyProtection="0">
      <alignment horizontal="left" vertical="center" indent="1"/>
    </xf>
    <xf numFmtId="0" fontId="34" fillId="0" borderId="41" applyNumberFormat="0" applyProtection="0">
      <alignment horizontal="left" vertical="center" indent="1"/>
    </xf>
    <xf numFmtId="0" fontId="34" fillId="49" borderId="44" applyNumberFormat="0" applyProtection="0">
      <alignment horizontal="left" vertical="top" indent="1"/>
    </xf>
    <xf numFmtId="0" fontId="34" fillId="0" borderId="41" applyNumberFormat="0" applyProtection="0">
      <alignment horizontal="left" vertical="center" indent="1"/>
    </xf>
    <xf numFmtId="0" fontId="34" fillId="51" borderId="44" applyNumberFormat="0" applyProtection="0">
      <alignment horizontal="left" vertical="top" indent="1"/>
    </xf>
    <xf numFmtId="0" fontId="34" fillId="0" borderId="41" applyNumberFormat="0" applyProtection="0">
      <alignment horizontal="left" vertical="center" indent="1"/>
    </xf>
    <xf numFmtId="0" fontId="34" fillId="22" borderId="44" applyNumberFormat="0" applyProtection="0">
      <alignment horizontal="left" vertical="top" indent="1"/>
    </xf>
    <xf numFmtId="0" fontId="34" fillId="52" borderId="44" applyNumberFormat="0" applyProtection="0">
      <alignment horizontal="left" vertical="center" indent="1"/>
    </xf>
    <xf numFmtId="0" fontId="34" fillId="52" borderId="44" applyNumberFormat="0" applyProtection="0">
      <alignment horizontal="left" vertical="top" indent="1"/>
    </xf>
    <xf numFmtId="4" fontId="39" fillId="23" borderId="44" applyNumberFormat="0" applyProtection="0">
      <alignment vertical="center"/>
    </xf>
    <xf numFmtId="4" fontId="135" fillId="23" borderId="44" applyNumberFormat="0" applyProtection="0">
      <alignment vertical="center"/>
    </xf>
    <xf numFmtId="4" fontId="39" fillId="23" borderId="44" applyNumberFormat="0" applyProtection="0">
      <alignment horizontal="left" vertical="center" indent="1"/>
    </xf>
    <xf numFmtId="0" fontId="39" fillId="23" borderId="44" applyNumberFormat="0" applyProtection="0">
      <alignment horizontal="left" vertical="top" indent="1"/>
    </xf>
    <xf numFmtId="4" fontId="39" fillId="0" borderId="41" applyNumberFormat="0" applyProtection="0">
      <alignment horizontal="right" vertical="center"/>
    </xf>
    <xf numFmtId="4" fontId="135" fillId="0" borderId="44" applyNumberFormat="0" applyProtection="0">
      <alignment horizontal="right" vertical="center"/>
    </xf>
    <xf numFmtId="4" fontId="39" fillId="0" borderId="45" applyNumberFormat="0" applyProtection="0">
      <alignment horizontal="left" vertical="center" indent="1"/>
    </xf>
    <xf numFmtId="0" fontId="53" fillId="0" borderId="41" applyNumberFormat="0" applyProtection="0">
      <alignment horizontal="left" vertical="top" indent="1"/>
    </xf>
    <xf numFmtId="4" fontId="124" fillId="0" borderId="0" applyNumberFormat="0" applyProtection="0">
      <alignment horizontal="left" vertical="center" indent="1"/>
    </xf>
    <xf numFmtId="4" fontId="34" fillId="0" borderId="44" applyNumberFormat="0" applyProtection="0">
      <alignment horizontal="right" vertical="center"/>
    </xf>
    <xf numFmtId="168" fontId="45" fillId="0" borderId="0" applyFont="0" applyFill="0" applyBorder="0" applyAlignment="0" applyProtection="0"/>
    <xf numFmtId="168" fontId="45" fillId="0" borderId="0" applyFont="0" applyFill="0" applyBorder="0" applyAlignment="0" applyProtection="0"/>
    <xf numFmtId="213" fontId="46" fillId="53" borderId="0" applyNumberFormat="0" applyFont="0" applyBorder="0" applyAlignment="0">
      <protection hidden="1"/>
    </xf>
    <xf numFmtId="0" fontId="136" fillId="0" borderId="0" applyFill="0" applyBorder="0" applyAlignment="0" applyProtection="0">
      <protection locked="0"/>
    </xf>
    <xf numFmtId="0" fontId="137" fillId="0" borderId="0" applyBorder="0" applyAlignment="0" applyProtection="0">
      <protection locked="0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28" fillId="0" borderId="0"/>
    <xf numFmtId="167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48" fillId="0" borderId="0">
      <alignment vertical="center"/>
    </xf>
    <xf numFmtId="168" fontId="32" fillId="0" borderId="0" applyFont="0" applyFill="0" applyBorder="0" applyAlignment="0" applyProtection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6" borderId="0" applyNumberFormat="0" applyBorder="0" applyAlignment="0" applyProtection="0"/>
    <xf numFmtId="0" fontId="52" fillId="10" borderId="0" applyNumberFormat="0" applyBorder="0" applyAlignment="0" applyProtection="0"/>
    <xf numFmtId="0" fontId="52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3" fontId="51" fillId="0" borderId="0" applyNumberFormat="0" applyFill="0" applyBorder="0" applyAlignment="0" applyProtection="0"/>
    <xf numFmtId="0" fontId="64" fillId="5" borderId="0" applyNumberFormat="0" applyBorder="0" applyAlignment="0" applyProtection="0"/>
    <xf numFmtId="180" fontId="34" fillId="0" borderId="0" applyFill="0" applyBorder="0" applyAlignment="0"/>
    <xf numFmtId="175" fontId="48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0" fontId="68" fillId="26" borderId="46" applyNumberFormat="0" applyAlignment="0" applyProtection="0"/>
    <xf numFmtId="0" fontId="69" fillId="27" borderId="32" applyNumberFormat="0" applyAlignment="0" applyProtection="0"/>
    <xf numFmtId="0" fontId="70" fillId="0" borderId="8" applyNumberFormat="0" applyFill="0" applyAlignment="0" applyProtection="0"/>
    <xf numFmtId="14" fontId="39" fillId="0" borderId="0" applyFill="0" applyBorder="0" applyAlignment="0"/>
    <xf numFmtId="183" fontId="34" fillId="0" borderId="12">
      <alignment vertical="center"/>
    </xf>
    <xf numFmtId="0" fontId="54" fillId="18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21" borderId="0" applyNumberFormat="0" applyBorder="0" applyAlignment="0" applyProtection="0"/>
    <xf numFmtId="180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0" fontId="76" fillId="8" borderId="46" applyNumberFormat="0" applyAlignment="0" applyProtection="0"/>
    <xf numFmtId="0" fontId="76" fillId="8" borderId="46" applyNumberFormat="0" applyAlignment="0" applyProtection="0"/>
    <xf numFmtId="0" fontId="60" fillId="4" borderId="0" applyNumberFormat="0" applyBorder="0" applyAlignment="0" applyProtection="0"/>
    <xf numFmtId="180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167" fontId="28" fillId="0" borderId="0" applyFont="0" applyFill="0" applyBorder="0" applyAlignment="0" applyProtection="0"/>
    <xf numFmtId="0" fontId="90" fillId="31" borderId="0" applyNumberFormat="0" applyBorder="0" applyAlignment="0" applyProtection="0"/>
    <xf numFmtId="190" fontId="120" fillId="0" borderId="0"/>
    <xf numFmtId="190" fontId="120" fillId="0" borderId="0"/>
    <xf numFmtId="191" fontId="120" fillId="0" borderId="0"/>
    <xf numFmtId="191" fontId="120" fillId="0" borderId="0"/>
    <xf numFmtId="0" fontId="34" fillId="0" borderId="0">
      <alignment vertical="top"/>
    </xf>
    <xf numFmtId="0" fontId="34" fillId="0" borderId="0">
      <alignment vertical="top"/>
    </xf>
    <xf numFmtId="0" fontId="32" fillId="0" borderId="0"/>
    <xf numFmtId="0" fontId="52" fillId="32" borderId="47" applyNumberFormat="0" applyFont="0" applyAlignment="0" applyProtection="0"/>
    <xf numFmtId="180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0" fontId="94" fillId="26" borderId="48" applyNumberFormat="0" applyAlignment="0" applyProtection="0"/>
    <xf numFmtId="49" fontId="39" fillId="0" borderId="0" applyFill="0" applyBorder="0" applyAlignment="0"/>
    <xf numFmtId="0" fontId="34" fillId="0" borderId="0" applyFill="0" applyBorder="0" applyAlignment="0"/>
    <xf numFmtId="0" fontId="34" fillId="0" borderId="0" applyFill="0" applyBorder="0" applyAlignment="0"/>
    <xf numFmtId="0" fontId="10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05" fillId="0" borderId="25" applyNumberFormat="0" applyFill="0" applyAlignment="0" applyProtection="0"/>
    <xf numFmtId="0" fontId="105" fillId="0" borderId="25" applyNumberFormat="0" applyFill="0" applyAlignment="0" applyProtection="0"/>
    <xf numFmtId="0" fontId="106" fillId="0" borderId="26" applyNumberFormat="0" applyFill="0" applyAlignment="0" applyProtection="0"/>
    <xf numFmtId="0" fontId="106" fillId="0" borderId="26" applyNumberFormat="0" applyFill="0" applyAlignment="0" applyProtection="0"/>
    <xf numFmtId="0" fontId="86" fillId="0" borderId="18" applyNumberFormat="0" applyFill="0" applyAlignment="0" applyProtection="0"/>
    <xf numFmtId="0" fontId="86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25" fillId="0" borderId="49" applyNumberFormat="0" applyFill="0" applyAlignment="0" applyProtection="0"/>
    <xf numFmtId="0" fontId="125" fillId="0" borderId="49" applyNumberFormat="0" applyFill="0" applyAlignment="0" applyProtection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4" fillId="0" borderId="0" applyFont="0" applyFill="0" applyBorder="0" applyAlignment="0" applyProtection="0"/>
    <xf numFmtId="167" fontId="39" fillId="0" borderId="0" applyFont="0" applyFill="0" applyBorder="0" applyAlignment="0" applyProtection="0"/>
    <xf numFmtId="0" fontId="34" fillId="0" borderId="0"/>
    <xf numFmtId="0" fontId="39" fillId="0" borderId="0">
      <alignment vertical="top"/>
    </xf>
    <xf numFmtId="0" fontId="142" fillId="0" borderId="0" applyNumberFormat="0" applyFill="0" applyBorder="0" applyAlignment="0" applyProtection="0"/>
    <xf numFmtId="0" fontId="76" fillId="8" borderId="31" applyNumberFormat="0" applyAlignment="0" applyProtection="0"/>
    <xf numFmtId="0" fontId="68" fillId="26" borderId="31" applyNumberFormat="0" applyAlignment="0" applyProtection="0"/>
    <xf numFmtId="0" fontId="69" fillId="27" borderId="32" applyNumberFormat="0" applyAlignment="0" applyProtection="0"/>
    <xf numFmtId="218" fontId="46" fillId="0" borderId="0" applyFont="0" applyFill="0" applyBorder="0" applyAlignment="0" applyProtection="0"/>
    <xf numFmtId="0" fontId="143" fillId="0" borderId="0" applyNumberFormat="0" applyFill="0" applyBorder="0" applyAlignment="0" applyProtection="0">
      <alignment vertical="top"/>
      <protection locked="0"/>
    </xf>
    <xf numFmtId="0" fontId="76" fillId="8" borderId="31" applyNumberFormat="0" applyAlignment="0" applyProtection="0"/>
    <xf numFmtId="0" fontId="144" fillId="32" borderId="35" applyNumberFormat="0" applyFont="0" applyAlignment="0" applyProtection="0"/>
    <xf numFmtId="0" fontId="94" fillId="26" borderId="48" applyNumberFormat="0" applyAlignment="0" applyProtection="0"/>
    <xf numFmtId="0" fontId="27" fillId="0" borderId="0"/>
    <xf numFmtId="0" fontId="76" fillId="8" borderId="31" applyNumberFormat="0" applyAlignment="0" applyProtection="0"/>
    <xf numFmtId="0" fontId="76" fillId="8" borderId="31" applyNumberFormat="0" applyAlignment="0" applyProtection="0"/>
    <xf numFmtId="0" fontId="27" fillId="0" borderId="0"/>
    <xf numFmtId="0" fontId="27" fillId="0" borderId="0"/>
    <xf numFmtId="0" fontId="32" fillId="0" borderId="0"/>
    <xf numFmtId="0" fontId="57" fillId="0" borderId="55" applyBorder="0"/>
    <xf numFmtId="0" fontId="68" fillId="26" borderId="46" applyNumberFormat="0" applyAlignment="0" applyProtection="0"/>
    <xf numFmtId="40" fontId="67" fillId="23" borderId="56">
      <alignment vertical="center"/>
    </xf>
    <xf numFmtId="0" fontId="83" fillId="0" borderId="52">
      <alignment horizontal="left" vertical="center"/>
    </xf>
    <xf numFmtId="10" fontId="46" fillId="23" borderId="56" applyNumberFormat="0" applyBorder="0" applyAlignment="0" applyProtection="0"/>
    <xf numFmtId="3" fontId="89" fillId="2" borderId="55">
      <alignment horizontal="center"/>
    </xf>
    <xf numFmtId="0" fontId="34" fillId="32" borderId="35" applyNumberFormat="0" applyFont="0" applyAlignment="0" applyProtection="0"/>
    <xf numFmtId="0" fontId="34" fillId="0" borderId="54" applyFont="0" applyFill="0" applyBorder="0" applyAlignment="0" applyProtection="0">
      <alignment horizontal="right"/>
    </xf>
    <xf numFmtId="9" fontId="34" fillId="0" borderId="0" applyFont="0" applyFill="0" applyBorder="0" applyAlignment="0" applyProtection="0"/>
    <xf numFmtId="0" fontId="35" fillId="22" borderId="40" applyNumberFormat="0" applyFont="0" applyBorder="0" applyAlignment="0" applyProtection="0"/>
    <xf numFmtId="187" fontId="34" fillId="0" borderId="51">
      <protection locked="0"/>
    </xf>
    <xf numFmtId="0" fontId="34" fillId="0" borderId="52" applyFont="0" applyFill="0" applyBorder="0" applyAlignment="0" applyProtection="0"/>
    <xf numFmtId="0" fontId="57" fillId="0" borderId="55" applyBorder="0"/>
    <xf numFmtId="0" fontId="68" fillId="26" borderId="46" applyNumberFormat="0" applyAlignment="0" applyProtection="0"/>
    <xf numFmtId="0" fontId="69" fillId="27" borderId="57" applyNumberFormat="0" applyAlignment="0" applyProtection="0"/>
    <xf numFmtId="0" fontId="69" fillId="27" borderId="57" applyNumberFormat="0" applyAlignment="0" applyProtection="0"/>
    <xf numFmtId="0" fontId="76" fillId="8" borderId="46" applyNumberFormat="0" applyAlignment="0" applyProtection="0"/>
    <xf numFmtId="10" fontId="46" fillId="23" borderId="56" applyNumberFormat="0" applyBorder="0" applyAlignment="0" applyProtection="0"/>
    <xf numFmtId="10" fontId="46" fillId="23" borderId="56" applyNumberFormat="0" applyBorder="0" applyAlignment="0" applyProtection="0"/>
    <xf numFmtId="10" fontId="46" fillId="23" borderId="56" applyNumberFormat="0" applyBorder="0" applyAlignment="0" applyProtection="0"/>
    <xf numFmtId="10" fontId="46" fillId="23" borderId="56" applyNumberFormat="0" applyBorder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0" fontId="76" fillId="8" borderId="46" applyNumberFormat="0" applyAlignment="0" applyProtection="0"/>
    <xf numFmtId="3" fontId="89" fillId="2" borderId="55">
      <alignment horizontal="center"/>
    </xf>
    <xf numFmtId="0" fontId="26" fillId="0" borderId="0"/>
    <xf numFmtId="0" fontId="26" fillId="0" borderId="0"/>
    <xf numFmtId="0" fontId="34" fillId="0" borderId="54" applyFont="0" applyFill="0" applyBorder="0" applyAlignment="0" applyProtection="0">
      <alignment horizontal="right"/>
    </xf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35" fillId="22" borderId="40" applyNumberFormat="0" applyFont="0" applyBorder="0" applyAlignment="0" applyProtection="0"/>
    <xf numFmtId="0" fontId="94" fillId="26" borderId="48" applyNumberFormat="0" applyAlignment="0" applyProtection="0"/>
    <xf numFmtId="0" fontId="94" fillId="26" borderId="4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24" fillId="0" borderId="50" applyProtection="0">
      <alignment horizontal="centerContinuous"/>
    </xf>
    <xf numFmtId="0" fontId="125" fillId="0" borderId="49" applyNumberFormat="0" applyFill="0" applyAlignment="0" applyProtection="0"/>
    <xf numFmtId="0" fontId="26" fillId="0" borderId="0"/>
    <xf numFmtId="210" fontId="128" fillId="0" borderId="56" applyFont="0" applyFill="0" applyBorder="0" applyAlignment="0"/>
    <xf numFmtId="167" fontId="26" fillId="0" borderId="0" applyFont="0" applyFill="0" applyBorder="0" applyAlignment="0" applyProtection="0"/>
    <xf numFmtId="0" fontId="26" fillId="0" borderId="0">
      <alignment vertical="center"/>
    </xf>
    <xf numFmtId="0" fontId="34" fillId="0" borderId="56" applyNumberFormat="0" applyProtection="0">
      <alignment horizontal="left" vertical="center" indent="1"/>
    </xf>
    <xf numFmtId="0" fontId="34" fillId="0" borderId="56" applyNumberFormat="0" applyProtection="0">
      <alignment horizontal="left" vertical="center" indent="1"/>
    </xf>
    <xf numFmtId="0" fontId="34" fillId="0" borderId="56" applyNumberFormat="0" applyProtection="0">
      <alignment horizontal="left" vertical="center" indent="1"/>
    </xf>
    <xf numFmtId="4" fontId="39" fillId="0" borderId="56" applyNumberFormat="0" applyProtection="0">
      <alignment horizontal="right" vertical="center"/>
    </xf>
    <xf numFmtId="4" fontId="39" fillId="0" borderId="58" applyNumberFormat="0" applyProtection="0">
      <alignment horizontal="left" vertical="center" indent="1"/>
    </xf>
    <xf numFmtId="0" fontId="53" fillId="0" borderId="56" applyNumberFormat="0" applyProtection="0">
      <alignment horizontal="left" vertical="top" indent="1"/>
    </xf>
    <xf numFmtId="0" fontId="26" fillId="0" borderId="0"/>
    <xf numFmtId="0" fontId="69" fillId="27" borderId="57" applyNumberFormat="0" applyAlignment="0" applyProtection="0"/>
    <xf numFmtId="167" fontId="26" fillId="0" borderId="0" applyFont="0" applyFill="0" applyBorder="0" applyAlignment="0" applyProtection="0"/>
    <xf numFmtId="0" fontId="52" fillId="32" borderId="35" applyNumberFormat="0" applyFont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76" fillId="8" borderId="46" applyNumberFormat="0" applyAlignment="0" applyProtection="0"/>
    <xf numFmtId="0" fontId="68" fillId="26" borderId="46" applyNumberFormat="0" applyAlignment="0" applyProtection="0"/>
    <xf numFmtId="0" fontId="69" fillId="27" borderId="57" applyNumberFormat="0" applyAlignment="0" applyProtection="0"/>
    <xf numFmtId="0" fontId="76" fillId="8" borderId="46" applyNumberFormat="0" applyAlignment="0" applyProtection="0"/>
    <xf numFmtId="0" fontId="26" fillId="0" borderId="0"/>
    <xf numFmtId="0" fontId="76" fillId="8" borderId="46" applyNumberFormat="0" applyAlignment="0" applyProtection="0"/>
    <xf numFmtId="0" fontId="76" fillId="8" borderId="46" applyNumberFormat="0" applyAlignment="0" applyProtection="0"/>
    <xf numFmtId="0" fontId="26" fillId="0" borderId="0"/>
    <xf numFmtId="0" fontId="26" fillId="0" borderId="0"/>
    <xf numFmtId="0" fontId="32" fillId="0" borderId="0"/>
    <xf numFmtId="9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0" fontId="32" fillId="0" borderId="0"/>
    <xf numFmtId="0" fontId="32" fillId="0" borderId="0"/>
    <xf numFmtId="4" fontId="34" fillId="0" borderId="72" applyNumberFormat="0" applyProtection="0">
      <alignment horizontal="right" vertical="center"/>
    </xf>
    <xf numFmtId="4" fontId="135" fillId="0" borderId="72" applyNumberFormat="0" applyProtection="0">
      <alignment horizontal="right" vertical="center"/>
    </xf>
    <xf numFmtId="4" fontId="39" fillId="23" borderId="72" applyNumberFormat="0" applyProtection="0">
      <alignment horizontal="left" vertical="center" indent="1"/>
    </xf>
    <xf numFmtId="4" fontId="39" fillId="23" borderId="72" applyNumberFormat="0" applyProtection="0">
      <alignment vertical="center"/>
    </xf>
    <xf numFmtId="0" fontId="34" fillId="52" borderId="72" applyNumberFormat="0" applyProtection="0">
      <alignment horizontal="left" vertical="top" indent="1"/>
    </xf>
    <xf numFmtId="0" fontId="34" fillId="49" borderId="72" applyNumberFormat="0" applyProtection="0">
      <alignment horizontal="left" vertical="top" indent="1"/>
    </xf>
    <xf numFmtId="4" fontId="39" fillId="12" borderId="72" applyNumberFormat="0" applyProtection="0">
      <alignment horizontal="right" vertical="center"/>
    </xf>
    <xf numFmtId="4" fontId="39" fillId="20" borderId="72" applyNumberFormat="0" applyProtection="0">
      <alignment horizontal="right" vertical="center"/>
    </xf>
    <xf numFmtId="4" fontId="39" fillId="17" borderId="72" applyNumberFormat="0" applyProtection="0">
      <alignment horizontal="right" vertical="center"/>
    </xf>
    <xf numFmtId="4" fontId="39" fillId="13" borderId="72" applyNumberFormat="0" applyProtection="0">
      <alignment horizontal="right" vertical="center"/>
    </xf>
    <xf numFmtId="0" fontId="53" fillId="0" borderId="72" applyNumberFormat="0" applyProtection="0">
      <alignment horizontal="left" vertical="top" indent="1"/>
    </xf>
    <xf numFmtId="4" fontId="53" fillId="0" borderId="72" applyNumberFormat="0" applyProtection="0">
      <alignment horizontal="left" vertical="center" indent="1"/>
    </xf>
    <xf numFmtId="4" fontId="53" fillId="0" borderId="72" applyNumberFormat="0" applyProtection="0">
      <alignment vertical="center"/>
    </xf>
    <xf numFmtId="0" fontId="68" fillId="26" borderId="65" applyNumberFormat="0" applyAlignment="0" applyProtection="0"/>
    <xf numFmtId="0" fontId="68" fillId="26" borderId="65" applyNumberFormat="0" applyAlignment="0" applyProtection="0"/>
    <xf numFmtId="40" fontId="67" fillId="23" borderId="62">
      <alignment vertical="center"/>
    </xf>
    <xf numFmtId="0" fontId="76" fillId="8" borderId="65" applyNumberFormat="0" applyAlignment="0" applyProtection="0"/>
    <xf numFmtId="0" fontId="34" fillId="23" borderId="66" applyNumberFormat="0" applyFont="0" applyBorder="0" applyAlignment="0" applyProtection="0"/>
    <xf numFmtId="0" fontId="83" fillId="0" borderId="59">
      <alignment horizontal="left" vertical="center"/>
    </xf>
    <xf numFmtId="10" fontId="46" fillId="23" borderId="62" applyNumberFormat="0" applyBorder="0" applyAlignment="0" applyProtection="0"/>
    <xf numFmtId="0" fontId="34" fillId="32" borderId="67" applyNumberFormat="0" applyFont="0" applyAlignment="0" applyProtection="0"/>
    <xf numFmtId="0" fontId="34" fillId="32" borderId="67" applyNumberFormat="0" applyFont="0" applyAlignment="0" applyProtection="0"/>
    <xf numFmtId="0" fontId="94" fillId="26" borderId="68" applyNumberFormat="0" applyAlignment="0" applyProtection="0"/>
    <xf numFmtId="0" fontId="94" fillId="26" borderId="68" applyNumberFormat="0" applyAlignment="0" applyProtection="0"/>
    <xf numFmtId="0" fontId="32" fillId="0" borderId="0"/>
    <xf numFmtId="0" fontId="34" fillId="0" borderId="59" applyFont="0" applyFill="0" applyBorder="0" applyAlignment="0" applyProtection="0"/>
    <xf numFmtId="0" fontId="68" fillId="26" borderId="65" applyNumberFormat="0" applyAlignment="0" applyProtection="0"/>
    <xf numFmtId="0" fontId="76" fillId="8" borderId="65" applyNumberFormat="0" applyAlignment="0" applyProtection="0"/>
    <xf numFmtId="0" fontId="34" fillId="23" borderId="66" applyNumberFormat="0" applyFont="0" applyBorder="0" applyAlignment="0" applyProtection="0"/>
    <xf numFmtId="10" fontId="46" fillId="23" borderId="62" applyNumberFormat="0" applyBorder="0" applyAlignment="0" applyProtection="0"/>
    <xf numFmtId="10" fontId="46" fillId="23" borderId="62" applyNumberFormat="0" applyBorder="0" applyAlignment="0" applyProtection="0"/>
    <xf numFmtId="10" fontId="46" fillId="23" borderId="62" applyNumberFormat="0" applyBorder="0" applyAlignment="0" applyProtection="0"/>
    <xf numFmtId="10" fontId="46" fillId="23" borderId="62" applyNumberFormat="0" applyBorder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25" fillId="0" borderId="0"/>
    <xf numFmtId="0" fontId="25" fillId="0" borderId="0"/>
    <xf numFmtId="0" fontId="52" fillId="32" borderId="67" applyNumberFormat="0" applyFont="0" applyAlignment="0" applyProtection="0"/>
    <xf numFmtId="0" fontId="34" fillId="32" borderId="67" applyNumberFormat="0" applyFont="0" applyAlignment="0" applyProtection="0"/>
    <xf numFmtId="0" fontId="34" fillId="32" borderId="67" applyNumberFormat="0" applyFont="0" applyAlignment="0" applyProtection="0"/>
    <xf numFmtId="0" fontId="34" fillId="32" borderId="67" applyNumberFormat="0" applyFont="0" applyAlignment="0" applyProtection="0"/>
    <xf numFmtId="0" fontId="34" fillId="32" borderId="67" applyNumberFormat="0" applyFont="0" applyAlignment="0" applyProtection="0"/>
    <xf numFmtId="0" fontId="34" fillId="32" borderId="67" applyNumberFormat="0" applyFont="0" applyAlignment="0" applyProtection="0"/>
    <xf numFmtId="0" fontId="34" fillId="32" borderId="67" applyNumberFormat="0" applyFont="0" applyAlignment="0" applyProtection="0"/>
    <xf numFmtId="0" fontId="34" fillId="32" borderId="67" applyNumberFormat="0" applyFont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94" fillId="26" borderId="68" applyNumberFormat="0" applyAlignment="0" applyProtection="0"/>
    <xf numFmtId="0" fontId="94" fillId="26" borderId="6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4" fillId="0" borderId="61" applyProtection="0">
      <alignment horizontal="centerContinuous"/>
    </xf>
    <xf numFmtId="0" fontId="125" fillId="0" borderId="69" applyNumberFormat="0" applyFill="0" applyAlignment="0" applyProtection="0"/>
    <xf numFmtId="4" fontId="39" fillId="0" borderId="73" applyNumberFormat="0" applyProtection="0">
      <alignment horizontal="left" vertical="center" indent="1"/>
    </xf>
    <xf numFmtId="4" fontId="135" fillId="23" borderId="72" applyNumberFormat="0" applyProtection="0">
      <alignment vertical="center"/>
    </xf>
    <xf numFmtId="4" fontId="39" fillId="50" borderId="72" applyNumberFormat="0" applyProtection="0">
      <alignment horizontal="right" vertical="center"/>
    </xf>
    <xf numFmtId="4" fontId="39" fillId="21" borderId="72" applyNumberFormat="0" applyProtection="0">
      <alignment horizontal="right" vertical="center"/>
    </xf>
    <xf numFmtId="4" fontId="133" fillId="29" borderId="72" applyNumberFormat="0" applyProtection="0">
      <alignment vertical="center"/>
    </xf>
    <xf numFmtId="0" fontId="25" fillId="0" borderId="0"/>
    <xf numFmtId="0" fontId="39" fillId="23" borderId="72" applyNumberFormat="0" applyProtection="0">
      <alignment horizontal="left" vertical="top" indent="1"/>
    </xf>
    <xf numFmtId="0" fontId="34" fillId="52" borderId="72" applyNumberFormat="0" applyProtection="0">
      <alignment horizontal="left" vertical="center" indent="1"/>
    </xf>
    <xf numFmtId="0" fontId="34" fillId="22" borderId="72" applyNumberFormat="0" applyProtection="0">
      <alignment horizontal="left" vertical="top" indent="1"/>
    </xf>
    <xf numFmtId="0" fontId="34" fillId="51" borderId="72" applyNumberFormat="0" applyProtection="0">
      <alignment horizontal="left" vertical="top" indent="1"/>
    </xf>
    <xf numFmtId="4" fontId="39" fillId="48" borderId="72" applyNumberFormat="0" applyProtection="0">
      <alignment horizontal="right" vertical="center"/>
    </xf>
    <xf numFmtId="4" fontId="39" fillId="19" borderId="72" applyNumberFormat="0" applyProtection="0">
      <alignment horizontal="right" vertical="center"/>
    </xf>
    <xf numFmtId="4" fontId="39" fillId="11" borderId="72" applyNumberFormat="0" applyProtection="0">
      <alignment horizontal="right" vertical="center"/>
    </xf>
    <xf numFmtId="4" fontId="39" fillId="4" borderId="72" applyNumberFormat="0" applyProtection="0">
      <alignment horizontal="right" vertical="center"/>
    </xf>
    <xf numFmtId="210" fontId="128" fillId="0" borderId="62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4" fontId="53" fillId="0" borderId="70" applyNumberFormat="0" applyProtection="0">
      <alignment vertical="center"/>
    </xf>
    <xf numFmtId="4" fontId="133" fillId="29" borderId="70" applyNumberFormat="0" applyProtection="0">
      <alignment vertical="center"/>
    </xf>
    <xf numFmtId="4" fontId="53" fillId="0" borderId="70" applyNumberFormat="0" applyProtection="0">
      <alignment horizontal="left" vertical="center" indent="1"/>
    </xf>
    <xf numFmtId="0" fontId="53" fillId="0" borderId="70" applyNumberFormat="0" applyProtection="0">
      <alignment horizontal="left" vertical="top" indent="1"/>
    </xf>
    <xf numFmtId="4" fontId="39" fillId="4" borderId="70" applyNumberFormat="0" applyProtection="0">
      <alignment horizontal="right" vertical="center"/>
    </xf>
    <xf numFmtId="4" fontId="39" fillId="11" borderId="70" applyNumberFormat="0" applyProtection="0">
      <alignment horizontal="right" vertical="center"/>
    </xf>
    <xf numFmtId="4" fontId="39" fillId="19" borderId="70" applyNumberFormat="0" applyProtection="0">
      <alignment horizontal="right" vertical="center"/>
    </xf>
    <xf numFmtId="4" fontId="39" fillId="13" borderId="70" applyNumberFormat="0" applyProtection="0">
      <alignment horizontal="right" vertical="center"/>
    </xf>
    <xf numFmtId="4" fontId="39" fillId="17" borderId="70" applyNumberFormat="0" applyProtection="0">
      <alignment horizontal="right" vertical="center"/>
    </xf>
    <xf numFmtId="4" fontId="39" fillId="21" borderId="70" applyNumberFormat="0" applyProtection="0">
      <alignment horizontal="right" vertical="center"/>
    </xf>
    <xf numFmtId="4" fontId="39" fillId="20" borderId="70" applyNumberFormat="0" applyProtection="0">
      <alignment horizontal="right" vertical="center"/>
    </xf>
    <xf numFmtId="4" fontId="39" fillId="48" borderId="70" applyNumberFormat="0" applyProtection="0">
      <alignment horizontal="right" vertical="center"/>
    </xf>
    <xf numFmtId="4" fontId="39" fillId="12" borderId="70" applyNumberFormat="0" applyProtection="0">
      <alignment horizontal="right" vertical="center"/>
    </xf>
    <xf numFmtId="4" fontId="39" fillId="50" borderId="70" applyNumberFormat="0" applyProtection="0">
      <alignment horizontal="right" vertical="center"/>
    </xf>
    <xf numFmtId="0" fontId="34" fillId="0" borderId="62" applyNumberFormat="0" applyProtection="0">
      <alignment horizontal="left" vertical="center" indent="1"/>
    </xf>
    <xf numFmtId="0" fontId="34" fillId="49" borderId="70" applyNumberFormat="0" applyProtection="0">
      <alignment horizontal="left" vertical="top" indent="1"/>
    </xf>
    <xf numFmtId="0" fontId="34" fillId="0" borderId="62" applyNumberFormat="0" applyProtection="0">
      <alignment horizontal="left" vertical="center" indent="1"/>
    </xf>
    <xf numFmtId="0" fontId="34" fillId="51" borderId="70" applyNumberFormat="0" applyProtection="0">
      <alignment horizontal="left" vertical="top" indent="1"/>
    </xf>
    <xf numFmtId="0" fontId="34" fillId="0" borderId="62" applyNumberFormat="0" applyProtection="0">
      <alignment horizontal="left" vertical="center" indent="1"/>
    </xf>
    <xf numFmtId="0" fontId="34" fillId="22" borderId="70" applyNumberFormat="0" applyProtection="0">
      <alignment horizontal="left" vertical="top" indent="1"/>
    </xf>
    <xf numFmtId="0" fontId="34" fillId="52" borderId="70" applyNumberFormat="0" applyProtection="0">
      <alignment horizontal="left" vertical="center" indent="1"/>
    </xf>
    <xf numFmtId="0" fontId="34" fillId="52" borderId="70" applyNumberFormat="0" applyProtection="0">
      <alignment horizontal="left" vertical="top" indent="1"/>
    </xf>
    <xf numFmtId="4" fontId="39" fillId="23" borderId="70" applyNumberFormat="0" applyProtection="0">
      <alignment vertical="center"/>
    </xf>
    <xf numFmtId="4" fontId="135" fillId="23" borderId="70" applyNumberFormat="0" applyProtection="0">
      <alignment vertical="center"/>
    </xf>
    <xf numFmtId="4" fontId="39" fillId="23" borderId="70" applyNumberFormat="0" applyProtection="0">
      <alignment horizontal="left" vertical="center" indent="1"/>
    </xf>
    <xf numFmtId="0" fontId="39" fillId="23" borderId="70" applyNumberFormat="0" applyProtection="0">
      <alignment horizontal="left" vertical="top" indent="1"/>
    </xf>
    <xf numFmtId="4" fontId="39" fillId="0" borderId="62" applyNumberFormat="0" applyProtection="0">
      <alignment horizontal="right" vertical="center"/>
    </xf>
    <xf numFmtId="4" fontId="135" fillId="0" borderId="70" applyNumberFormat="0" applyProtection="0">
      <alignment horizontal="right" vertical="center"/>
    </xf>
    <xf numFmtId="4" fontId="39" fillId="0" borderId="71" applyNumberFormat="0" applyProtection="0">
      <alignment horizontal="left" vertical="center" indent="1"/>
    </xf>
    <xf numFmtId="0" fontId="53" fillId="0" borderId="62" applyNumberFormat="0" applyProtection="0">
      <alignment horizontal="left" vertical="top" indent="1"/>
    </xf>
    <xf numFmtId="4" fontId="34" fillId="0" borderId="70" applyNumberFormat="0" applyProtection="0">
      <alignment horizontal="right" vertical="center"/>
    </xf>
    <xf numFmtId="0" fontId="25" fillId="0" borderId="0"/>
    <xf numFmtId="0" fontId="68" fillId="26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167" fontId="25" fillId="0" borderId="0" applyFont="0" applyFill="0" applyBorder="0" applyAlignment="0" applyProtection="0"/>
    <xf numFmtId="0" fontId="52" fillId="32" borderId="67" applyNumberFormat="0" applyFont="0" applyAlignment="0" applyProtection="0"/>
    <xf numFmtId="0" fontId="94" fillId="26" borderId="68" applyNumberFormat="0" applyAlignment="0" applyProtection="0"/>
    <xf numFmtId="0" fontId="125" fillId="0" borderId="69" applyNumberFormat="0" applyFill="0" applyAlignment="0" applyProtection="0"/>
    <xf numFmtId="0" fontId="125" fillId="0" borderId="69" applyNumberFormat="0" applyFill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8" borderId="65" applyNumberFormat="0" applyAlignment="0" applyProtection="0"/>
    <xf numFmtId="0" fontId="68" fillId="26" borderId="65" applyNumberFormat="0" applyAlignment="0" applyProtection="0"/>
    <xf numFmtId="0" fontId="76" fillId="8" borderId="65" applyNumberFormat="0" applyAlignment="0" applyProtection="0"/>
    <xf numFmtId="0" fontId="144" fillId="32" borderId="67" applyNumberFormat="0" applyFont="0" applyAlignment="0" applyProtection="0"/>
    <xf numFmtId="0" fontId="94" fillId="26" borderId="68" applyNumberFormat="0" applyAlignment="0" applyProtection="0"/>
    <xf numFmtId="0" fontId="25" fillId="0" borderId="0"/>
    <xf numFmtId="0" fontId="76" fillId="8" borderId="65" applyNumberFormat="0" applyAlignment="0" applyProtection="0"/>
    <xf numFmtId="0" fontId="76" fillId="8" borderId="65" applyNumberFormat="0" applyAlignment="0" applyProtection="0"/>
    <xf numFmtId="0" fontId="25" fillId="0" borderId="0"/>
    <xf numFmtId="0" fontId="25" fillId="0" borderId="0"/>
    <xf numFmtId="0" fontId="68" fillId="26" borderId="65" applyNumberFormat="0" applyAlignment="0" applyProtection="0"/>
    <xf numFmtId="0" fontId="83" fillId="0" borderId="59">
      <alignment horizontal="left" vertical="center"/>
    </xf>
    <xf numFmtId="0" fontId="34" fillId="32" borderId="67" applyNumberFormat="0" applyFont="0" applyAlignment="0" applyProtection="0"/>
    <xf numFmtId="0" fontId="35" fillId="22" borderId="36" applyNumberFormat="0" applyFont="0" applyBorder="0" applyAlignment="0" applyProtection="0"/>
    <xf numFmtId="0" fontId="34" fillId="0" borderId="59" applyFont="0" applyFill="0" applyBorder="0" applyAlignment="0" applyProtection="0"/>
    <xf numFmtId="0" fontId="68" fillId="26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76" fillId="8" borderId="65" applyNumberFormat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5" fillId="22" borderId="36" applyNumberFormat="0" applyFont="0" applyBorder="0" applyAlignment="0" applyProtection="0"/>
    <xf numFmtId="0" fontId="94" fillId="26" borderId="68" applyNumberFormat="0" applyAlignment="0" applyProtection="0"/>
    <xf numFmtId="0" fontId="94" fillId="26" borderId="6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4" fillId="0" borderId="61" applyProtection="0">
      <alignment horizontal="centerContinuous"/>
    </xf>
    <xf numFmtId="0" fontId="125" fillId="0" borderId="69" applyNumberFormat="0" applyFill="0" applyAlignment="0" applyProtection="0"/>
    <xf numFmtId="0" fontId="25" fillId="0" borderId="0"/>
    <xf numFmtId="167" fontId="25" fillId="0" borderId="0" applyFont="0" applyFill="0" applyBorder="0" applyAlignment="0" applyProtection="0"/>
    <xf numFmtId="0" fontId="25" fillId="0" borderId="0">
      <alignment vertical="center"/>
    </xf>
    <xf numFmtId="4" fontId="39" fillId="0" borderId="71" applyNumberFormat="0" applyProtection="0">
      <alignment horizontal="left" vertical="center" indent="1"/>
    </xf>
    <xf numFmtId="0" fontId="25" fillId="0" borderId="0"/>
    <xf numFmtId="167" fontId="25" fillId="0" borderId="0" applyFont="0" applyFill="0" applyBorder="0" applyAlignment="0" applyProtection="0"/>
    <xf numFmtId="0" fontId="52" fillId="32" borderId="67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8" borderId="65" applyNumberFormat="0" applyAlignment="0" applyProtection="0"/>
    <xf numFmtId="0" fontId="68" fillId="26" borderId="65" applyNumberFormat="0" applyAlignment="0" applyProtection="0"/>
    <xf numFmtId="0" fontId="76" fillId="8" borderId="65" applyNumberFormat="0" applyAlignment="0" applyProtection="0"/>
    <xf numFmtId="0" fontId="25" fillId="0" borderId="0"/>
    <xf numFmtId="0" fontId="76" fillId="8" borderId="65" applyNumberFormat="0" applyAlignment="0" applyProtection="0"/>
    <xf numFmtId="0" fontId="76" fillId="8" borderId="65" applyNumberFormat="0" applyAlignment="0" applyProtection="0"/>
    <xf numFmtId="0" fontId="25" fillId="0" borderId="0"/>
    <xf numFmtId="0" fontId="25" fillId="0" borderId="0"/>
    <xf numFmtId="0" fontId="68" fillId="26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52" fillId="32" borderId="76" applyNumberFormat="0" applyFont="0" applyAlignment="0" applyProtection="0"/>
    <xf numFmtId="0" fontId="94" fillId="26" borderId="77" applyNumberFormat="0" applyAlignment="0" applyProtection="0"/>
    <xf numFmtId="0" fontId="125" fillId="0" borderId="78" applyNumberFormat="0" applyFill="0" applyAlignment="0" applyProtection="0"/>
    <xf numFmtId="0" fontId="125" fillId="0" borderId="78" applyNumberFormat="0" applyFill="0" applyAlignment="0" applyProtection="0"/>
    <xf numFmtId="0" fontId="94" fillId="26" borderId="77" applyNumberFormat="0" applyAlignment="0" applyProtection="0"/>
    <xf numFmtId="0" fontId="68" fillId="26" borderId="75" applyNumberFormat="0" applyAlignment="0" applyProtection="0"/>
    <xf numFmtId="40" fontId="67" fillId="23" borderId="74">
      <alignment vertical="center"/>
    </xf>
    <xf numFmtId="0" fontId="83" fillId="0" borderId="81">
      <alignment horizontal="left" vertical="center"/>
    </xf>
    <xf numFmtId="10" fontId="46" fillId="23" borderId="74" applyNumberFormat="0" applyBorder="0" applyAlignment="0" applyProtection="0"/>
    <xf numFmtId="187" fontId="34" fillId="0" borderId="80">
      <protection locked="0"/>
    </xf>
    <xf numFmtId="0" fontId="34" fillId="0" borderId="81" applyFont="0" applyFill="0" applyBorder="0" applyAlignment="0" applyProtection="0"/>
    <xf numFmtId="0" fontId="68" fillId="26" borderId="75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76" fillId="8" borderId="75" applyNumberFormat="0" applyAlignment="0" applyProtection="0"/>
    <xf numFmtId="10" fontId="46" fillId="23" borderId="74" applyNumberFormat="0" applyBorder="0" applyAlignment="0" applyProtection="0"/>
    <xf numFmtId="10" fontId="46" fillId="23" borderId="74" applyNumberFormat="0" applyBorder="0" applyAlignment="0" applyProtection="0"/>
    <xf numFmtId="10" fontId="46" fillId="23" borderId="74" applyNumberFormat="0" applyBorder="0" applyAlignment="0" applyProtection="0"/>
    <xf numFmtId="10" fontId="46" fillId="23" borderId="74" applyNumberFormat="0" applyBorder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94" fillId="26" borderId="77" applyNumberFormat="0" applyAlignment="0" applyProtection="0"/>
    <xf numFmtId="0" fontId="94" fillId="26" borderId="77" applyNumberFormat="0" applyAlignment="0" applyProtection="0"/>
    <xf numFmtId="0" fontId="124" fillId="0" borderId="79" applyProtection="0">
      <alignment horizontal="centerContinuous"/>
    </xf>
    <xf numFmtId="0" fontId="125" fillId="0" borderId="78" applyNumberFormat="0" applyFill="0" applyAlignment="0" applyProtection="0"/>
    <xf numFmtId="210" fontId="128" fillId="0" borderId="74" applyFont="0" applyFill="0" applyBorder="0" applyAlignment="0"/>
    <xf numFmtId="0" fontId="34" fillId="0" borderId="74" applyNumberFormat="0" applyProtection="0">
      <alignment horizontal="left" vertical="center" indent="1"/>
    </xf>
    <xf numFmtId="0" fontId="34" fillId="0" borderId="74" applyNumberFormat="0" applyProtection="0">
      <alignment horizontal="left" vertical="center" indent="1"/>
    </xf>
    <xf numFmtId="0" fontId="34" fillId="0" borderId="74" applyNumberFormat="0" applyProtection="0">
      <alignment horizontal="left" vertical="center" indent="1"/>
    </xf>
    <xf numFmtId="4" fontId="39" fillId="0" borderId="74" applyNumberFormat="0" applyProtection="0">
      <alignment horizontal="right" vertical="center"/>
    </xf>
    <xf numFmtId="4" fontId="39" fillId="0" borderId="73" applyNumberFormat="0" applyProtection="0">
      <alignment horizontal="left" vertical="center" indent="1"/>
    </xf>
    <xf numFmtId="0" fontId="53" fillId="0" borderId="74" applyNumberFormat="0" applyProtection="0">
      <alignment horizontal="left" vertical="top" indent="1"/>
    </xf>
    <xf numFmtId="0" fontId="69" fillId="27" borderId="82" applyNumberFormat="0" applyAlignment="0" applyProtection="0"/>
    <xf numFmtId="0" fontId="76" fillId="8" borderId="75" applyNumberFormat="0" applyAlignment="0" applyProtection="0"/>
    <xf numFmtId="0" fontId="68" fillId="26" borderId="75" applyNumberFormat="0" applyAlignment="0" applyProtection="0"/>
    <xf numFmtId="0" fontId="69" fillId="27" borderId="82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76" fillId="8" borderId="75" applyNumberFormat="0" applyAlignment="0" applyProtection="0"/>
    <xf numFmtId="0" fontId="32" fillId="0" borderId="0"/>
    <xf numFmtId="0" fontId="76" fillId="8" borderId="86" applyNumberFormat="0" applyAlignment="0" applyProtection="0"/>
    <xf numFmtId="0" fontId="68" fillId="26" borderId="86" applyNumberFormat="0" applyAlignment="0" applyProtection="0"/>
    <xf numFmtId="0" fontId="34" fillId="0" borderId="92" applyFont="0" applyFill="0" applyBorder="0" applyAlignment="0" applyProtection="0"/>
    <xf numFmtId="10" fontId="46" fillId="23" borderId="85" applyNumberFormat="0" applyBorder="0" applyAlignment="0" applyProtection="0"/>
    <xf numFmtId="0" fontId="83" fillId="0" borderId="92">
      <alignment horizontal="left" vertical="center"/>
    </xf>
    <xf numFmtId="0" fontId="53" fillId="0" borderId="94" applyNumberFormat="0" applyProtection="0">
      <alignment horizontal="left" vertical="top" indent="1"/>
    </xf>
    <xf numFmtId="0" fontId="125" fillId="0" borderId="89" applyNumberFormat="0" applyFill="0" applyAlignment="0" applyProtection="0"/>
    <xf numFmtId="0" fontId="125" fillId="0" borderId="89" applyNumberFormat="0" applyFill="0" applyAlignment="0" applyProtection="0"/>
    <xf numFmtId="0" fontId="94" fillId="26" borderId="88" applyNumberFormat="0" applyAlignment="0" applyProtection="0"/>
    <xf numFmtId="0" fontId="52" fillId="32" borderId="87" applyNumberFormat="0" applyFont="0" applyAlignment="0" applyProtection="0"/>
    <xf numFmtId="0" fontId="76" fillId="8" borderId="86" applyNumberFormat="0" applyAlignment="0" applyProtection="0"/>
    <xf numFmtId="0" fontId="94" fillId="26" borderId="98" applyNumberFormat="0" applyAlignment="0" applyProtection="0"/>
    <xf numFmtId="4" fontId="39" fillId="23" borderId="83" applyNumberFormat="0" applyProtection="0">
      <alignment horizontal="left" vertical="center" indent="1"/>
    </xf>
    <xf numFmtId="4" fontId="135" fillId="23" borderId="83" applyNumberFormat="0" applyProtection="0">
      <alignment vertical="center"/>
    </xf>
    <xf numFmtId="4" fontId="39" fillId="23" borderId="83" applyNumberFormat="0" applyProtection="0">
      <alignment vertical="center"/>
    </xf>
    <xf numFmtId="0" fontId="34" fillId="52" borderId="83" applyNumberFormat="0" applyProtection="0">
      <alignment horizontal="left" vertical="center" indent="1"/>
    </xf>
    <xf numFmtId="0" fontId="34" fillId="51" borderId="83" applyNumberFormat="0" applyProtection="0">
      <alignment horizontal="left" vertical="top" indent="1"/>
    </xf>
    <xf numFmtId="0" fontId="34" fillId="49" borderId="83" applyNumberFormat="0" applyProtection="0">
      <alignment horizontal="left" vertical="top" indent="1"/>
    </xf>
    <xf numFmtId="4" fontId="39" fillId="50" borderId="83" applyNumberFormat="0" applyProtection="0">
      <alignment horizontal="right" vertical="center"/>
    </xf>
    <xf numFmtId="4" fontId="39" fillId="12" borderId="83" applyNumberFormat="0" applyProtection="0">
      <alignment horizontal="right" vertical="center"/>
    </xf>
    <xf numFmtId="4" fontId="39" fillId="48" borderId="83" applyNumberFormat="0" applyProtection="0">
      <alignment horizontal="right" vertical="center"/>
    </xf>
    <xf numFmtId="4" fontId="39" fillId="21" borderId="83" applyNumberFormat="0" applyProtection="0">
      <alignment horizontal="right" vertical="center"/>
    </xf>
    <xf numFmtId="4" fontId="39" fillId="17" borderId="83" applyNumberFormat="0" applyProtection="0">
      <alignment horizontal="right" vertical="center"/>
    </xf>
    <xf numFmtId="4" fontId="39" fillId="13" borderId="83" applyNumberFormat="0" applyProtection="0">
      <alignment horizontal="right" vertical="center"/>
    </xf>
    <xf numFmtId="4" fontId="39" fillId="11" borderId="83" applyNumberFormat="0" applyProtection="0">
      <alignment horizontal="right" vertical="center"/>
    </xf>
    <xf numFmtId="4" fontId="39" fillId="4" borderId="83" applyNumberFormat="0" applyProtection="0">
      <alignment horizontal="right" vertical="center"/>
    </xf>
    <xf numFmtId="4" fontId="53" fillId="0" borderId="83" applyNumberFormat="0" applyProtection="0">
      <alignment horizontal="left" vertical="center" indent="1"/>
    </xf>
    <xf numFmtId="4" fontId="133" fillId="29" borderId="83" applyNumberFormat="0" applyProtection="0">
      <alignment vertical="center"/>
    </xf>
    <xf numFmtId="4" fontId="53" fillId="0" borderId="83" applyNumberFormat="0" applyProtection="0">
      <alignment vertical="center"/>
    </xf>
    <xf numFmtId="0" fontId="94" fillId="26" borderId="98" applyNumberFormat="0" applyAlignment="0" applyProtection="0"/>
    <xf numFmtId="4" fontId="39" fillId="13" borderId="102" applyNumberFormat="0" applyProtection="0">
      <alignment horizontal="right" vertical="center"/>
    </xf>
    <xf numFmtId="0" fontId="68" fillId="26" borderId="93" applyNumberFormat="0" applyAlignment="0" applyProtection="0"/>
    <xf numFmtId="0" fontId="76" fillId="8" borderId="93" applyNumberFormat="0" applyAlignment="0" applyProtection="0"/>
    <xf numFmtId="0" fontId="124" fillId="0" borderId="100" applyProtection="0">
      <alignment horizontal="centerContinuous"/>
    </xf>
    <xf numFmtId="0" fontId="34" fillId="0" borderId="94" applyNumberFormat="0" applyProtection="0">
      <alignment horizontal="left" vertical="center" indent="1"/>
    </xf>
    <xf numFmtId="4" fontId="39" fillId="0" borderId="94" applyNumberFormat="0" applyProtection="0">
      <alignment horizontal="right" vertical="center"/>
    </xf>
    <xf numFmtId="0" fontId="53" fillId="0" borderId="94" applyNumberFormat="0" applyProtection="0">
      <alignment horizontal="left" vertical="top" indent="1"/>
    </xf>
    <xf numFmtId="0" fontId="34" fillId="32" borderId="97" applyNumberFormat="0" applyFont="0" applyAlignment="0" applyProtection="0"/>
    <xf numFmtId="0" fontId="124" fillId="0" borderId="100" applyProtection="0">
      <alignment horizontal="centerContinuous"/>
    </xf>
    <xf numFmtId="0" fontId="34" fillId="0" borderId="96" applyFont="0" applyFill="0" applyBorder="0" applyAlignment="0" applyProtection="0"/>
    <xf numFmtId="10" fontId="46" fillId="23" borderId="94" applyNumberFormat="0" applyBorder="0" applyAlignment="0" applyProtection="0"/>
    <xf numFmtId="0" fontId="76" fillId="8" borderId="93" applyNumberFormat="0" applyAlignment="0" applyProtection="0"/>
    <xf numFmtId="0" fontId="76" fillId="8" borderId="93" applyNumberFormat="0" applyAlignment="0" applyProtection="0"/>
    <xf numFmtId="0" fontId="34" fillId="32" borderId="97" applyNumberFormat="0" applyFont="0" applyAlignment="0" applyProtection="0"/>
    <xf numFmtId="0" fontId="125" fillId="0" borderId="101" applyNumberFormat="0" applyFill="0" applyAlignment="0" applyProtection="0"/>
    <xf numFmtId="0" fontId="34" fillId="0" borderId="94" applyNumberFormat="0" applyProtection="0">
      <alignment horizontal="left" vertical="center" indent="1"/>
    </xf>
    <xf numFmtId="0" fontId="34" fillId="52" borderId="102" applyNumberFormat="0" applyProtection="0">
      <alignment horizontal="left" vertical="top" indent="1"/>
    </xf>
    <xf numFmtId="0" fontId="39" fillId="23" borderId="102" applyNumberFormat="0" applyProtection="0">
      <alignment horizontal="left" vertical="top" indent="1"/>
    </xf>
    <xf numFmtId="0" fontId="53" fillId="0" borderId="94" applyNumberFormat="0" applyProtection="0">
      <alignment horizontal="left" vertical="top" indent="1"/>
    </xf>
    <xf numFmtId="0" fontId="76" fillId="8" borderId="93" applyNumberFormat="0" applyAlignment="0" applyProtection="0"/>
    <xf numFmtId="0" fontId="94" fillId="26" borderId="98" applyNumberFormat="0" applyAlignment="0" applyProtection="0"/>
    <xf numFmtId="0" fontId="125" fillId="0" borderId="101" applyNumberFormat="0" applyFill="0" applyAlignment="0" applyProtection="0"/>
    <xf numFmtId="0" fontId="76" fillId="8" borderId="93" applyNumberFormat="0" applyAlignment="0" applyProtection="0"/>
    <xf numFmtId="0" fontId="94" fillId="26" borderId="98" applyNumberFormat="0" applyAlignment="0" applyProtection="0"/>
    <xf numFmtId="0" fontId="76" fillId="8" borderId="93" applyNumberFormat="0" applyAlignment="0" applyProtection="0"/>
    <xf numFmtId="10" fontId="46" fillId="23" borderId="94" applyNumberFormat="0" applyBorder="0" applyAlignment="0" applyProtection="0"/>
    <xf numFmtId="187" fontId="34" fillId="0" borderId="99">
      <protection locked="0"/>
    </xf>
    <xf numFmtId="10" fontId="46" fillId="23" borderId="94" applyNumberFormat="0" applyBorder="0" applyAlignment="0" applyProtection="0"/>
    <xf numFmtId="0" fontId="76" fillId="8" borderId="93" applyNumberFormat="0" applyAlignment="0" applyProtection="0"/>
    <xf numFmtId="0" fontId="76" fillId="8" borderId="93" applyNumberFormat="0" applyAlignment="0" applyProtection="0"/>
    <xf numFmtId="0" fontId="76" fillId="8" borderId="93" applyNumberFormat="0" applyAlignment="0" applyProtection="0"/>
    <xf numFmtId="0" fontId="83" fillId="0" borderId="96">
      <alignment horizontal="left" vertical="center"/>
    </xf>
    <xf numFmtId="10" fontId="46" fillId="23" borderId="94" applyNumberFormat="0" applyBorder="0" applyAlignment="0" applyProtection="0"/>
    <xf numFmtId="10" fontId="46" fillId="23" borderId="94" applyNumberFormat="0" applyBorder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144" fillId="32" borderId="97" applyNumberFormat="0" applyFont="0" applyAlignment="0" applyProtection="0"/>
    <xf numFmtId="0" fontId="34" fillId="0" borderId="94" applyNumberFormat="0" applyProtection="0">
      <alignment horizontal="left" vertical="center" indent="1"/>
    </xf>
    <xf numFmtId="4" fontId="39" fillId="0" borderId="94" applyNumberFormat="0" applyProtection="0">
      <alignment horizontal="right" vertical="center"/>
    </xf>
    <xf numFmtId="0" fontId="76" fillId="8" borderId="93" applyNumberFormat="0" applyAlignment="0" applyProtection="0"/>
    <xf numFmtId="0" fontId="83" fillId="0" borderId="96">
      <alignment horizontal="left" vertical="center"/>
    </xf>
    <xf numFmtId="10" fontId="46" fillId="23" borderId="94" applyNumberFormat="0" applyBorder="0" applyAlignment="0" applyProtection="0"/>
    <xf numFmtId="0" fontId="34" fillId="32" borderId="97" applyNumberFormat="0" applyFont="0" applyAlignment="0" applyProtection="0"/>
    <xf numFmtId="0" fontId="32" fillId="0" borderId="0"/>
    <xf numFmtId="40" fontId="67" fillId="23" borderId="94">
      <alignment vertical="center"/>
    </xf>
    <xf numFmtId="0" fontId="76" fillId="8" borderId="93" applyNumberFormat="0" applyAlignment="0" applyProtection="0"/>
    <xf numFmtId="0" fontId="76" fillId="8" borderId="93" applyNumberFormat="0" applyAlignment="0" applyProtection="0"/>
    <xf numFmtId="0" fontId="76" fillId="8" borderId="93" applyNumberFormat="0" applyAlignment="0" applyProtection="0"/>
    <xf numFmtId="0" fontId="52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94" fillId="26" borderId="98" applyNumberForma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4" fontId="53" fillId="0" borderId="102" applyNumberFormat="0" applyProtection="0">
      <alignment horizontal="left" vertical="center" indent="1"/>
    </xf>
    <xf numFmtId="4" fontId="39" fillId="19" borderId="102" applyNumberFormat="0" applyProtection="0">
      <alignment horizontal="right" vertical="center"/>
    </xf>
    <xf numFmtId="4" fontId="39" fillId="17" borderId="102" applyNumberFormat="0" applyProtection="0">
      <alignment horizontal="right" vertical="center"/>
    </xf>
    <xf numFmtId="4" fontId="39" fillId="12" borderId="102" applyNumberFormat="0" applyProtection="0">
      <alignment horizontal="right" vertical="center"/>
    </xf>
    <xf numFmtId="0" fontId="34" fillId="0" borderId="94" applyNumberFormat="0" applyProtection="0">
      <alignment horizontal="left" vertical="center" indent="1"/>
    </xf>
    <xf numFmtId="0" fontId="34" fillId="49" borderId="102" applyNumberFormat="0" applyProtection="0">
      <alignment horizontal="left" vertical="top" indent="1"/>
    </xf>
    <xf numFmtId="0" fontId="34" fillId="51" borderId="102" applyNumberFormat="0" applyProtection="0">
      <alignment horizontal="left" vertical="top" indent="1"/>
    </xf>
    <xf numFmtId="0" fontId="34" fillId="0" borderId="94" applyNumberFormat="0" applyProtection="0">
      <alignment horizontal="left" vertical="center" indent="1"/>
    </xf>
    <xf numFmtId="4" fontId="39" fillId="23" borderId="102" applyNumberFormat="0" applyProtection="0">
      <alignment vertical="center"/>
    </xf>
    <xf numFmtId="0" fontId="34" fillId="0" borderId="94" applyNumberFormat="0" applyProtection="0">
      <alignment horizontal="left" vertical="center" indent="1"/>
    </xf>
    <xf numFmtId="10" fontId="46" fillId="23" borderId="94" applyNumberFormat="0" applyBorder="0" applyAlignment="0" applyProtection="0"/>
    <xf numFmtId="0" fontId="76" fillId="8" borderId="93" applyNumberFormat="0" applyAlignment="0" applyProtection="0"/>
    <xf numFmtId="0" fontId="76" fillId="8" borderId="93" applyNumberFormat="0" applyAlignment="0" applyProtection="0"/>
    <xf numFmtId="0" fontId="76" fillId="8" borderId="93" applyNumberFormat="0" applyAlignment="0" applyProtection="0"/>
    <xf numFmtId="0" fontId="94" fillId="26" borderId="98" applyNumberFormat="0" applyAlignment="0" applyProtection="0"/>
    <xf numFmtId="0" fontId="68" fillId="26" borderId="93" applyNumberFormat="0" applyAlignment="0" applyProtection="0"/>
    <xf numFmtId="210" fontId="128" fillId="0" borderId="94" applyFont="0" applyFill="0" applyBorder="0" applyAlignment="0"/>
    <xf numFmtId="40" fontId="67" fillId="23" borderId="94">
      <alignment vertical="center"/>
    </xf>
    <xf numFmtId="10" fontId="46" fillId="23" borderId="94" applyNumberFormat="0" applyBorder="0" applyAlignment="0" applyProtection="0"/>
    <xf numFmtId="10" fontId="46" fillId="23" borderId="94" applyNumberFormat="0" applyBorder="0" applyAlignment="0" applyProtection="0"/>
    <xf numFmtId="0" fontId="52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0" borderId="94" applyNumberFormat="0" applyProtection="0">
      <alignment horizontal="left" vertical="center" indent="1"/>
    </xf>
    <xf numFmtId="0" fontId="34" fillId="0" borderId="94" applyNumberFormat="0" applyProtection="0">
      <alignment horizontal="left" vertical="center" indent="1"/>
    </xf>
    <xf numFmtId="0" fontId="34" fillId="0" borderId="94" applyNumberFormat="0" applyProtection="0">
      <alignment horizontal="left" vertical="center" indent="1"/>
    </xf>
    <xf numFmtId="0" fontId="124" fillId="0" borderId="100" applyProtection="0">
      <alignment horizontal="centerContinuous"/>
    </xf>
    <xf numFmtId="0" fontId="76" fillId="8" borderId="93" applyNumberFormat="0" applyAlignment="0" applyProtection="0"/>
    <xf numFmtId="0" fontId="68" fillId="26" borderId="93" applyNumberFormat="0" applyAlignment="0" applyProtection="0"/>
    <xf numFmtId="187" fontId="34" fillId="0" borderId="99">
      <protection locked="0"/>
    </xf>
    <xf numFmtId="0" fontId="76" fillId="8" borderId="93" applyNumberFormat="0" applyAlignment="0" applyProtection="0"/>
    <xf numFmtId="0" fontId="34" fillId="32" borderId="97" applyNumberFormat="0" applyFont="0" applyAlignment="0" applyProtection="0"/>
    <xf numFmtId="0" fontId="24" fillId="0" borderId="0"/>
    <xf numFmtId="0" fontId="24" fillId="0" borderId="0"/>
    <xf numFmtId="0" fontId="52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9" fontId="24" fillId="0" borderId="0" applyFont="0" applyFill="0" applyBorder="0" applyAlignment="0" applyProtection="0"/>
    <xf numFmtId="210" fontId="128" fillId="0" borderId="94" applyFont="0" applyFill="0" applyBorder="0" applyAlignment="0"/>
    <xf numFmtId="9" fontId="24" fillId="0" borderId="0" applyFont="0" applyFill="0" applyBorder="0" applyAlignment="0" applyProtection="0"/>
    <xf numFmtId="0" fontId="53" fillId="0" borderId="102" applyNumberFormat="0" applyProtection="0">
      <alignment horizontal="left" vertical="top" indent="1"/>
    </xf>
    <xf numFmtId="4" fontId="39" fillId="21" borderId="102" applyNumberFormat="0" applyProtection="0">
      <alignment horizontal="right" vertical="center"/>
    </xf>
    <xf numFmtId="0" fontId="34" fillId="52" borderId="102" applyNumberFormat="0" applyProtection="0">
      <alignment horizontal="left" vertical="center" indent="1"/>
    </xf>
    <xf numFmtId="4" fontId="135" fillId="23" borderId="102" applyNumberFormat="0" applyProtection="0">
      <alignment vertical="center"/>
    </xf>
    <xf numFmtId="4" fontId="135" fillId="0" borderId="102" applyNumberFormat="0" applyProtection="0">
      <alignment horizontal="right" vertical="center"/>
    </xf>
    <xf numFmtId="0" fontId="125" fillId="0" borderId="10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76" fillId="8" borderId="93" applyNumberFormat="0" applyAlignment="0" applyProtection="0"/>
    <xf numFmtId="0" fontId="144" fillId="32" borderId="97" applyNumberFormat="0" applyFont="0" applyAlignment="0" applyProtection="0"/>
    <xf numFmtId="10" fontId="46" fillId="23" borderId="94" applyNumberFormat="0" applyBorder="0" applyAlignment="0" applyProtection="0"/>
    <xf numFmtId="0" fontId="76" fillId="8" borderId="93" applyNumberFormat="0" applyAlignment="0" applyProtection="0"/>
    <xf numFmtId="4" fontId="39" fillId="0" borderId="103" applyNumberFormat="0" applyProtection="0">
      <alignment horizontal="left" vertical="center" indent="1"/>
    </xf>
    <xf numFmtId="0" fontId="76" fillId="8" borderId="93" applyNumberFormat="0" applyAlignment="0" applyProtection="0"/>
    <xf numFmtId="40" fontId="67" fillId="23" borderId="94">
      <alignment vertical="center"/>
    </xf>
    <xf numFmtId="10" fontId="46" fillId="23" borderId="94" applyNumberFormat="0" applyBorder="0" applyAlignment="0" applyProtection="0"/>
    <xf numFmtId="10" fontId="46" fillId="23" borderId="94" applyNumberFormat="0" applyBorder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187" fontId="34" fillId="0" borderId="91">
      <protection locked="0"/>
    </xf>
    <xf numFmtId="0" fontId="94" fillId="26" borderId="88" applyNumberFormat="0" applyAlignment="0" applyProtection="0"/>
    <xf numFmtId="0" fontId="76" fillId="8" borderId="86" applyNumberFormat="0" applyAlignment="0" applyProtection="0"/>
    <xf numFmtId="0" fontId="34" fillId="32" borderId="97" applyNumberFormat="0" applyFont="0" applyAlignment="0" applyProtection="0"/>
    <xf numFmtId="4" fontId="34" fillId="0" borderId="83" applyNumberFormat="0" applyProtection="0">
      <alignment horizontal="right" vertical="center"/>
    </xf>
    <xf numFmtId="0" fontId="39" fillId="23" borderId="83" applyNumberFormat="0" applyProtection="0">
      <alignment horizontal="left" vertical="top" indent="1"/>
    </xf>
    <xf numFmtId="0" fontId="34" fillId="52" borderId="83" applyNumberFormat="0" applyProtection="0">
      <alignment horizontal="left" vertical="top" indent="1"/>
    </xf>
    <xf numFmtId="0" fontId="34" fillId="22" borderId="83" applyNumberFormat="0" applyProtection="0">
      <alignment horizontal="left" vertical="top" indent="1"/>
    </xf>
    <xf numFmtId="4" fontId="39" fillId="20" borderId="83" applyNumberFormat="0" applyProtection="0">
      <alignment horizontal="right" vertical="center"/>
    </xf>
    <xf numFmtId="4" fontId="39" fillId="19" borderId="83" applyNumberFormat="0" applyProtection="0">
      <alignment horizontal="right" vertical="center"/>
    </xf>
    <xf numFmtId="0" fontId="53" fillId="0" borderId="83" applyNumberFormat="0" applyProtection="0">
      <alignment horizontal="left" vertical="top" indent="1"/>
    </xf>
    <xf numFmtId="210" fontId="128" fillId="0" borderId="94" applyFont="0" applyFill="0" applyBorder="0" applyAlignment="0"/>
    <xf numFmtId="0" fontId="34" fillId="0" borderId="94" applyNumberFormat="0" applyProtection="0">
      <alignment horizontal="left" vertical="center" indent="1"/>
    </xf>
    <xf numFmtId="0" fontId="34" fillId="0" borderId="96" applyFont="0" applyFill="0" applyBorder="0" applyAlignment="0" applyProtection="0"/>
    <xf numFmtId="10" fontId="46" fillId="23" borderId="94" applyNumberFormat="0" applyBorder="0" applyAlignment="0" applyProtection="0"/>
    <xf numFmtId="0" fontId="76" fillId="8" borderId="93" applyNumberFormat="0" applyAlignment="0" applyProtection="0"/>
    <xf numFmtId="4" fontId="39" fillId="11" borderId="102" applyNumberFormat="0" applyProtection="0">
      <alignment horizontal="right" vertical="center"/>
    </xf>
    <xf numFmtId="0" fontId="34" fillId="22" borderId="102" applyNumberFormat="0" applyProtection="0">
      <alignment horizontal="left" vertical="top" indent="1"/>
    </xf>
    <xf numFmtId="0" fontId="68" fillId="26" borderId="93" applyNumberFormat="0" applyAlignment="0" applyProtection="0"/>
    <xf numFmtId="0" fontId="34" fillId="32" borderId="97" applyNumberFormat="0" applyFont="0" applyAlignment="0" applyProtection="0"/>
    <xf numFmtId="0" fontId="76" fillId="8" borderId="93" applyNumberFormat="0" applyAlignment="0" applyProtection="0"/>
    <xf numFmtId="0" fontId="76" fillId="8" borderId="93" applyNumberFormat="0" applyAlignment="0" applyProtection="0"/>
    <xf numFmtId="0" fontId="94" fillId="26" borderId="98" applyNumberFormat="0" applyAlignment="0" applyProtection="0"/>
    <xf numFmtId="210" fontId="128" fillId="0" borderId="94" applyFont="0" applyFill="0" applyBorder="0" applyAlignment="0"/>
    <xf numFmtId="0" fontId="34" fillId="32" borderId="97" applyNumberFormat="0" applyFont="0" applyAlignment="0" applyProtection="0"/>
    <xf numFmtId="0" fontId="125" fillId="0" borderId="101" applyNumberFormat="0" applyFill="0" applyAlignment="0" applyProtection="0"/>
    <xf numFmtId="0" fontId="24" fillId="0" borderId="0"/>
    <xf numFmtId="0" fontId="76" fillId="8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0" fontId="76" fillId="8" borderId="86" applyNumberFormat="0" applyAlignment="0" applyProtection="0"/>
    <xf numFmtId="40" fontId="67" fillId="23" borderId="85">
      <alignment vertical="center"/>
    </xf>
    <xf numFmtId="0" fontId="68" fillId="26" borderId="86" applyNumberFormat="0" applyAlignment="0" applyProtection="0"/>
    <xf numFmtId="0" fontId="68" fillId="26" borderId="86" applyNumberFormat="0" applyAlignment="0" applyProtection="0"/>
    <xf numFmtId="4" fontId="39" fillId="0" borderId="84" applyNumberFormat="0" applyProtection="0">
      <alignment horizontal="left" vertical="center" indent="1"/>
    </xf>
    <xf numFmtId="4" fontId="135" fillId="0" borderId="83" applyNumberFormat="0" applyProtection="0">
      <alignment horizontal="right" vertical="center"/>
    </xf>
    <xf numFmtId="0" fontId="52" fillId="32" borderId="97" applyNumberFormat="0" applyFont="0" applyAlignment="0" applyProtection="0"/>
    <xf numFmtId="0" fontId="34" fillId="0" borderId="94" applyNumberFormat="0" applyProtection="0">
      <alignment horizontal="left" vertical="center" indent="1"/>
    </xf>
    <xf numFmtId="0" fontId="34" fillId="0" borderId="96" applyFont="0" applyFill="0" applyBorder="0" applyAlignment="0" applyProtection="0"/>
    <xf numFmtId="0" fontId="68" fillId="26" borderId="93" applyNumberFormat="0" applyAlignment="0" applyProtection="0"/>
    <xf numFmtId="0" fontId="76" fillId="8" borderId="93" applyNumberFormat="0" applyAlignment="0" applyProtection="0"/>
    <xf numFmtId="0" fontId="34" fillId="32" borderId="97" applyNumberFormat="0" applyFont="0" applyAlignment="0" applyProtection="0"/>
    <xf numFmtId="4" fontId="133" fillId="29" borderId="102" applyNumberFormat="0" applyProtection="0">
      <alignment vertical="center"/>
    </xf>
    <xf numFmtId="4" fontId="39" fillId="20" borderId="102" applyNumberFormat="0" applyProtection="0">
      <alignment horizontal="right" vertical="center"/>
    </xf>
    <xf numFmtId="0" fontId="34" fillId="23" borderId="95" applyNumberFormat="0" applyFont="0" applyBorder="0" applyAlignment="0" applyProtection="0"/>
    <xf numFmtId="0" fontId="34" fillId="32" borderId="97" applyNumberFormat="0" applyFont="0" applyAlignment="0" applyProtection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4" fillId="0" borderId="102" applyNumberFormat="0" applyProtection="0">
      <alignment horizontal="right" vertical="center"/>
    </xf>
    <xf numFmtId="0" fontId="76" fillId="8" borderId="93" applyNumberFormat="0" applyAlignment="0" applyProtection="0"/>
    <xf numFmtId="0" fontId="76" fillId="8" borderId="93" applyNumberFormat="0" applyAlignment="0" applyProtection="0"/>
    <xf numFmtId="0" fontId="83" fillId="0" borderId="96">
      <alignment horizontal="left" vertical="center"/>
    </xf>
    <xf numFmtId="4" fontId="39" fillId="0" borderId="94" applyNumberFormat="0" applyProtection="0">
      <alignment horizontal="right" vertical="center"/>
    </xf>
    <xf numFmtId="0" fontId="53" fillId="0" borderId="94" applyNumberFormat="0" applyProtection="0">
      <alignment horizontal="left" vertical="top" indent="1"/>
    </xf>
    <xf numFmtId="0" fontId="24" fillId="0" borderId="0"/>
    <xf numFmtId="0" fontId="68" fillId="26" borderId="93" applyNumberFormat="0" applyAlignment="0" applyProtection="0"/>
    <xf numFmtId="0" fontId="68" fillId="26" borderId="93" applyNumberFormat="0" applyAlignment="0" applyProtection="0"/>
    <xf numFmtId="0" fontId="34" fillId="23" borderId="95" applyNumberFormat="0" applyFont="0" applyBorder="0" applyAlignment="0" applyProtection="0"/>
    <xf numFmtId="0" fontId="76" fillId="8" borderId="93" applyNumberFormat="0" applyAlignment="0" applyProtection="0"/>
    <xf numFmtId="0" fontId="34" fillId="32" borderId="97" applyNumberFormat="0" applyFont="0" applyAlignment="0" applyProtection="0"/>
    <xf numFmtId="0" fontId="94" fillId="26" borderId="98" applyNumberFormat="0" applyAlignment="0" applyProtection="0"/>
    <xf numFmtId="0" fontId="124" fillId="0" borderId="100" applyProtection="0">
      <alignment horizontal="centerContinuous"/>
    </xf>
    <xf numFmtId="167" fontId="24" fillId="0" borderId="0" applyFont="0" applyFill="0" applyBorder="0" applyAlignment="0" applyProtection="0"/>
    <xf numFmtId="4" fontId="39" fillId="4" borderId="102" applyNumberFormat="0" applyProtection="0">
      <alignment horizontal="right" vertical="center"/>
    </xf>
    <xf numFmtId="4" fontId="39" fillId="48" borderId="102" applyNumberFormat="0" applyProtection="0">
      <alignment horizontal="right" vertical="center"/>
    </xf>
    <xf numFmtId="4" fontId="39" fillId="50" borderId="102" applyNumberFormat="0" applyProtection="0">
      <alignment horizontal="right" vertical="center"/>
    </xf>
    <xf numFmtId="4" fontId="39" fillId="0" borderId="94" applyNumberFormat="0" applyProtection="0">
      <alignment horizontal="right" vertical="center"/>
    </xf>
    <xf numFmtId="0" fontId="34" fillId="0" borderId="96" applyFont="0" applyFill="0" applyBorder="0" applyAlignment="0" applyProtection="0"/>
    <xf numFmtId="10" fontId="46" fillId="23" borderId="94" applyNumberFormat="0" applyBorder="0" applyAlignment="0" applyProtection="0"/>
    <xf numFmtId="0" fontId="76" fillId="8" borderId="93" applyNumberFormat="0" applyAlignment="0" applyProtection="0"/>
    <xf numFmtId="0" fontId="76" fillId="8" borderId="93" applyNumberFormat="0" applyAlignment="0" applyProtection="0"/>
    <xf numFmtId="0" fontId="34" fillId="0" borderId="94" applyNumberFormat="0" applyProtection="0">
      <alignment horizontal="left" vertical="center" indent="1"/>
    </xf>
    <xf numFmtId="0" fontId="76" fillId="8" borderId="93" applyNumberFormat="0" applyAlignment="0" applyProtection="0"/>
    <xf numFmtId="0" fontId="76" fillId="8" borderId="93" applyNumberFormat="0" applyAlignment="0" applyProtection="0"/>
    <xf numFmtId="0" fontId="83" fillId="0" borderId="96">
      <alignment horizontal="left" vertical="center"/>
    </xf>
    <xf numFmtId="10" fontId="46" fillId="23" borderId="94" applyNumberFormat="0" applyBorder="0" applyAlignment="0" applyProtection="0"/>
    <xf numFmtId="10" fontId="46" fillId="23" borderId="94" applyNumberFormat="0" applyBorder="0" applyAlignment="0" applyProtection="0"/>
    <xf numFmtId="10" fontId="46" fillId="23" borderId="94" applyNumberFormat="0" applyBorder="0" applyAlignment="0" applyProtection="0"/>
    <xf numFmtId="10" fontId="46" fillId="23" borderId="94" applyNumberFormat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44" fillId="32" borderId="76" applyNumberFormat="0" applyFont="0" applyAlignment="0" applyProtection="0"/>
    <xf numFmtId="0" fontId="24" fillId="0" borderId="0"/>
    <xf numFmtId="0" fontId="24" fillId="0" borderId="0"/>
    <xf numFmtId="0" fontId="24" fillId="0" borderId="0"/>
    <xf numFmtId="10" fontId="46" fillId="23" borderId="94" applyNumberFormat="0" applyBorder="0" applyAlignment="0" applyProtection="0"/>
    <xf numFmtId="0" fontId="76" fillId="8" borderId="93" applyNumberFormat="0" applyAlignment="0" applyProtection="0"/>
    <xf numFmtId="0" fontId="34" fillId="32" borderId="76" applyNumberFormat="0" applyFont="0" applyAlignment="0" applyProtection="0"/>
    <xf numFmtId="0" fontId="52" fillId="32" borderId="97" applyNumberFormat="0" applyFont="0" applyAlignment="0" applyProtection="0"/>
    <xf numFmtId="0" fontId="32" fillId="0" borderId="0"/>
    <xf numFmtId="0" fontId="76" fillId="8" borderId="93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" fontId="39" fillId="23" borderId="102" applyNumberFormat="0" applyProtection="0">
      <alignment horizontal="left" vertical="center" indent="1"/>
    </xf>
    <xf numFmtId="4" fontId="39" fillId="0" borderId="103" applyNumberFormat="0" applyProtection="0">
      <alignment horizontal="left" vertical="center" inden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0" fontId="67" fillId="23" borderId="94">
      <alignment vertical="center"/>
    </xf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0" fontId="68" fillId="26" borderId="93" applyNumberFormat="0" applyAlignment="0" applyProtection="0"/>
    <xf numFmtId="0" fontId="52" fillId="32" borderId="97" applyNumberFormat="0" applyFont="0" applyAlignment="0" applyProtection="0"/>
    <xf numFmtId="0" fontId="24" fillId="0" borderId="0"/>
    <xf numFmtId="167" fontId="24" fillId="0" borderId="0" applyFont="0" applyFill="0" applyBorder="0" applyAlignment="0" applyProtection="0"/>
    <xf numFmtId="0" fontId="52" fillId="32" borderId="76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0" fontId="46" fillId="23" borderId="94" applyNumberFormat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210" fontId="128" fillId="0" borderId="74" applyFont="0" applyFill="0" applyBorder="0" applyAlignment="0"/>
    <xf numFmtId="40" fontId="67" fillId="23" borderId="74">
      <alignment vertical="center"/>
    </xf>
    <xf numFmtId="0" fontId="76" fillId="8" borderId="93" applyNumberFormat="0" applyAlignment="0" applyProtection="0"/>
    <xf numFmtId="0" fontId="83" fillId="0" borderId="81">
      <alignment horizontal="left" vertical="center"/>
    </xf>
    <xf numFmtId="0" fontId="83" fillId="0" borderId="81">
      <alignment horizontal="left" vertical="center"/>
    </xf>
    <xf numFmtId="10" fontId="46" fillId="23" borderId="74" applyNumberFormat="0" applyBorder="0" applyAlignment="0" applyProtection="0"/>
    <xf numFmtId="10" fontId="46" fillId="23" borderId="74" applyNumberFormat="0" applyBorder="0" applyAlignment="0" applyProtection="0"/>
    <xf numFmtId="10" fontId="46" fillId="23" borderId="74" applyNumberFormat="0" applyBorder="0" applyAlignment="0" applyProtection="0"/>
    <xf numFmtId="10" fontId="46" fillId="23" borderId="74" applyNumberFormat="0" applyBorder="0" applyAlignment="0" applyProtection="0"/>
    <xf numFmtId="10" fontId="46" fillId="23" borderId="74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52" fillId="32" borderId="76" applyNumberFormat="0" applyFont="0" applyAlignment="0" applyProtection="0"/>
    <xf numFmtId="0" fontId="52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144" fillId="32" borderId="76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5" fillId="22" borderId="36" applyNumberFormat="0" applyFont="0" applyBorder="0" applyAlignment="0" applyProtection="0"/>
    <xf numFmtId="0" fontId="35" fillId="22" borderId="36" applyNumberFormat="0" applyFont="0" applyBorder="0" applyAlignment="0" applyProtection="0"/>
    <xf numFmtId="0" fontId="34" fillId="0" borderId="74" applyNumberFormat="0" applyProtection="0">
      <alignment horizontal="left" vertical="center" indent="1"/>
    </xf>
    <xf numFmtId="0" fontId="34" fillId="0" borderId="74" applyNumberFormat="0" applyProtection="0">
      <alignment horizontal="left" vertical="center" indent="1"/>
    </xf>
    <xf numFmtId="0" fontId="34" fillId="0" borderId="74" applyNumberFormat="0" applyProtection="0">
      <alignment horizontal="left" vertical="center" indent="1"/>
    </xf>
    <xf numFmtId="4" fontId="39" fillId="0" borderId="74" applyNumberFormat="0" applyProtection="0">
      <alignment horizontal="right" vertical="center"/>
    </xf>
    <xf numFmtId="0" fontId="53" fillId="0" borderId="74" applyNumberFormat="0" applyProtection="0">
      <alignment horizontal="left" vertical="top" inden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4" fillId="0" borderId="79" applyProtection="0">
      <alignment horizontal="centerContinuous"/>
    </xf>
    <xf numFmtId="0" fontId="124" fillId="0" borderId="79" applyProtection="0">
      <alignment horizontal="centerContinuous"/>
    </xf>
    <xf numFmtId="0" fontId="34" fillId="0" borderId="81" applyFont="0" applyFill="0" applyBorder="0" applyAlignment="0" applyProtection="0"/>
    <xf numFmtId="0" fontId="34" fillId="0" borderId="81" applyFont="0" applyFill="0" applyBorder="0" applyAlignment="0" applyProtection="0"/>
    <xf numFmtId="209" fontId="93" fillId="0" borderId="0" applyFill="0" applyBorder="0" applyProtection="0">
      <alignment horizontal="right"/>
      <protection locked="0"/>
    </xf>
    <xf numFmtId="212" fontId="93" fillId="0" borderId="0" applyFill="0" applyBorder="0" applyProtection="0">
      <alignment horizontal="right"/>
      <protection locked="0"/>
    </xf>
    <xf numFmtId="0" fontId="57" fillId="0" borderId="55" applyBorder="0"/>
    <xf numFmtId="0" fontId="57" fillId="0" borderId="55" applyBorder="0"/>
    <xf numFmtId="0" fontId="57" fillId="0" borderId="55" applyBorder="0"/>
    <xf numFmtId="0" fontId="57" fillId="0" borderId="55" applyBorder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0" fontId="69" fillId="27" borderId="82" applyNumberFormat="0" applyAlignment="0" applyProtection="0"/>
    <xf numFmtId="167" fontId="3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9" fillId="2" borderId="55">
      <alignment horizontal="center"/>
    </xf>
    <xf numFmtId="3" fontId="89" fillId="2" borderId="55">
      <alignment horizontal="center"/>
    </xf>
    <xf numFmtId="3" fontId="89" fillId="2" borderId="55">
      <alignment horizontal="center"/>
    </xf>
    <xf numFmtId="3" fontId="89" fillId="2" borderId="55">
      <alignment horizontal="center"/>
    </xf>
    <xf numFmtId="0" fontId="45" fillId="0" borderId="0"/>
    <xf numFmtId="0" fontId="24" fillId="0" borderId="0"/>
    <xf numFmtId="0" fontId="24" fillId="0" borderId="0"/>
    <xf numFmtId="0" fontId="3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34" fillId="0" borderId="0"/>
    <xf numFmtId="0" fontId="34" fillId="0" borderId="0">
      <alignment vertical="top"/>
    </xf>
    <xf numFmtId="0" fontId="24" fillId="0" borderId="0"/>
    <xf numFmtId="0" fontId="3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34" fillId="0" borderId="0">
      <alignment vertical="top"/>
    </xf>
    <xf numFmtId="0" fontId="52" fillId="32" borderId="76" applyNumberFormat="0" applyFont="0" applyAlignment="0" applyProtection="0"/>
    <xf numFmtId="0" fontId="52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34" fillId="32" borderId="76" applyNumberFormat="0" applyFont="0" applyAlignment="0" applyProtection="0"/>
    <xf numFmtId="0" fontId="144" fillId="32" borderId="76" applyNumberFormat="0" applyFont="0" applyAlignment="0" applyProtection="0"/>
    <xf numFmtId="0" fontId="34" fillId="32" borderId="76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5" fillId="22" borderId="36" applyNumberFormat="0" applyFont="0" applyBorder="0" applyAlignment="0" applyProtection="0"/>
    <xf numFmtId="4" fontId="53" fillId="0" borderId="102" applyNumberFormat="0" applyProtection="0">
      <alignment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5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87" fontId="34" fillId="0" borderId="80">
      <protection locked="0"/>
    </xf>
    <xf numFmtId="0" fontId="94" fillId="26" borderId="88" applyNumberFormat="0" applyAlignment="0" applyProtection="0"/>
    <xf numFmtId="0" fontId="94" fillId="26" borderId="88" applyNumberFormat="0" applyAlignment="0" applyProtection="0"/>
    <xf numFmtId="0" fontId="124" fillId="0" borderId="90" applyProtection="0">
      <alignment horizontal="centerContinuous"/>
    </xf>
    <xf numFmtId="0" fontId="125" fillId="0" borderId="89" applyNumberFormat="0" applyFill="0" applyAlignment="0" applyProtection="0"/>
    <xf numFmtId="210" fontId="128" fillId="0" borderId="85" applyFont="0" applyFill="0" applyBorder="0" applyAlignment="0"/>
    <xf numFmtId="0" fontId="34" fillId="0" borderId="85" applyNumberFormat="0" applyProtection="0">
      <alignment horizontal="left" vertical="center" indent="1"/>
    </xf>
    <xf numFmtId="0" fontId="34" fillId="0" borderId="85" applyNumberFormat="0" applyProtection="0">
      <alignment horizontal="left" vertical="center" indent="1"/>
    </xf>
    <xf numFmtId="0" fontId="34" fillId="0" borderId="85" applyNumberFormat="0" applyProtection="0">
      <alignment horizontal="left" vertical="center" indent="1"/>
    </xf>
    <xf numFmtId="4" fontId="39" fillId="0" borderId="85" applyNumberFormat="0" applyProtection="0">
      <alignment horizontal="right" vertical="center"/>
    </xf>
    <xf numFmtId="4" fontId="39" fillId="0" borderId="84" applyNumberFormat="0" applyProtection="0">
      <alignment horizontal="left" vertical="center" indent="1"/>
    </xf>
    <xf numFmtId="0" fontId="53" fillId="0" borderId="85" applyNumberFormat="0" applyProtection="0">
      <alignment horizontal="left" vertical="top" indent="1"/>
    </xf>
    <xf numFmtId="0" fontId="76" fillId="8" borderId="86" applyNumberFormat="0" applyAlignment="0" applyProtection="0"/>
    <xf numFmtId="0" fontId="68" fillId="26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0" fontId="76" fillId="8" borderId="86" applyNumberFormat="0" applyAlignment="0" applyProtection="0"/>
    <xf numFmtId="210" fontId="128" fillId="0" borderId="85" applyFont="0" applyFill="0" applyBorder="0" applyAlignment="0"/>
    <xf numFmtId="210" fontId="128" fillId="0" borderId="85" applyFont="0" applyFill="0" applyBorder="0" applyAlignment="0"/>
    <xf numFmtId="40" fontId="67" fillId="23" borderId="85">
      <alignment vertical="center"/>
    </xf>
    <xf numFmtId="40" fontId="67" fillId="23" borderId="85">
      <alignment vertical="center"/>
    </xf>
    <xf numFmtId="0" fontId="83" fillId="0" borderId="92">
      <alignment horizontal="left" vertical="center"/>
    </xf>
    <xf numFmtId="0" fontId="83" fillId="0" borderId="92">
      <alignment horizontal="left" vertical="center"/>
    </xf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10" fontId="46" fillId="23" borderId="85" applyNumberFormat="0" applyBorder="0" applyAlignment="0" applyProtection="0"/>
    <xf numFmtId="0" fontId="52" fillId="32" borderId="87" applyNumberFormat="0" applyFont="0" applyAlignment="0" applyProtection="0"/>
    <xf numFmtId="0" fontId="52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144" fillId="32" borderId="87" applyNumberFormat="0" applyFont="0" applyAlignment="0" applyProtection="0"/>
    <xf numFmtId="0" fontId="34" fillId="0" borderId="85" applyNumberFormat="0" applyProtection="0">
      <alignment horizontal="left" vertical="center" indent="1"/>
    </xf>
    <xf numFmtId="0" fontId="34" fillId="0" borderId="85" applyNumberFormat="0" applyProtection="0">
      <alignment horizontal="left" vertical="center" indent="1"/>
    </xf>
    <xf numFmtId="0" fontId="34" fillId="0" borderId="85" applyNumberFormat="0" applyProtection="0">
      <alignment horizontal="left" vertical="center" indent="1"/>
    </xf>
    <xf numFmtId="0" fontId="34" fillId="0" borderId="85" applyNumberFormat="0" applyProtection="0">
      <alignment horizontal="left" vertical="center" indent="1"/>
    </xf>
    <xf numFmtId="0" fontId="34" fillId="0" borderId="85" applyNumberFormat="0" applyProtection="0">
      <alignment horizontal="left" vertical="center" indent="1"/>
    </xf>
    <xf numFmtId="0" fontId="34" fillId="0" borderId="85" applyNumberFormat="0" applyProtection="0">
      <alignment horizontal="left" vertical="center" indent="1"/>
    </xf>
    <xf numFmtId="4" fontId="39" fillId="0" borderId="85" applyNumberFormat="0" applyProtection="0">
      <alignment horizontal="right" vertical="center"/>
    </xf>
    <xf numFmtId="4" fontId="39" fillId="0" borderId="85" applyNumberFormat="0" applyProtection="0">
      <alignment horizontal="right" vertical="center"/>
    </xf>
    <xf numFmtId="0" fontId="53" fillId="0" borderId="85" applyNumberFormat="0" applyProtection="0">
      <alignment horizontal="left" vertical="top" indent="1"/>
    </xf>
    <xf numFmtId="0" fontId="53" fillId="0" borderId="85" applyNumberFormat="0" applyProtection="0">
      <alignment horizontal="left" vertical="top" indent="1"/>
    </xf>
    <xf numFmtId="0" fontId="124" fillId="0" borderId="90" applyProtection="0">
      <alignment horizontal="centerContinuous"/>
    </xf>
    <xf numFmtId="0" fontId="124" fillId="0" borderId="90" applyProtection="0">
      <alignment horizontal="centerContinuous"/>
    </xf>
    <xf numFmtId="0" fontId="34" fillId="0" borderId="92" applyFont="0" applyFill="0" applyBorder="0" applyAlignment="0" applyProtection="0"/>
    <xf numFmtId="0" fontId="34" fillId="0" borderId="92" applyFont="0" applyFill="0" applyBorder="0" applyAlignment="0" applyProtection="0"/>
    <xf numFmtId="0" fontId="52" fillId="32" borderId="87" applyNumberFormat="0" applyFont="0" applyAlignment="0" applyProtection="0"/>
    <xf numFmtId="0" fontId="52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34" fillId="32" borderId="87" applyNumberFormat="0" applyFont="0" applyAlignment="0" applyProtection="0"/>
    <xf numFmtId="0" fontId="144" fillId="32" borderId="87" applyNumberFormat="0" applyFont="0" applyAlignment="0" applyProtection="0"/>
    <xf numFmtId="0" fontId="34" fillId="32" borderId="87" applyNumberFormat="0" applyFont="0" applyAlignment="0" applyProtection="0"/>
    <xf numFmtId="187" fontId="34" fillId="0" borderId="91">
      <protection locked="0"/>
    </xf>
    <xf numFmtId="0" fontId="52" fillId="32" borderId="97" applyNumberFormat="0" applyFont="0" applyAlignment="0" applyProtection="0"/>
    <xf numFmtId="0" fontId="52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34" fillId="32" borderId="97" applyNumberFormat="0" applyFont="0" applyAlignment="0" applyProtection="0"/>
    <xf numFmtId="0" fontId="144" fillId="32" borderId="97" applyNumberFormat="0" applyFont="0" applyAlignment="0" applyProtection="0"/>
    <xf numFmtId="0" fontId="34" fillId="32" borderId="97" applyNumberFormat="0" applyFont="0" applyAlignment="0" applyProtection="0"/>
    <xf numFmtId="187" fontId="34" fillId="0" borderId="99">
      <protection locked="0"/>
    </xf>
    <xf numFmtId="0" fontId="32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4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49" fillId="0" borderId="0" applyNumberFormat="0" applyFill="0" applyBorder="0" applyAlignment="0" applyProtection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4" fillId="0" borderId="0"/>
    <xf numFmtId="0" fontId="48" fillId="0" borderId="0">
      <alignment vertical="center"/>
    </xf>
    <xf numFmtId="0" fontId="48" fillId="0" borderId="0">
      <alignment vertical="center"/>
    </xf>
    <xf numFmtId="0" fontId="34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34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39" fillId="0" borderId="0">
      <alignment vertical="top"/>
    </xf>
    <xf numFmtId="0" fontId="34" fillId="0" borderId="0"/>
    <xf numFmtId="0" fontId="48" fillId="0" borderId="0">
      <alignment vertical="center"/>
    </xf>
    <xf numFmtId="0" fontId="48" fillId="0" borderId="0">
      <alignment vertical="center"/>
    </xf>
    <xf numFmtId="0" fontId="34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37" fontId="57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4" fillId="0" borderId="0"/>
    <xf numFmtId="0" fontId="39" fillId="0" borderId="0">
      <alignment vertical="top"/>
    </xf>
    <xf numFmtId="0" fontId="34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72" fillId="0" borderId="0"/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72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4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4" fillId="0" borderId="0"/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34" fillId="0" borderId="0"/>
    <xf numFmtId="0" fontId="34" fillId="0" borderId="0"/>
    <xf numFmtId="0" fontId="39" fillId="0" borderId="0">
      <alignment vertical="top"/>
    </xf>
    <xf numFmtId="0" fontId="142" fillId="0" borderId="0" applyFont="0" applyFill="0" applyBorder="0" applyAlignment="0" applyProtection="0"/>
    <xf numFmtId="0" fontId="142" fillId="0" borderId="0" applyFont="0" applyFill="0" applyBorder="0" applyAlignment="0" applyProtection="0"/>
    <xf numFmtId="9" fontId="34" fillId="53" borderId="0"/>
    <xf numFmtId="9" fontId="34" fillId="53" borderId="0"/>
    <xf numFmtId="9" fontId="34" fillId="53" borderId="0"/>
    <xf numFmtId="9" fontId="34" fillId="53" borderId="0"/>
    <xf numFmtId="192" fontId="65" fillId="0" borderId="0">
      <protection locked="0"/>
    </xf>
    <xf numFmtId="192" fontId="65" fillId="0" borderId="0">
      <protection locked="0"/>
    </xf>
    <xf numFmtId="192" fontId="65" fillId="0" borderId="0">
      <protection locked="0"/>
    </xf>
    <xf numFmtId="0" fontId="34" fillId="0" borderId="0"/>
    <xf numFmtId="0" fontId="34" fillId="0" borderId="0">
      <alignment horizontal="left"/>
    </xf>
    <xf numFmtId="0" fontId="34" fillId="0" borderId="0">
      <alignment horizontal="left"/>
    </xf>
    <xf numFmtId="0" fontId="34" fillId="0" borderId="0">
      <alignment horizontal="left"/>
    </xf>
    <xf numFmtId="0" fontId="34" fillId="0" borderId="0">
      <alignment horizontal="left"/>
    </xf>
    <xf numFmtId="0" fontId="151" fillId="0" borderId="0">
      <alignment horizontal="left"/>
    </xf>
    <xf numFmtId="3" fontId="51" fillId="2" borderId="0">
      <alignment horizontal="left"/>
    </xf>
    <xf numFmtId="3" fontId="51" fillId="2" borderId="0">
      <alignment horizontal="left"/>
    </xf>
    <xf numFmtId="0" fontId="152" fillId="3" borderId="0" applyNumberFormat="0" applyBorder="0" applyAlignment="0" applyProtection="0"/>
    <xf numFmtId="0" fontId="152" fillId="4" borderId="0" applyNumberFormat="0" applyBorder="0" applyAlignment="0" applyProtection="0"/>
    <xf numFmtId="0" fontId="152" fillId="5" borderId="0" applyNumberFormat="0" applyBorder="0" applyAlignment="0" applyProtection="0"/>
    <xf numFmtId="0" fontId="152" fillId="6" borderId="0" applyNumberFormat="0" applyBorder="0" applyAlignment="0" applyProtection="0"/>
    <xf numFmtId="0" fontId="152" fillId="7" borderId="0" applyNumberFormat="0" applyBorder="0" applyAlignment="0" applyProtection="0"/>
    <xf numFmtId="0" fontId="152" fillId="8" borderId="0" applyNumberFormat="0" applyBorder="0" applyAlignment="0" applyProtection="0"/>
    <xf numFmtId="220" fontId="52" fillId="3" borderId="0" applyNumberFormat="0" applyBorder="0" applyAlignment="0" applyProtection="0"/>
    <xf numFmtId="221" fontId="52" fillId="3" borderId="0" applyNumberFormat="0" applyBorder="0" applyAlignment="0" applyProtection="0"/>
    <xf numFmtId="221" fontId="52" fillId="3" borderId="0" applyNumberFormat="0" applyBorder="0" applyAlignment="0" applyProtection="0"/>
    <xf numFmtId="220" fontId="52" fillId="3" borderId="0" applyNumberFormat="0" applyBorder="0" applyAlignment="0" applyProtection="0"/>
    <xf numFmtId="221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4" borderId="0" applyNumberFormat="0" applyBorder="0" applyAlignment="0" applyProtection="0"/>
    <xf numFmtId="221" fontId="52" fillId="4" borderId="0" applyNumberFormat="0" applyBorder="0" applyAlignment="0" applyProtection="0"/>
    <xf numFmtId="221" fontId="52" fillId="4" borderId="0" applyNumberFormat="0" applyBorder="0" applyAlignment="0" applyProtection="0"/>
    <xf numFmtId="220" fontId="52" fillId="4" borderId="0" applyNumberFormat="0" applyBorder="0" applyAlignment="0" applyProtection="0"/>
    <xf numFmtId="221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5" borderId="0" applyNumberFormat="0" applyBorder="0" applyAlignment="0" applyProtection="0"/>
    <xf numFmtId="221" fontId="52" fillId="5" borderId="0" applyNumberFormat="0" applyBorder="0" applyAlignment="0" applyProtection="0"/>
    <xf numFmtId="221" fontId="52" fillId="5" borderId="0" applyNumberFormat="0" applyBorder="0" applyAlignment="0" applyProtection="0"/>
    <xf numFmtId="220" fontId="52" fillId="5" borderId="0" applyNumberFormat="0" applyBorder="0" applyAlignment="0" applyProtection="0"/>
    <xf numFmtId="221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7" borderId="0" applyNumberFormat="0" applyBorder="0" applyAlignment="0" applyProtection="0"/>
    <xf numFmtId="221" fontId="52" fillId="7" borderId="0" applyNumberFormat="0" applyBorder="0" applyAlignment="0" applyProtection="0"/>
    <xf numFmtId="221" fontId="52" fillId="7" borderId="0" applyNumberFormat="0" applyBorder="0" applyAlignment="0" applyProtection="0"/>
    <xf numFmtId="220" fontId="52" fillId="7" borderId="0" applyNumberFormat="0" applyBorder="0" applyAlignment="0" applyProtection="0"/>
    <xf numFmtId="221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8" borderId="0" applyNumberFormat="0" applyBorder="0" applyAlignment="0" applyProtection="0"/>
    <xf numFmtId="221" fontId="52" fillId="8" borderId="0" applyNumberFormat="0" applyBorder="0" applyAlignment="0" applyProtection="0"/>
    <xf numFmtId="221" fontId="52" fillId="8" borderId="0" applyNumberFormat="0" applyBorder="0" applyAlignment="0" applyProtection="0"/>
    <xf numFmtId="220" fontId="52" fillId="8" borderId="0" applyNumberFormat="0" applyBorder="0" applyAlignment="0" applyProtection="0"/>
    <xf numFmtId="221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1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1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1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3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1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1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1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4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1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1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1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5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1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1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1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7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1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1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1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220" fontId="52" fillId="8" borderId="0" applyNumberFormat="0" applyBorder="0" applyAlignment="0" applyProtection="0"/>
    <xf numFmtId="0" fontId="152" fillId="10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6" borderId="0" applyNumberFormat="0" applyBorder="0" applyAlignment="0" applyProtection="0"/>
    <xf numFmtId="0" fontId="152" fillId="10" borderId="0" applyNumberFormat="0" applyBorder="0" applyAlignment="0" applyProtection="0"/>
    <xf numFmtId="0" fontId="152" fillId="13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3" borderId="0" applyNumberFormat="0" applyBorder="0" applyAlignment="0" applyProtection="0"/>
    <xf numFmtId="221" fontId="52" fillId="13" borderId="0" applyNumberFormat="0" applyBorder="0" applyAlignment="0" applyProtection="0"/>
    <xf numFmtId="221" fontId="52" fillId="13" borderId="0" applyNumberFormat="0" applyBorder="0" applyAlignment="0" applyProtection="0"/>
    <xf numFmtId="220" fontId="52" fillId="13" borderId="0" applyNumberFormat="0" applyBorder="0" applyAlignment="0" applyProtection="0"/>
    <xf numFmtId="221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1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6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1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0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1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1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1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220" fontId="52" fillId="13" borderId="0" applyNumberFormat="0" applyBorder="0" applyAlignment="0" applyProtection="0"/>
    <xf numFmtId="0" fontId="153" fillId="14" borderId="0" applyNumberFormat="0" applyBorder="0" applyAlignment="0" applyProtection="0"/>
    <xf numFmtId="0" fontId="153" fillId="11" borderId="0" applyNumberFormat="0" applyBorder="0" applyAlignment="0" applyProtection="0"/>
    <xf numFmtId="0" fontId="153" fillId="12" borderId="0" applyNumberFormat="0" applyBorder="0" applyAlignment="0" applyProtection="0"/>
    <xf numFmtId="0" fontId="153" fillId="15" borderId="0" applyNumberFormat="0" applyBorder="0" applyAlignment="0" applyProtection="0"/>
    <xf numFmtId="0" fontId="153" fillId="16" borderId="0" applyNumberFormat="0" applyBorder="0" applyAlignment="0" applyProtection="0"/>
    <xf numFmtId="0" fontId="153" fillId="17" borderId="0" applyNumberFormat="0" applyBorder="0" applyAlignment="0" applyProtection="0"/>
    <xf numFmtId="220" fontId="54" fillId="14" borderId="0" applyNumberFormat="0" applyBorder="0" applyAlignment="0" applyProtection="0"/>
    <xf numFmtId="221" fontId="54" fillId="14" borderId="0" applyNumberFormat="0" applyBorder="0" applyAlignment="0" applyProtection="0"/>
    <xf numFmtId="221" fontId="54" fillId="14" borderId="0" applyNumberFormat="0" applyBorder="0" applyAlignment="0" applyProtection="0"/>
    <xf numFmtId="220" fontId="54" fillId="14" borderId="0" applyNumberFormat="0" applyBorder="0" applyAlignment="0" applyProtection="0"/>
    <xf numFmtId="221" fontId="54" fillId="14" borderId="0" applyNumberFormat="0" applyBorder="0" applyAlignment="0" applyProtection="0"/>
    <xf numFmtId="220" fontId="54" fillId="14" borderId="0" applyNumberFormat="0" applyBorder="0" applyAlignment="0" applyProtection="0"/>
    <xf numFmtId="220" fontId="54" fillId="14" borderId="0" applyNumberFormat="0" applyBorder="0" applyAlignment="0" applyProtection="0"/>
    <xf numFmtId="220" fontId="54" fillId="14" borderId="0" applyNumberFormat="0" applyBorder="0" applyAlignment="0" applyProtection="0"/>
    <xf numFmtId="220" fontId="54" fillId="14" borderId="0" applyNumberFormat="0" applyBorder="0" applyAlignment="0" applyProtection="0"/>
    <xf numFmtId="220" fontId="54" fillId="14" borderId="0" applyNumberFormat="0" applyBorder="0" applyAlignment="0" applyProtection="0"/>
    <xf numFmtId="220" fontId="54" fillId="11" borderId="0" applyNumberFormat="0" applyBorder="0" applyAlignment="0" applyProtection="0"/>
    <xf numFmtId="221" fontId="54" fillId="11" borderId="0" applyNumberFormat="0" applyBorder="0" applyAlignment="0" applyProtection="0"/>
    <xf numFmtId="221" fontId="54" fillId="11" borderId="0" applyNumberFormat="0" applyBorder="0" applyAlignment="0" applyProtection="0"/>
    <xf numFmtId="220" fontId="54" fillId="11" borderId="0" applyNumberFormat="0" applyBorder="0" applyAlignment="0" applyProtection="0"/>
    <xf numFmtId="221" fontId="54" fillId="11" borderId="0" applyNumberFormat="0" applyBorder="0" applyAlignment="0" applyProtection="0"/>
    <xf numFmtId="220" fontId="54" fillId="11" borderId="0" applyNumberFormat="0" applyBorder="0" applyAlignment="0" applyProtection="0"/>
    <xf numFmtId="220" fontId="54" fillId="11" borderId="0" applyNumberFormat="0" applyBorder="0" applyAlignment="0" applyProtection="0"/>
    <xf numFmtId="220" fontId="54" fillId="11" borderId="0" applyNumberFormat="0" applyBorder="0" applyAlignment="0" applyProtection="0"/>
    <xf numFmtId="220" fontId="54" fillId="11" borderId="0" applyNumberFormat="0" applyBorder="0" applyAlignment="0" applyProtection="0"/>
    <xf numFmtId="220" fontId="54" fillId="11" borderId="0" applyNumberFormat="0" applyBorder="0" applyAlignment="0" applyProtection="0"/>
    <xf numFmtId="220" fontId="54" fillId="12" borderId="0" applyNumberFormat="0" applyBorder="0" applyAlignment="0" applyProtection="0"/>
    <xf numFmtId="221" fontId="54" fillId="12" borderId="0" applyNumberFormat="0" applyBorder="0" applyAlignment="0" applyProtection="0"/>
    <xf numFmtId="221" fontId="54" fillId="12" borderId="0" applyNumberFormat="0" applyBorder="0" applyAlignment="0" applyProtection="0"/>
    <xf numFmtId="220" fontId="54" fillId="12" borderId="0" applyNumberFormat="0" applyBorder="0" applyAlignment="0" applyProtection="0"/>
    <xf numFmtId="221" fontId="54" fillId="12" borderId="0" applyNumberFormat="0" applyBorder="0" applyAlignment="0" applyProtection="0"/>
    <xf numFmtId="220" fontId="54" fillId="12" borderId="0" applyNumberFormat="0" applyBorder="0" applyAlignment="0" applyProtection="0"/>
    <xf numFmtId="220" fontId="54" fillId="12" borderId="0" applyNumberFormat="0" applyBorder="0" applyAlignment="0" applyProtection="0"/>
    <xf numFmtId="220" fontId="54" fillId="12" borderId="0" applyNumberFormat="0" applyBorder="0" applyAlignment="0" applyProtection="0"/>
    <xf numFmtId="220" fontId="54" fillId="12" borderId="0" applyNumberFormat="0" applyBorder="0" applyAlignment="0" applyProtection="0"/>
    <xf numFmtId="220" fontId="54" fillId="12" borderId="0" applyNumberFormat="0" applyBorder="0" applyAlignment="0" applyProtection="0"/>
    <xf numFmtId="220" fontId="54" fillId="15" borderId="0" applyNumberFormat="0" applyBorder="0" applyAlignment="0" applyProtection="0"/>
    <xf numFmtId="221" fontId="54" fillId="15" borderId="0" applyNumberFormat="0" applyBorder="0" applyAlignment="0" applyProtection="0"/>
    <xf numFmtId="221" fontId="54" fillId="15" borderId="0" applyNumberFormat="0" applyBorder="0" applyAlignment="0" applyProtection="0"/>
    <xf numFmtId="220" fontId="54" fillId="15" borderId="0" applyNumberFormat="0" applyBorder="0" applyAlignment="0" applyProtection="0"/>
    <xf numFmtId="221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6" borderId="0" applyNumberFormat="0" applyBorder="0" applyAlignment="0" applyProtection="0"/>
    <xf numFmtId="221" fontId="54" fillId="16" borderId="0" applyNumberFormat="0" applyBorder="0" applyAlignment="0" applyProtection="0"/>
    <xf numFmtId="221" fontId="54" fillId="16" borderId="0" applyNumberFormat="0" applyBorder="0" applyAlignment="0" applyProtection="0"/>
    <xf numFmtId="220" fontId="54" fillId="16" borderId="0" applyNumberFormat="0" applyBorder="0" applyAlignment="0" applyProtection="0"/>
    <xf numFmtId="221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17" borderId="0" applyNumberFormat="0" applyBorder="0" applyAlignment="0" applyProtection="0"/>
    <xf numFmtId="221" fontId="54" fillId="17" borderId="0" applyNumberFormat="0" applyBorder="0" applyAlignment="0" applyProtection="0"/>
    <xf numFmtId="221" fontId="54" fillId="17" borderId="0" applyNumberFormat="0" applyBorder="0" applyAlignment="0" applyProtection="0"/>
    <xf numFmtId="220" fontId="54" fillId="17" borderId="0" applyNumberFormat="0" applyBorder="0" applyAlignment="0" applyProtection="0"/>
    <xf numFmtId="221" fontId="54" fillId="17" borderId="0" applyNumberFormat="0" applyBorder="0" applyAlignment="0" applyProtection="0"/>
    <xf numFmtId="220" fontId="54" fillId="17" borderId="0" applyNumberFormat="0" applyBorder="0" applyAlignment="0" applyProtection="0"/>
    <xf numFmtId="220" fontId="54" fillId="17" borderId="0" applyNumberFormat="0" applyBorder="0" applyAlignment="0" applyProtection="0"/>
    <xf numFmtId="220" fontId="54" fillId="17" borderId="0" applyNumberFormat="0" applyBorder="0" applyAlignment="0" applyProtection="0"/>
    <xf numFmtId="220" fontId="54" fillId="17" borderId="0" applyNumberFormat="0" applyBorder="0" applyAlignment="0" applyProtection="0"/>
    <xf numFmtId="220" fontId="54" fillId="17" borderId="0" applyNumberFormat="0" applyBorder="0" applyAlignment="0" applyProtection="0"/>
    <xf numFmtId="221" fontId="54" fillId="14" borderId="0" applyNumberFormat="0" applyBorder="0" applyAlignment="0" applyProtection="0"/>
    <xf numFmtId="221" fontId="54" fillId="11" borderId="0" applyNumberFormat="0" applyBorder="0" applyAlignment="0" applyProtection="0"/>
    <xf numFmtId="221" fontId="54" fillId="12" borderId="0" applyNumberFormat="0" applyBorder="0" applyAlignment="0" applyProtection="0"/>
    <xf numFmtId="221" fontId="54" fillId="15" borderId="0" applyNumberFormat="0" applyBorder="0" applyAlignment="0" applyProtection="0"/>
    <xf numFmtId="221" fontId="54" fillId="16" borderId="0" applyNumberFormat="0" applyBorder="0" applyAlignment="0" applyProtection="0"/>
    <xf numFmtId="221" fontId="54" fillId="17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2" fillId="63" borderId="0" applyNumberFormat="0" applyBorder="0" applyAlignment="0" applyProtection="0"/>
    <xf numFmtId="0" fontId="52" fillId="64" borderId="0" applyNumberFormat="0" applyBorder="0" applyAlignment="0" applyProtection="0"/>
    <xf numFmtId="0" fontId="54" fillId="65" borderId="0" applyNumberFormat="0" applyBorder="0" applyAlignment="0" applyProtection="0"/>
    <xf numFmtId="0" fontId="153" fillId="18" borderId="0" applyNumberFormat="0" applyBorder="0" applyAlignment="0" applyProtection="0"/>
    <xf numFmtId="0" fontId="54" fillId="66" borderId="0" applyNumberFormat="0" applyBorder="0" applyAlignment="0" applyProtection="0"/>
    <xf numFmtId="0" fontId="52" fillId="67" borderId="0" applyNumberFormat="0" applyBorder="0" applyAlignment="0" applyProtection="0"/>
    <xf numFmtId="0" fontId="52" fillId="68" borderId="0" applyNumberFormat="0" applyBorder="0" applyAlignment="0" applyProtection="0"/>
    <xf numFmtId="0" fontId="54" fillId="69" borderId="0" applyNumberFormat="0" applyBorder="0" applyAlignment="0" applyProtection="0"/>
    <xf numFmtId="184" fontId="140" fillId="70" borderId="0" applyNumberFormat="0" applyBorder="0" applyAlignment="0" applyProtection="0"/>
    <xf numFmtId="0" fontId="153" fillId="19" borderId="0" applyNumberFormat="0" applyBorder="0" applyAlignment="0" applyProtection="0"/>
    <xf numFmtId="0" fontId="54" fillId="71" borderId="0" applyNumberFormat="0" applyBorder="0" applyAlignment="0" applyProtection="0"/>
    <xf numFmtId="0" fontId="52" fillId="72" borderId="0" applyNumberFormat="0" applyBorder="0" applyAlignment="0" applyProtection="0"/>
    <xf numFmtId="0" fontId="52" fillId="73" borderId="0" applyNumberFormat="0" applyBorder="0" applyAlignment="0" applyProtection="0"/>
    <xf numFmtId="0" fontId="54" fillId="74" borderId="0" applyNumberFormat="0" applyBorder="0" applyAlignment="0" applyProtection="0"/>
    <xf numFmtId="184" fontId="140" fillId="75" borderId="0" applyNumberFormat="0" applyBorder="0" applyAlignment="0" applyProtection="0"/>
    <xf numFmtId="0" fontId="153" fillId="20" borderId="0" applyNumberFormat="0" applyBorder="0" applyAlignment="0" applyProtection="0"/>
    <xf numFmtId="0" fontId="54" fillId="69" borderId="0" applyNumberFormat="0" applyBorder="0" applyAlignment="0" applyProtection="0"/>
    <xf numFmtId="0" fontId="52" fillId="73" borderId="0" applyNumberFormat="0" applyBorder="0" applyAlignment="0" applyProtection="0"/>
    <xf numFmtId="0" fontId="52" fillId="74" borderId="0" applyNumberFormat="0" applyBorder="0" applyAlignment="0" applyProtection="0"/>
    <xf numFmtId="0" fontId="54" fillId="74" borderId="0" applyNumberFormat="0" applyBorder="0" applyAlignment="0" applyProtection="0"/>
    <xf numFmtId="0" fontId="153" fillId="15" borderId="0" applyNumberFormat="0" applyBorder="0" applyAlignment="0" applyProtection="0"/>
    <xf numFmtId="0" fontId="54" fillId="76" borderId="0" applyNumberFormat="0" applyBorder="0" applyAlignment="0" applyProtection="0"/>
    <xf numFmtId="0" fontId="52" fillId="63" borderId="0" applyNumberFormat="0" applyBorder="0" applyAlignment="0" applyProtection="0"/>
    <xf numFmtId="0" fontId="52" fillId="64" borderId="0" applyNumberFormat="0" applyBorder="0" applyAlignment="0" applyProtection="0"/>
    <xf numFmtId="0" fontId="54" fillId="64" borderId="0" applyNumberFormat="0" applyBorder="0" applyAlignment="0" applyProtection="0"/>
    <xf numFmtId="0" fontId="153" fillId="16" borderId="0" applyNumberFormat="0" applyBorder="0" applyAlignment="0" applyProtection="0"/>
    <xf numFmtId="0" fontId="54" fillId="77" borderId="0" applyNumberFormat="0" applyBorder="0" applyAlignment="0" applyProtection="0"/>
    <xf numFmtId="0" fontId="52" fillId="78" borderId="0" applyNumberFormat="0" applyBorder="0" applyAlignment="0" applyProtection="0"/>
    <xf numFmtId="0" fontId="52" fillId="68" borderId="0" applyNumberFormat="0" applyBorder="0" applyAlignment="0" applyProtection="0"/>
    <xf numFmtId="0" fontId="54" fillId="79" borderId="0" applyNumberFormat="0" applyBorder="0" applyAlignment="0" applyProtection="0"/>
    <xf numFmtId="0" fontId="153" fillId="21" borderId="0" applyNumberFormat="0" applyBorder="0" applyAlignment="0" applyProtection="0"/>
    <xf numFmtId="0" fontId="54" fillId="80" borderId="0" applyNumberFormat="0" applyBorder="0" applyAlignment="0" applyProtection="0"/>
    <xf numFmtId="177" fontId="35" fillId="22" borderId="2">
      <alignment horizontal="center"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84" fontId="34" fillId="0" borderId="0"/>
    <xf numFmtId="181" fontId="34" fillId="0" borderId="0"/>
    <xf numFmtId="0" fontId="34" fillId="0" borderId="0"/>
    <xf numFmtId="10" fontId="34" fillId="23" borderId="0" applyFont="0" applyBorder="0" applyAlignment="0">
      <protection locked="0"/>
    </xf>
    <xf numFmtId="10" fontId="34" fillId="23" borderId="0" applyFont="0" applyBorder="0" applyAlignment="0">
      <protection locked="0"/>
    </xf>
    <xf numFmtId="10" fontId="34" fillId="23" borderId="0" applyFont="0" applyBorder="0" applyAlignment="0">
      <protection locked="0"/>
    </xf>
    <xf numFmtId="173" fontId="34" fillId="23" borderId="0" applyBorder="0" applyAlignment="0">
      <protection locked="0"/>
    </xf>
    <xf numFmtId="173" fontId="34" fillId="23" borderId="0" applyBorder="0" applyAlignment="0">
      <protection locked="0"/>
    </xf>
    <xf numFmtId="173" fontId="34" fillId="23" borderId="0" applyBorder="0" applyAlignment="0">
      <protection locked="0"/>
    </xf>
    <xf numFmtId="173" fontId="34" fillId="23" borderId="0" applyBorder="0" applyAlignment="0">
      <protection locked="0"/>
    </xf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3" fontId="51" fillId="0" borderId="0" applyNumberFormat="0" applyFill="0" applyBorder="0" applyAlignment="0" applyProtection="0"/>
    <xf numFmtId="0" fontId="154" fillId="0" borderId="10">
      <protection hidden="1"/>
    </xf>
    <xf numFmtId="0" fontId="151" fillId="26" borderId="10" applyNumberFormat="0" applyFont="0" applyBorder="0" applyAlignment="0" applyProtection="0">
      <protection hidden="1"/>
    </xf>
    <xf numFmtId="0" fontId="154" fillId="0" borderId="10">
      <protection hidden="1"/>
    </xf>
    <xf numFmtId="0" fontId="155" fillId="81" borderId="0"/>
    <xf numFmtId="0" fontId="156" fillId="4" borderId="0" applyNumberFormat="0" applyBorder="0" applyAlignment="0" applyProtection="0"/>
    <xf numFmtId="0" fontId="157" fillId="0" borderId="0" applyFont="0" applyFill="0" applyBorder="0" applyAlignment="0" applyProtection="0">
      <alignment horizontal="right"/>
    </xf>
    <xf numFmtId="0" fontId="34" fillId="0" borderId="0" applyNumberFormat="0" applyFill="0" applyBorder="0" applyAlignment="0"/>
    <xf numFmtId="0" fontId="34" fillId="0" borderId="0" applyNumberFormat="0" applyFill="0" applyBorder="0" applyAlignment="0"/>
    <xf numFmtId="0" fontId="34" fillId="0" borderId="0" applyNumberFormat="0" applyFill="0" applyBorder="0" applyAlignment="0"/>
    <xf numFmtId="0" fontId="34" fillId="0" borderId="0" applyNumberFormat="0" applyFill="0" applyBorder="0" applyAlignment="0"/>
    <xf numFmtId="0" fontId="158" fillId="0" borderId="55" applyNumberFormat="0" applyFill="0" applyAlignment="0" applyProtection="0"/>
    <xf numFmtId="178" fontId="159" fillId="0" borderId="0">
      <alignment horizontal="right"/>
    </xf>
    <xf numFmtId="220" fontId="64" fillId="5" borderId="0" applyNumberFormat="0" applyBorder="0" applyAlignment="0" applyProtection="0"/>
    <xf numFmtId="221" fontId="64" fillId="5" borderId="0" applyNumberFormat="0" applyBorder="0" applyAlignment="0" applyProtection="0"/>
    <xf numFmtId="221" fontId="64" fillId="5" borderId="0" applyNumberFormat="0" applyBorder="0" applyAlignment="0" applyProtection="0"/>
    <xf numFmtId="220" fontId="64" fillId="5" borderId="0" applyNumberFormat="0" applyBorder="0" applyAlignment="0" applyProtection="0"/>
    <xf numFmtId="221" fontId="64" fillId="5" borderId="0" applyNumberFormat="0" applyBorder="0" applyAlignment="0" applyProtection="0"/>
    <xf numFmtId="220" fontId="64" fillId="5" borderId="0" applyNumberFormat="0" applyBorder="0" applyAlignment="0" applyProtection="0"/>
    <xf numFmtId="220" fontId="64" fillId="5" borderId="0" applyNumberFormat="0" applyBorder="0" applyAlignment="0" applyProtection="0"/>
    <xf numFmtId="220" fontId="64" fillId="5" borderId="0" applyNumberFormat="0" applyBorder="0" applyAlignment="0" applyProtection="0"/>
    <xf numFmtId="220" fontId="64" fillId="5" borderId="0" applyNumberFormat="0" applyBorder="0" applyAlignment="0" applyProtection="0"/>
    <xf numFmtId="220" fontId="64" fillId="5" borderId="0" applyNumberFormat="0" applyBorder="0" applyAlignment="0" applyProtection="0"/>
    <xf numFmtId="222" fontId="123" fillId="0" borderId="63" applyAlignment="0" applyProtection="0"/>
    <xf numFmtId="221" fontId="64" fillId="5" borderId="0" applyNumberFormat="0" applyBorder="0" applyAlignment="0" applyProtection="0"/>
    <xf numFmtId="0" fontId="142" fillId="0" borderId="0" applyFont="0" applyFill="0" applyBorder="0" applyAlignment="0" applyProtection="0"/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84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180" fontId="34" fillId="0" borderId="0" applyFill="0" applyBorder="0" applyAlignment="0"/>
    <xf numFmtId="175" fontId="48" fillId="0" borderId="0" applyFill="0" applyBorder="0" applyAlignment="0"/>
    <xf numFmtId="181" fontId="34" fillId="0" borderId="0" applyFill="0" applyBorder="0" applyAlignment="0"/>
    <xf numFmtId="181" fontId="34" fillId="0" borderId="0" applyFill="0" applyBorder="0" applyAlignment="0"/>
    <xf numFmtId="181" fontId="34" fillId="0" borderId="0" applyFill="0" applyBorder="0" applyAlignment="0"/>
    <xf numFmtId="181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220" fontId="68" fillId="26" borderId="93" applyNumberFormat="0" applyAlignment="0" applyProtection="0"/>
    <xf numFmtId="221" fontId="68" fillId="26" borderId="93" applyNumberFormat="0" applyAlignment="0" applyProtection="0"/>
    <xf numFmtId="220" fontId="68" fillId="26" borderId="93" applyNumberFormat="0" applyAlignment="0" applyProtection="0"/>
    <xf numFmtId="220" fontId="68" fillId="26" borderId="93" applyNumberFormat="0" applyAlignment="0" applyProtection="0"/>
    <xf numFmtId="220" fontId="68" fillId="26" borderId="93" applyNumberFormat="0" applyAlignment="0" applyProtection="0"/>
    <xf numFmtId="220" fontId="68" fillId="26" borderId="93" applyNumberFormat="0" applyAlignment="0" applyProtection="0"/>
    <xf numFmtId="223" fontId="34" fillId="0" borderId="0" applyFont="0" applyFill="0" applyBorder="0" applyAlignment="0" applyProtection="0"/>
    <xf numFmtId="224" fontId="34" fillId="0" borderId="0" applyFont="0" applyFill="0" applyBorder="0" applyAlignment="0" applyProtection="0"/>
    <xf numFmtId="0" fontId="69" fillId="27" borderId="82" applyNumberFormat="0" applyAlignment="0" applyProtection="0"/>
    <xf numFmtId="0" fontId="70" fillId="0" borderId="8" applyNumberFormat="0" applyFill="0" applyAlignment="0" applyProtection="0"/>
    <xf numFmtId="0" fontId="70" fillId="0" borderId="8" applyNumberFormat="0" applyFill="0" applyAlignment="0" applyProtection="0"/>
    <xf numFmtId="37" fontId="160" fillId="29" borderId="94" applyProtection="0">
      <alignment horizontal="center"/>
    </xf>
    <xf numFmtId="0" fontId="69" fillId="69" borderId="82" applyNumberFormat="0" applyAlignment="0" applyProtection="0"/>
    <xf numFmtId="0" fontId="71" fillId="28" borderId="9" applyFont="0" applyFill="0" applyBorder="0"/>
    <xf numFmtId="0" fontId="46" fillId="0" borderId="10"/>
    <xf numFmtId="0" fontId="46" fillId="0" borderId="10"/>
    <xf numFmtId="0" fontId="46" fillId="0" borderId="10"/>
    <xf numFmtId="0" fontId="33" fillId="0" borderId="0" applyNumberFormat="0" applyFill="0" applyBorder="0" applyAlignment="0" applyProtection="0">
      <alignment vertical="top"/>
      <protection locked="0"/>
    </xf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225" fontId="162" fillId="0" borderId="0"/>
    <xf numFmtId="225" fontId="162" fillId="0" borderId="0"/>
    <xf numFmtId="213" fontId="128" fillId="0" borderId="0" applyFill="0" applyBorder="0" applyAlignment="0" applyProtection="0"/>
    <xf numFmtId="40" fontId="128" fillId="0" borderId="0" applyFill="0" applyBorder="0" applyAlignment="0" applyProtection="0"/>
    <xf numFmtId="226" fontId="128" fillId="82" borderId="0" applyFill="0" applyBorder="0" applyAlignment="0">
      <alignment vertical="top"/>
    </xf>
    <xf numFmtId="227" fontId="128" fillId="0" borderId="0" applyFill="0" applyBorder="0" applyAlignment="0" applyProtection="0"/>
    <xf numFmtId="180" fontId="34" fillId="0" borderId="0" applyFont="0" applyFill="0" applyBorder="0" applyAlignment="0" applyProtection="0"/>
    <xf numFmtId="0" fontId="163" fillId="0" borderId="0" applyFont="0" applyFill="0" applyBorder="0" applyAlignment="0" applyProtection="0">
      <alignment horizontal="right"/>
    </xf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6" fontId="39" fillId="0" borderId="0" applyProtection="0"/>
    <xf numFmtId="223" fontId="39" fillId="0" borderId="0" applyProtection="0"/>
    <xf numFmtId="168" fontId="39" fillId="0" borderId="0" applyProtection="0"/>
    <xf numFmtId="166" fontId="87" fillId="0" borderId="0" applyProtection="0"/>
    <xf numFmtId="223" fontId="87" fillId="0" borderId="0" applyProtection="0"/>
    <xf numFmtId="168" fontId="87" fillId="0" borderId="0" applyProtection="0"/>
    <xf numFmtId="0" fontId="72" fillId="0" borderId="0"/>
    <xf numFmtId="0" fontId="57" fillId="0" borderId="0"/>
    <xf numFmtId="0" fontId="164" fillId="0" borderId="0"/>
    <xf numFmtId="0" fontId="72" fillId="0" borderId="0"/>
    <xf numFmtId="3" fontId="73" fillId="0" borderId="0" applyFont="0" applyFill="0" applyBorder="0" applyAlignment="0" applyProtection="0"/>
    <xf numFmtId="3" fontId="73" fillId="0" borderId="0" applyFont="0" applyFill="0" applyBorder="0" applyAlignment="0" applyProtection="0"/>
    <xf numFmtId="0" fontId="57" fillId="0" borderId="0"/>
    <xf numFmtId="0" fontId="164" fillId="0" borderId="0"/>
    <xf numFmtId="0" fontId="72" fillId="0" borderId="0"/>
    <xf numFmtId="168" fontId="34" fillId="29" borderId="0" applyNumberFormat="0" applyFont="0" applyBorder="0" applyAlignment="0" applyProtection="0"/>
    <xf numFmtId="168" fontId="34" fillId="29" borderId="0" applyNumberFormat="0" applyFont="0" applyBorder="0" applyAlignment="0" applyProtection="0"/>
    <xf numFmtId="168" fontId="34" fillId="29" borderId="0" applyNumberFormat="0" applyFont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228" fontId="128" fillId="82" borderId="99" applyFill="0" applyBorder="0" applyAlignment="0">
      <alignment horizontal="right"/>
    </xf>
    <xf numFmtId="0" fontId="163" fillId="0" borderId="0" applyFont="0" applyFill="0" applyBorder="0" applyAlignment="0" applyProtection="0">
      <alignment horizontal="right"/>
    </xf>
    <xf numFmtId="0" fontId="163" fillId="0" borderId="0" applyFont="0" applyFill="0" applyBorder="0" applyAlignment="0" applyProtection="0">
      <alignment horizontal="right"/>
    </xf>
    <xf numFmtId="182" fontId="73" fillId="0" borderId="0" applyFont="0" applyFill="0" applyBorder="0" applyAlignment="0" applyProtection="0"/>
    <xf numFmtId="182" fontId="73" fillId="0" borderId="0" applyFont="0" applyFill="0" applyBorder="0" applyAlignment="0" applyProtection="0"/>
    <xf numFmtId="0" fontId="142" fillId="0" borderId="0" applyFont="0" applyFill="0" applyBorder="0" applyAlignment="0" applyProtection="0"/>
    <xf numFmtId="0" fontId="65" fillId="0" borderId="0">
      <protection locked="0"/>
    </xf>
    <xf numFmtId="0" fontId="65" fillId="0" borderId="0">
      <protection locked="0"/>
    </xf>
    <xf numFmtId="0" fontId="163" fillId="0" borderId="0" applyFont="0" applyFill="0" applyBorder="0" applyAlignment="0" applyProtection="0"/>
    <xf numFmtId="14" fontId="39" fillId="0" borderId="0" applyFill="0" applyBorder="0" applyAlignment="0"/>
    <xf numFmtId="0" fontId="34" fillId="0" borderId="0" applyFont="0" applyFill="0" applyBorder="0" applyProtection="0">
      <alignment horizontal="left"/>
    </xf>
    <xf numFmtId="0" fontId="34" fillId="0" borderId="0" applyFont="0" applyFill="0" applyBorder="0" applyProtection="0">
      <alignment horizontal="left"/>
    </xf>
    <xf numFmtId="0" fontId="34" fillId="0" borderId="0" applyFont="0" applyFill="0" applyBorder="0" applyProtection="0">
      <alignment horizontal="left"/>
    </xf>
    <xf numFmtId="0" fontId="34" fillId="0" borderId="0" applyFont="0" applyFill="0" applyBorder="0" applyAlignment="0" applyProtection="0">
      <protection locked="0"/>
    </xf>
    <xf numFmtId="0" fontId="34" fillId="0" borderId="0" applyFont="0" applyFill="0" applyBorder="0" applyAlignment="0" applyProtection="0">
      <protection locked="0"/>
    </xf>
    <xf numFmtId="0" fontId="34" fillId="0" borderId="0" applyFont="0" applyFill="0" applyBorder="0" applyAlignment="0" applyProtection="0">
      <protection locked="0"/>
    </xf>
    <xf numFmtId="0" fontId="74" fillId="0" borderId="0" applyFont="0" applyFill="0" applyBorder="0" applyAlignment="0"/>
    <xf numFmtId="183" fontId="34" fillId="0" borderId="12">
      <alignment vertical="center"/>
    </xf>
    <xf numFmtId="0" fontId="165" fillId="9" borderId="64" applyNumberFormat="0" applyBorder="0" applyAlignment="0">
      <alignment horizontal="center"/>
    </xf>
    <xf numFmtId="37" fontId="158" fillId="35" borderId="104" applyNumberFormat="0" applyAlignment="0">
      <alignment horizontal="left"/>
    </xf>
    <xf numFmtId="37" fontId="158" fillId="35" borderId="104" applyNumberFormat="0" applyAlignment="0">
      <alignment horizontal="left"/>
    </xf>
    <xf numFmtId="37" fontId="158" fillId="35" borderId="104" applyNumberFormat="0" applyAlignment="0">
      <alignment horizontal="left"/>
    </xf>
    <xf numFmtId="37" fontId="158" fillId="35" borderId="104" applyNumberFormat="0" applyAlignment="0">
      <alignment horizontal="left"/>
    </xf>
    <xf numFmtId="0" fontId="65" fillId="0" borderId="0">
      <protection locked="0"/>
    </xf>
    <xf numFmtId="0" fontId="163" fillId="0" borderId="105" applyNumberFormat="0" applyFont="0" applyFill="0" applyAlignment="0" applyProtection="0"/>
    <xf numFmtId="0" fontId="128" fillId="0" borderId="0" applyNumberFormat="0" applyFill="0" applyBorder="0" applyAlignment="0" applyProtection="0"/>
    <xf numFmtId="0" fontId="125" fillId="83" borderId="0" applyNumberFormat="0" applyBorder="0" applyAlignment="0" applyProtection="0"/>
    <xf numFmtId="0" fontId="125" fillId="84" borderId="0" applyNumberFormat="0" applyBorder="0" applyAlignment="0" applyProtection="0"/>
    <xf numFmtId="0" fontId="125" fillId="85" borderId="0" applyNumberFormat="0" applyBorder="0" applyAlignment="0" applyProtection="0"/>
    <xf numFmtId="0" fontId="166" fillId="0" borderId="0">
      <protection locked="0"/>
    </xf>
    <xf numFmtId="0" fontId="166" fillId="0" borderId="0">
      <protection locked="0"/>
    </xf>
    <xf numFmtId="220" fontId="54" fillId="18" borderId="0" applyNumberFormat="0" applyBorder="0" applyAlignment="0" applyProtection="0"/>
    <xf numFmtId="221" fontId="54" fillId="18" borderId="0" applyNumberFormat="0" applyBorder="0" applyAlignment="0" applyProtection="0"/>
    <xf numFmtId="221" fontId="54" fillId="18" borderId="0" applyNumberFormat="0" applyBorder="0" applyAlignment="0" applyProtection="0"/>
    <xf numFmtId="220" fontId="54" fillId="18" borderId="0" applyNumberFormat="0" applyBorder="0" applyAlignment="0" applyProtection="0"/>
    <xf numFmtId="221" fontId="54" fillId="18" borderId="0" applyNumberFormat="0" applyBorder="0" applyAlignment="0" applyProtection="0"/>
    <xf numFmtId="220" fontId="54" fillId="18" borderId="0" applyNumberFormat="0" applyBorder="0" applyAlignment="0" applyProtection="0"/>
    <xf numFmtId="220" fontId="54" fillId="18" borderId="0" applyNumberFormat="0" applyBorder="0" applyAlignment="0" applyProtection="0"/>
    <xf numFmtId="220" fontId="54" fillId="18" borderId="0" applyNumberFormat="0" applyBorder="0" applyAlignment="0" applyProtection="0"/>
    <xf numFmtId="220" fontId="54" fillId="18" borderId="0" applyNumberFormat="0" applyBorder="0" applyAlignment="0" applyProtection="0"/>
    <xf numFmtId="220" fontId="54" fillId="18" borderId="0" applyNumberFormat="0" applyBorder="0" applyAlignment="0" applyProtection="0"/>
    <xf numFmtId="220" fontId="54" fillId="19" borderId="0" applyNumberFormat="0" applyBorder="0" applyAlignment="0" applyProtection="0"/>
    <xf numFmtId="221" fontId="54" fillId="19" borderId="0" applyNumberFormat="0" applyBorder="0" applyAlignment="0" applyProtection="0"/>
    <xf numFmtId="221" fontId="54" fillId="19" borderId="0" applyNumberFormat="0" applyBorder="0" applyAlignment="0" applyProtection="0"/>
    <xf numFmtId="220" fontId="54" fillId="19" borderId="0" applyNumberFormat="0" applyBorder="0" applyAlignment="0" applyProtection="0"/>
    <xf numFmtId="221" fontId="54" fillId="19" borderId="0" applyNumberFormat="0" applyBorder="0" applyAlignment="0" applyProtection="0"/>
    <xf numFmtId="220" fontId="54" fillId="19" borderId="0" applyNumberFormat="0" applyBorder="0" applyAlignment="0" applyProtection="0"/>
    <xf numFmtId="220" fontId="54" fillId="19" borderId="0" applyNumberFormat="0" applyBorder="0" applyAlignment="0" applyProtection="0"/>
    <xf numFmtId="220" fontId="54" fillId="19" borderId="0" applyNumberFormat="0" applyBorder="0" applyAlignment="0" applyProtection="0"/>
    <xf numFmtId="220" fontId="54" fillId="19" borderId="0" applyNumberFormat="0" applyBorder="0" applyAlignment="0" applyProtection="0"/>
    <xf numFmtId="220" fontId="54" fillId="19" borderId="0" applyNumberFormat="0" applyBorder="0" applyAlignment="0" applyProtection="0"/>
    <xf numFmtId="220" fontId="54" fillId="20" borderId="0" applyNumberFormat="0" applyBorder="0" applyAlignment="0" applyProtection="0"/>
    <xf numFmtId="221" fontId="54" fillId="20" borderId="0" applyNumberFormat="0" applyBorder="0" applyAlignment="0" applyProtection="0"/>
    <xf numFmtId="221" fontId="54" fillId="20" borderId="0" applyNumberFormat="0" applyBorder="0" applyAlignment="0" applyProtection="0"/>
    <xf numFmtId="220" fontId="54" fillId="20" borderId="0" applyNumberFormat="0" applyBorder="0" applyAlignment="0" applyProtection="0"/>
    <xf numFmtId="221" fontId="54" fillId="20" borderId="0" applyNumberFormat="0" applyBorder="0" applyAlignment="0" applyProtection="0"/>
    <xf numFmtId="220" fontId="54" fillId="20" borderId="0" applyNumberFormat="0" applyBorder="0" applyAlignment="0" applyProtection="0"/>
    <xf numFmtId="220" fontId="54" fillId="20" borderId="0" applyNumberFormat="0" applyBorder="0" applyAlignment="0" applyProtection="0"/>
    <xf numFmtId="220" fontId="54" fillId="20" borderId="0" applyNumberFormat="0" applyBorder="0" applyAlignment="0" applyProtection="0"/>
    <xf numFmtId="220" fontId="54" fillId="20" borderId="0" applyNumberFormat="0" applyBorder="0" applyAlignment="0" applyProtection="0"/>
    <xf numFmtId="220" fontId="54" fillId="20" borderId="0" applyNumberFormat="0" applyBorder="0" applyAlignment="0" applyProtection="0"/>
    <xf numFmtId="220" fontId="54" fillId="15" borderId="0" applyNumberFormat="0" applyBorder="0" applyAlignment="0" applyProtection="0"/>
    <xf numFmtId="221" fontId="54" fillId="15" borderId="0" applyNumberFormat="0" applyBorder="0" applyAlignment="0" applyProtection="0"/>
    <xf numFmtId="221" fontId="54" fillId="15" borderId="0" applyNumberFormat="0" applyBorder="0" applyAlignment="0" applyProtection="0"/>
    <xf numFmtId="220" fontId="54" fillId="15" borderId="0" applyNumberFormat="0" applyBorder="0" applyAlignment="0" applyProtection="0"/>
    <xf numFmtId="221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5" borderId="0" applyNumberFormat="0" applyBorder="0" applyAlignment="0" applyProtection="0"/>
    <xf numFmtId="220" fontId="54" fillId="16" borderId="0" applyNumberFormat="0" applyBorder="0" applyAlignment="0" applyProtection="0"/>
    <xf numFmtId="221" fontId="54" fillId="16" borderId="0" applyNumberFormat="0" applyBorder="0" applyAlignment="0" applyProtection="0"/>
    <xf numFmtId="221" fontId="54" fillId="16" borderId="0" applyNumberFormat="0" applyBorder="0" applyAlignment="0" applyProtection="0"/>
    <xf numFmtId="220" fontId="54" fillId="16" borderId="0" applyNumberFormat="0" applyBorder="0" applyAlignment="0" applyProtection="0"/>
    <xf numFmtId="221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16" borderId="0" applyNumberFormat="0" applyBorder="0" applyAlignment="0" applyProtection="0"/>
    <xf numFmtId="220" fontId="54" fillId="21" borderId="0" applyNumberFormat="0" applyBorder="0" applyAlignment="0" applyProtection="0"/>
    <xf numFmtId="221" fontId="54" fillId="21" borderId="0" applyNumberFormat="0" applyBorder="0" applyAlignment="0" applyProtection="0"/>
    <xf numFmtId="221" fontId="54" fillId="21" borderId="0" applyNumberFormat="0" applyBorder="0" applyAlignment="0" applyProtection="0"/>
    <xf numFmtId="220" fontId="54" fillId="21" borderId="0" applyNumberFormat="0" applyBorder="0" applyAlignment="0" applyProtection="0"/>
    <xf numFmtId="221" fontId="54" fillId="21" borderId="0" applyNumberFormat="0" applyBorder="0" applyAlignment="0" applyProtection="0"/>
    <xf numFmtId="220" fontId="54" fillId="21" borderId="0" applyNumberFormat="0" applyBorder="0" applyAlignment="0" applyProtection="0"/>
    <xf numFmtId="220" fontId="54" fillId="21" borderId="0" applyNumberFormat="0" applyBorder="0" applyAlignment="0" applyProtection="0"/>
    <xf numFmtId="220" fontId="54" fillId="21" borderId="0" applyNumberFormat="0" applyBorder="0" applyAlignment="0" applyProtection="0"/>
    <xf numFmtId="220" fontId="54" fillId="21" borderId="0" applyNumberFormat="0" applyBorder="0" applyAlignment="0" applyProtection="0"/>
    <xf numFmtId="220" fontId="54" fillId="21" borderId="0" applyNumberFormat="0" applyBorder="0" applyAlignment="0" applyProtection="0"/>
    <xf numFmtId="221" fontId="54" fillId="18" borderId="0" applyNumberFormat="0" applyBorder="0" applyAlignment="0" applyProtection="0"/>
    <xf numFmtId="221" fontId="54" fillId="19" borderId="0" applyNumberFormat="0" applyBorder="0" applyAlignment="0" applyProtection="0"/>
    <xf numFmtId="221" fontId="54" fillId="20" borderId="0" applyNumberFormat="0" applyBorder="0" applyAlignment="0" applyProtection="0"/>
    <xf numFmtId="221" fontId="54" fillId="15" borderId="0" applyNumberFormat="0" applyBorder="0" applyAlignment="0" applyProtection="0"/>
    <xf numFmtId="221" fontId="54" fillId="16" borderId="0" applyNumberFormat="0" applyBorder="0" applyAlignment="0" applyProtection="0"/>
    <xf numFmtId="221" fontId="54" fillId="21" borderId="0" applyNumberFormat="0" applyBorder="0" applyAlignment="0" applyProtection="0"/>
    <xf numFmtId="180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0" fontId="84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0" fontId="76" fillId="8" borderId="93" applyNumberFormat="0" applyAlignment="0" applyProtection="0"/>
    <xf numFmtId="220" fontId="76" fillId="8" borderId="93" applyNumberFormat="0" applyAlignment="0" applyProtection="0"/>
    <xf numFmtId="220" fontId="76" fillId="8" borderId="93" applyNumberFormat="0" applyAlignment="0" applyProtection="0"/>
    <xf numFmtId="220" fontId="76" fillId="8" borderId="93" applyNumberFormat="0" applyAlignment="0" applyProtection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39" fillId="0" borderId="0">
      <alignment vertical="top"/>
    </xf>
    <xf numFmtId="0" fontId="48" fillId="0" borderId="0">
      <alignment vertical="center"/>
    </xf>
    <xf numFmtId="184" fontId="34" fillId="0" borderId="0" applyFont="0" applyFill="0" applyBorder="0" applyAlignment="0" applyProtection="0"/>
    <xf numFmtId="220" fontId="34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34" fillId="0" borderId="0" applyFont="0" applyFill="0" applyBorder="0" applyAlignment="0" applyProtection="0"/>
    <xf numFmtId="229" fontId="34" fillId="0" borderId="0" applyFill="0" applyBorder="0" applyAlignment="0" applyProtection="0"/>
    <xf numFmtId="0" fontId="167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38" fontId="46" fillId="0" borderId="0" applyNumberFormat="0" applyFill="0" applyBorder="0" applyProtection="0">
      <alignment wrapText="1"/>
    </xf>
    <xf numFmtId="38" fontId="46" fillId="0" borderId="0" applyNumberFormat="0" applyFill="0" applyBorder="0" applyProtection="0">
      <alignment wrapText="1"/>
    </xf>
    <xf numFmtId="38" fontId="46" fillId="0" borderId="0" applyNumberFormat="0" applyFill="0" applyBorder="0" applyProtection="0">
      <alignment wrapText="1"/>
    </xf>
    <xf numFmtId="37" fontId="78" fillId="0" borderId="0" applyBorder="0" applyAlignment="0"/>
    <xf numFmtId="37" fontId="78" fillId="0" borderId="0" applyBorder="0" applyAlignment="0"/>
    <xf numFmtId="0" fontId="65" fillId="0" borderId="0">
      <protection locked="0"/>
    </xf>
    <xf numFmtId="3" fontId="73" fillId="0" borderId="0" applyFont="0" applyFill="0" applyBorder="0" applyAlignment="0" applyProtection="0"/>
    <xf numFmtId="0" fontId="65" fillId="0" borderId="0">
      <protection locked="0"/>
    </xf>
    <xf numFmtId="185" fontId="34" fillId="0" borderId="0">
      <protection locked="0"/>
    </xf>
    <xf numFmtId="185" fontId="34" fillId="0" borderId="0">
      <protection locked="0"/>
    </xf>
    <xf numFmtId="185" fontId="34" fillId="0" borderId="0">
      <protection locked="0"/>
    </xf>
    <xf numFmtId="186" fontId="65" fillId="0" borderId="0">
      <protection locked="0"/>
    </xf>
    <xf numFmtId="186" fontId="65" fillId="0" borderId="0">
      <protection locked="0"/>
    </xf>
    <xf numFmtId="0" fontId="168" fillId="0" borderId="0" applyFill="0" applyBorder="0" applyProtection="0">
      <alignment horizontal="left"/>
    </xf>
    <xf numFmtId="0" fontId="141" fillId="0" borderId="0"/>
    <xf numFmtId="38" fontId="165" fillId="0" borderId="10" applyBorder="0"/>
    <xf numFmtId="0" fontId="34" fillId="23" borderId="95" applyNumberFormat="0" applyFont="0" applyBorder="0" applyAlignment="0" applyProtection="0"/>
    <xf numFmtId="0" fontId="34" fillId="23" borderId="95" applyNumberFormat="0" applyFont="0" applyBorder="0" applyAlignment="0" applyProtection="0"/>
    <xf numFmtId="0" fontId="34" fillId="23" borderId="95" applyNumberFormat="0" applyFont="0" applyBorder="0" applyAlignment="0" applyProtection="0"/>
    <xf numFmtId="0" fontId="34" fillId="23" borderId="95" applyNumberFormat="0" applyFont="0" applyBorder="0" applyAlignment="0" applyProtection="0"/>
    <xf numFmtId="0" fontId="34" fillId="23" borderId="95" applyNumberFormat="0" applyFont="0" applyBorder="0" applyAlignment="0" applyProtection="0"/>
    <xf numFmtId="0" fontId="34" fillId="23" borderId="95" applyNumberFormat="0" applyFont="0" applyBorder="0" applyAlignment="0" applyProtection="0"/>
    <xf numFmtId="0" fontId="34" fillId="23" borderId="95" applyNumberFormat="0" applyFont="0" applyBorder="0" applyAlignment="0" applyProtection="0"/>
    <xf numFmtId="10" fontId="34" fillId="23" borderId="0" applyNumberFormat="0" applyFont="0" applyBorder="0" applyAlignment="0"/>
    <xf numFmtId="10" fontId="34" fillId="23" borderId="0" applyNumberFormat="0" applyFont="0" applyBorder="0" applyAlignment="0"/>
    <xf numFmtId="10" fontId="34" fillId="23" borderId="0" applyNumberFormat="0" applyFont="0" applyBorder="0" applyAlignment="0"/>
    <xf numFmtId="2" fontId="34" fillId="0" borderId="0"/>
    <xf numFmtId="2" fontId="34" fillId="0" borderId="0"/>
    <xf numFmtId="2" fontId="34" fillId="0" borderId="0"/>
    <xf numFmtId="2" fontId="34" fillId="0" borderId="0"/>
    <xf numFmtId="0" fontId="169" fillId="5" borderId="0" applyNumberFormat="0" applyBorder="0" applyAlignment="0" applyProtection="0"/>
    <xf numFmtId="38" fontId="46" fillId="9" borderId="0" applyNumberFormat="0" applyBorder="0" applyAlignment="0" applyProtection="0"/>
    <xf numFmtId="38" fontId="46" fillId="9" borderId="0" applyNumberFormat="0" applyBorder="0" applyAlignment="0" applyProtection="0"/>
    <xf numFmtId="38" fontId="46" fillId="9" borderId="0" applyNumberFormat="0" applyBorder="0" applyAlignment="0" applyProtection="0"/>
    <xf numFmtId="38" fontId="46" fillId="9" borderId="0" applyNumberFormat="0" applyBorder="0" applyAlignment="0" applyProtection="0"/>
    <xf numFmtId="38" fontId="46" fillId="9" borderId="0" applyNumberFormat="0" applyBorder="0" applyAlignment="0" applyProtection="0"/>
    <xf numFmtId="0" fontId="163" fillId="0" borderId="0" applyFont="0" applyFill="0" applyBorder="0" applyAlignment="0" applyProtection="0">
      <alignment horizontal="right"/>
    </xf>
    <xf numFmtId="0" fontId="83" fillId="0" borderId="16" applyNumberFormat="0" applyAlignment="0" applyProtection="0">
      <alignment horizontal="left" vertical="center"/>
    </xf>
    <xf numFmtId="0" fontId="83" fillId="0" borderId="16" applyNumberFormat="0" applyAlignment="0" applyProtection="0">
      <alignment horizontal="left" vertical="center"/>
    </xf>
    <xf numFmtId="0" fontId="83" fillId="0" borderId="16" applyNumberFormat="0" applyAlignment="0" applyProtection="0">
      <alignment horizontal="left" vertical="center"/>
    </xf>
    <xf numFmtId="0" fontId="83" fillId="0" borderId="16" applyNumberFormat="0" applyAlignment="0" applyProtection="0">
      <alignment horizontal="left" vertical="center"/>
    </xf>
    <xf numFmtId="0" fontId="83" fillId="0" borderId="16" applyNumberFormat="0" applyAlignment="0" applyProtection="0">
      <alignment horizontal="left" vertical="center"/>
    </xf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70" fillId="0" borderId="0" applyProtection="0">
      <alignment horizontal="left"/>
    </xf>
    <xf numFmtId="184" fontId="86" fillId="0" borderId="0" applyNumberFormat="0" applyFill="0" applyBorder="0" applyAlignment="0" applyProtection="0"/>
    <xf numFmtId="187" fontId="34" fillId="0" borderId="0">
      <protection locked="0"/>
    </xf>
    <xf numFmtId="187" fontId="34" fillId="0" borderId="0">
      <protection locked="0"/>
    </xf>
    <xf numFmtId="187" fontId="34" fillId="0" borderId="0">
      <protection locked="0"/>
    </xf>
    <xf numFmtId="187" fontId="34" fillId="0" borderId="0">
      <protection locked="0"/>
    </xf>
    <xf numFmtId="187" fontId="34" fillId="0" borderId="0">
      <protection locked="0"/>
    </xf>
    <xf numFmtId="187" fontId="34" fillId="0" borderId="0">
      <protection locked="0"/>
    </xf>
    <xf numFmtId="230" fontId="128" fillId="0" borderId="0" applyFill="0" applyBorder="0" applyAlignment="0" applyProtection="0"/>
    <xf numFmtId="0" fontId="87" fillId="0" borderId="19" applyNumberFormat="0" applyFill="0" applyAlignment="0" applyProtection="0"/>
    <xf numFmtId="0" fontId="87" fillId="0" borderId="19" applyNumberFormat="0" applyFill="0" applyAlignment="0" applyProtection="0"/>
    <xf numFmtId="0" fontId="171" fillId="0" borderId="0" applyNumberFormat="0" applyFill="0" applyBorder="0" applyAlignment="0" applyProtection="0">
      <alignment vertical="top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48" fillId="0" borderId="0"/>
    <xf numFmtId="231" fontId="34" fillId="0" borderId="0" applyNumberFormat="0" applyFill="0" applyBorder="0" applyAlignment="0" applyProtection="0"/>
    <xf numFmtId="231" fontId="34" fillId="0" borderId="0" applyNumberFormat="0" applyFill="0" applyBorder="0" applyAlignment="0" applyProtection="0"/>
    <xf numFmtId="0" fontId="88" fillId="0" borderId="20" applyFill="0" applyBorder="0" applyAlignment="0">
      <alignment horizontal="center"/>
      <protection locked="0"/>
    </xf>
    <xf numFmtId="0" fontId="88" fillId="0" borderId="20" applyFill="0" applyBorder="0" applyAlignment="0">
      <alignment horizontal="center"/>
      <protection locked="0"/>
    </xf>
    <xf numFmtId="0" fontId="88" fillId="0" borderId="20" applyFill="0" applyBorder="0" applyAlignment="0">
      <alignment horizontal="center"/>
      <protection locked="0"/>
    </xf>
    <xf numFmtId="232" fontId="142" fillId="0" borderId="0"/>
    <xf numFmtId="232" fontId="142" fillId="0" borderId="0"/>
    <xf numFmtId="232" fontId="142" fillId="0" borderId="0"/>
    <xf numFmtId="233" fontId="142" fillId="0" borderId="0"/>
    <xf numFmtId="233" fontId="142" fillId="0" borderId="0"/>
    <xf numFmtId="233" fontId="142" fillId="0" borderId="0"/>
    <xf numFmtId="234" fontId="142" fillId="0" borderId="0"/>
    <xf numFmtId="234" fontId="142" fillId="0" borderId="0"/>
    <xf numFmtId="234" fontId="142" fillId="0" borderId="0"/>
    <xf numFmtId="10" fontId="46" fillId="23" borderId="94" applyNumberFormat="0" applyBorder="0" applyAlignment="0" applyProtection="0"/>
    <xf numFmtId="10" fontId="46" fillId="23" borderId="94" applyNumberFormat="0" applyBorder="0" applyAlignment="0" applyProtection="0"/>
    <xf numFmtId="0" fontId="34" fillId="0" borderId="0" applyFill="0" applyBorder="0" applyAlignment="0">
      <protection locked="0"/>
    </xf>
    <xf numFmtId="0" fontId="34" fillId="0" borderId="0" applyFill="0" applyBorder="0" applyAlignment="0">
      <protection locked="0"/>
    </xf>
    <xf numFmtId="0" fontId="34" fillId="0" borderId="0" applyFill="0" applyBorder="0" applyAlignment="0">
      <protection locked="0"/>
    </xf>
    <xf numFmtId="0" fontId="34" fillId="0" borderId="0" applyFill="0" applyBorder="0" applyAlignment="0">
      <protection locked="0"/>
    </xf>
    <xf numFmtId="0" fontId="74" fillId="0" borderId="0" applyFill="0" applyBorder="0" applyAlignment="0" applyProtection="0">
      <protection locked="0"/>
    </xf>
    <xf numFmtId="0" fontId="172" fillId="86" borderId="0" applyNumberFormat="0" applyBorder="0" applyAlignment="0">
      <protection locked="0"/>
    </xf>
    <xf numFmtId="0" fontId="76" fillId="8" borderId="93" applyNumberFormat="0" applyAlignment="0" applyProtection="0"/>
    <xf numFmtId="235" fontId="173" fillId="0" borderId="0"/>
    <xf numFmtId="0" fontId="33" fillId="0" borderId="0" applyNumberFormat="0" applyFill="0" applyBorder="0" applyAlignment="0" applyProtection="0">
      <alignment vertical="top"/>
      <protection locked="0"/>
    </xf>
    <xf numFmtId="180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0" fontId="174" fillId="0" borderId="8" applyNumberFormat="0" applyFill="0" applyAlignment="0" applyProtection="0"/>
    <xf numFmtId="0" fontId="175" fillId="0" borderId="10">
      <alignment horizontal="left"/>
      <protection locked="0"/>
    </xf>
    <xf numFmtId="236" fontId="176" fillId="0" borderId="0" applyFont="0" applyFill="0" applyBorder="0" applyAlignment="0" applyProtection="0"/>
    <xf numFmtId="38" fontId="74" fillId="0" borderId="0" applyFont="0" applyFill="0" applyBorder="0" applyAlignment="0" applyProtection="0"/>
    <xf numFmtId="40" fontId="74" fillId="0" borderId="0" applyFont="0" applyFill="0" applyBorder="0" applyAlignment="0" applyProtection="0"/>
    <xf numFmtId="0" fontId="177" fillId="0" borderId="0" applyBorder="0"/>
    <xf numFmtId="237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167" fontId="32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238" fontId="23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52" fillId="0" borderId="0" applyFont="0" applyFill="0" applyBorder="0" applyAlignment="0" applyProtection="0"/>
    <xf numFmtId="188" fontId="65" fillId="0" borderId="0">
      <protection locked="0"/>
    </xf>
    <xf numFmtId="188" fontId="65" fillId="0" borderId="0">
      <protection locked="0"/>
    </xf>
    <xf numFmtId="239" fontId="34" fillId="0" borderId="0" applyFont="0" applyFill="0" applyBorder="0" applyAlignment="0" applyProtection="0"/>
    <xf numFmtId="24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65" fillId="0" borderId="0">
      <protection locked="0"/>
    </xf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163" fillId="0" borderId="0" applyFont="0" applyFill="0" applyBorder="0" applyAlignment="0" applyProtection="0">
      <alignment horizontal="right"/>
    </xf>
    <xf numFmtId="169" fontId="148" fillId="0" borderId="0" applyProtection="0"/>
    <xf numFmtId="241" fontId="148" fillId="0" borderId="0" applyProtection="0"/>
    <xf numFmtId="242" fontId="148" fillId="0" borderId="0" applyProtection="0"/>
    <xf numFmtId="169" fontId="148" fillId="0" borderId="0" applyProtection="0"/>
    <xf numFmtId="241" fontId="148" fillId="0" borderId="0" applyProtection="0"/>
    <xf numFmtId="242" fontId="148" fillId="0" borderId="0" applyProtection="0"/>
    <xf numFmtId="220" fontId="90" fillId="31" borderId="0" applyNumberFormat="0" applyBorder="0" applyAlignment="0" applyProtection="0"/>
    <xf numFmtId="221" fontId="90" fillId="31" borderId="0" applyNumberFormat="0" applyBorder="0" applyAlignment="0" applyProtection="0"/>
    <xf numFmtId="221" fontId="90" fillId="31" borderId="0" applyNumberFormat="0" applyBorder="0" applyAlignment="0" applyProtection="0"/>
    <xf numFmtId="220" fontId="90" fillId="31" borderId="0" applyNumberFormat="0" applyBorder="0" applyAlignment="0" applyProtection="0"/>
    <xf numFmtId="221" fontId="90" fillId="31" borderId="0" applyNumberFormat="0" applyBorder="0" applyAlignment="0" applyProtection="0"/>
    <xf numFmtId="220" fontId="90" fillId="31" borderId="0" applyNumberFormat="0" applyBorder="0" applyAlignment="0" applyProtection="0"/>
    <xf numFmtId="220" fontId="90" fillId="31" borderId="0" applyNumberFormat="0" applyBorder="0" applyAlignment="0" applyProtection="0"/>
    <xf numFmtId="220" fontId="90" fillId="31" borderId="0" applyNumberFormat="0" applyBorder="0" applyAlignment="0" applyProtection="0"/>
    <xf numFmtId="220" fontId="90" fillId="31" borderId="0" applyNumberFormat="0" applyBorder="0" applyAlignment="0" applyProtection="0"/>
    <xf numFmtId="220" fontId="90" fillId="31" borderId="0" applyNumberFormat="0" applyBorder="0" applyAlignment="0" applyProtection="0"/>
    <xf numFmtId="0" fontId="178" fillId="31" borderId="0" applyNumberFormat="0" applyBorder="0" applyAlignment="0" applyProtection="0"/>
    <xf numFmtId="0" fontId="34" fillId="0" borderId="0" applyNumberFormat="0" applyFill="0" applyBorder="0" applyAlignment="0" applyProtection="0"/>
    <xf numFmtId="37" fontId="91" fillId="0" borderId="0"/>
    <xf numFmtId="37" fontId="91" fillId="0" borderId="0"/>
    <xf numFmtId="0" fontId="48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243" fontId="34" fillId="0" borderId="0"/>
    <xf numFmtId="243" fontId="34" fillId="0" borderId="0"/>
    <xf numFmtId="243" fontId="34" fillId="0" borderId="0"/>
    <xf numFmtId="243" fontId="34" fillId="0" borderId="0"/>
    <xf numFmtId="243" fontId="34" fillId="0" borderId="0"/>
    <xf numFmtId="233" fontId="142" fillId="0" borderId="0"/>
    <xf numFmtId="233" fontId="142" fillId="0" borderId="0"/>
    <xf numFmtId="233" fontId="142" fillId="0" borderId="0"/>
    <xf numFmtId="244" fontId="142" fillId="0" borderId="0">
      <alignment horizontal="right"/>
    </xf>
    <xf numFmtId="244" fontId="142" fillId="0" borderId="0">
      <alignment horizontal="right"/>
    </xf>
    <xf numFmtId="244" fontId="142" fillId="0" borderId="0">
      <alignment horizontal="right"/>
    </xf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1" fontId="23" fillId="0" borderId="0"/>
    <xf numFmtId="221" fontId="23" fillId="0" borderId="0"/>
    <xf numFmtId="221" fontId="23" fillId="0" borderId="0"/>
    <xf numFmtId="221" fontId="23" fillId="0" borderId="0"/>
    <xf numFmtId="220" fontId="23" fillId="0" borderId="0"/>
    <xf numFmtId="220" fontId="23" fillId="0" borderId="0"/>
    <xf numFmtId="220" fontId="23" fillId="0" borderId="0"/>
    <xf numFmtId="0" fontId="32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1" fontId="23" fillId="0" borderId="0"/>
    <xf numFmtId="221" fontId="23" fillId="0" borderId="0"/>
    <xf numFmtId="221" fontId="23" fillId="0" borderId="0"/>
    <xf numFmtId="221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23" fillId="0" borderId="0"/>
    <xf numFmtId="221" fontId="23" fillId="0" borderId="0"/>
    <xf numFmtId="221" fontId="23" fillId="0" borderId="0"/>
    <xf numFmtId="221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23" fillId="0" borderId="0"/>
    <xf numFmtId="221" fontId="23" fillId="0" borderId="0"/>
    <xf numFmtId="221" fontId="23" fillId="0" borderId="0"/>
    <xf numFmtId="221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34" fillId="0" borderId="0" applyFill="0" applyBorder="0" applyAlignment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23" fillId="0" borderId="0"/>
    <xf numFmtId="221" fontId="23" fillId="0" borderId="0"/>
    <xf numFmtId="221" fontId="23" fillId="0" borderId="0"/>
    <xf numFmtId="221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23" fillId="0" borderId="0"/>
    <xf numFmtId="221" fontId="23" fillId="0" borderId="0"/>
    <xf numFmtId="221" fontId="23" fillId="0" borderId="0"/>
    <xf numFmtId="221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4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23" fillId="0" borderId="0"/>
    <xf numFmtId="221" fontId="23" fillId="0" borderId="0"/>
    <xf numFmtId="221" fontId="23" fillId="0" borderId="0"/>
    <xf numFmtId="221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2" fillId="0" borderId="0"/>
    <xf numFmtId="0" fontId="32" fillId="0" borderId="0"/>
    <xf numFmtId="0" fontId="3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221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221" fontId="34" fillId="0" borderId="0"/>
    <xf numFmtId="221" fontId="34" fillId="0" borderId="0"/>
    <xf numFmtId="221" fontId="34" fillId="0" borderId="0"/>
    <xf numFmtId="221" fontId="34" fillId="0" borderId="0"/>
    <xf numFmtId="0" fontId="3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3" fillId="0" borderId="0"/>
    <xf numFmtId="0" fontId="23" fillId="0" borderId="0"/>
    <xf numFmtId="0" fontId="34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9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9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9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9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0" fontId="23" fillId="0" borderId="0"/>
    <xf numFmtId="0" fontId="23" fillId="0" borderId="0"/>
    <xf numFmtId="220" fontId="34" fillId="0" borderId="0"/>
    <xf numFmtId="22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22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34" fillId="0" borderId="0"/>
    <xf numFmtId="220" fontId="74" fillId="0" borderId="0"/>
    <xf numFmtId="0" fontId="34" fillId="0" borderId="0"/>
    <xf numFmtId="0" fontId="34" fillId="0" borderId="0"/>
    <xf numFmtId="0" fontId="34" fillId="0" borderId="0"/>
    <xf numFmtId="220" fontId="74" fillId="0" borderId="0"/>
    <xf numFmtId="220" fontId="74" fillId="0" borderId="0"/>
    <xf numFmtId="0" fontId="34" fillId="0" borderId="0"/>
    <xf numFmtId="220" fontId="7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34" fillId="0" borderId="0"/>
    <xf numFmtId="22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22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22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220" fontId="74" fillId="0" borderId="0"/>
    <xf numFmtId="220" fontId="74" fillId="0" borderId="0"/>
    <xf numFmtId="0" fontId="3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74" fillId="0" borderId="0"/>
    <xf numFmtId="0" fontId="34" fillId="0" borderId="0"/>
    <xf numFmtId="0" fontId="34" fillId="0" borderId="0"/>
    <xf numFmtId="0" fontId="34" fillId="0" borderId="0"/>
    <xf numFmtId="221" fontId="74" fillId="0" borderId="0"/>
    <xf numFmtId="220" fontId="74" fillId="0" borderId="0"/>
    <xf numFmtId="0" fontId="34" fillId="0" borderId="0"/>
    <xf numFmtId="0" fontId="34" fillId="0" borderId="0"/>
    <xf numFmtId="0" fontId="34" fillId="0" borderId="0"/>
    <xf numFmtId="220" fontId="74" fillId="0" borderId="0"/>
    <xf numFmtId="22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220" fontId="74" fillId="0" borderId="0"/>
    <xf numFmtId="0" fontId="34" fillId="0" borderId="0"/>
    <xf numFmtId="220" fontId="74" fillId="0" borderId="0"/>
    <xf numFmtId="220" fontId="74" fillId="0" borderId="0"/>
    <xf numFmtId="22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0" fontId="34" fillId="0" borderId="0"/>
    <xf numFmtId="22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221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220" fontId="74" fillId="0" borderId="0"/>
    <xf numFmtId="0" fontId="34" fillId="0" borderId="0"/>
    <xf numFmtId="220" fontId="74" fillId="0" borderId="0"/>
    <xf numFmtId="0" fontId="34" fillId="0" borderId="0"/>
    <xf numFmtId="0" fontId="34" fillId="0" borderId="0"/>
    <xf numFmtId="0" fontId="34" fillId="0" borderId="0"/>
    <xf numFmtId="220" fontId="74" fillId="0" borderId="0"/>
    <xf numFmtId="220" fontId="74" fillId="0" borderId="0"/>
    <xf numFmtId="220" fontId="74" fillId="0" borderId="0"/>
    <xf numFmtId="0" fontId="34" fillId="0" borderId="0"/>
    <xf numFmtId="0" fontId="34" fillId="0" borderId="0"/>
    <xf numFmtId="220" fontId="74" fillId="0" borderId="0"/>
    <xf numFmtId="0" fontId="34" fillId="0" borderId="0"/>
    <xf numFmtId="0" fontId="34" fillId="0" borderId="0"/>
    <xf numFmtId="221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74" fillId="0" borderId="0"/>
    <xf numFmtId="0" fontId="34" fillId="0" borderId="0"/>
    <xf numFmtId="0" fontId="74" fillId="0" borderId="0"/>
    <xf numFmtId="0" fontId="34" fillId="0" borderId="0"/>
    <xf numFmtId="0" fontId="74" fillId="0" borderId="0"/>
    <xf numFmtId="0" fontId="34" fillId="0" borderId="0"/>
    <xf numFmtId="0" fontId="74" fillId="0" borderId="0"/>
    <xf numFmtId="0" fontId="3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3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22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1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1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0" fontId="34" fillId="0" borderId="0"/>
    <xf numFmtId="220" fontId="74" fillId="0" borderId="0"/>
    <xf numFmtId="220" fontId="74" fillId="0" borderId="0"/>
    <xf numFmtId="22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39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1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34" fillId="0" borderId="0"/>
    <xf numFmtId="220" fontId="34" fillId="0" borderId="0"/>
    <xf numFmtId="22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22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1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1" fontId="34" fillId="0" borderId="0"/>
    <xf numFmtId="220" fontId="34" fillId="0" borderId="0"/>
    <xf numFmtId="220" fontId="34" fillId="0" borderId="0"/>
    <xf numFmtId="220" fontId="34" fillId="0" borderId="0"/>
    <xf numFmtId="0" fontId="34" fillId="0" borderId="0"/>
    <xf numFmtId="221" fontId="7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221" fontId="7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220" fontId="34" fillId="0" borderId="0"/>
    <xf numFmtId="0" fontId="34" fillId="0" borderId="0"/>
    <xf numFmtId="221" fontId="34" fillId="0" borderId="0"/>
    <xf numFmtId="0" fontId="34" fillId="0" borderId="0"/>
    <xf numFmtId="0" fontId="34" fillId="0" borderId="0"/>
    <xf numFmtId="220" fontId="34" fillId="0" borderId="0"/>
    <xf numFmtId="221" fontId="34" fillId="0" borderId="0"/>
    <xf numFmtId="220" fontId="34" fillId="0" borderId="0"/>
    <xf numFmtId="0" fontId="34" fillId="0" borderId="0"/>
    <xf numFmtId="220" fontId="34" fillId="0" borderId="0"/>
    <xf numFmtId="0" fontId="34" fillId="0" borderId="0"/>
    <xf numFmtId="220" fontId="34" fillId="0" borderId="0"/>
    <xf numFmtId="220" fontId="34" fillId="0" borderId="0"/>
    <xf numFmtId="220" fontId="34" fillId="0" borderId="0"/>
    <xf numFmtId="0" fontId="34" fillId="0" borderId="0"/>
    <xf numFmtId="220" fontId="34" fillId="0" borderId="0"/>
    <xf numFmtId="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1" fontId="74" fillId="0" borderId="0"/>
    <xf numFmtId="0" fontId="23" fillId="0" borderId="0"/>
    <xf numFmtId="0" fontId="23" fillId="0" borderId="0"/>
    <xf numFmtId="0" fontId="23" fillId="0" borderId="0"/>
    <xf numFmtId="0" fontId="34" fillId="0" borderId="0">
      <alignment vertical="top"/>
    </xf>
    <xf numFmtId="220" fontId="34" fillId="0" borderId="0"/>
    <xf numFmtId="220" fontId="34" fillId="0" borderId="0"/>
    <xf numFmtId="220" fontId="34" fillId="0" borderId="0"/>
    <xf numFmtId="220" fontId="34" fillId="0" borderId="0"/>
    <xf numFmtId="220" fontId="34" fillId="0" borderId="0"/>
    <xf numFmtId="221" fontId="34" fillId="0" borderId="0"/>
    <xf numFmtId="220" fontId="34" fillId="0" borderId="0"/>
    <xf numFmtId="220" fontId="34" fillId="0" borderId="0"/>
    <xf numFmtId="220" fontId="34" fillId="0" borderId="0"/>
    <xf numFmtId="0" fontId="23" fillId="0" borderId="0"/>
    <xf numFmtId="0" fontId="74" fillId="0" borderId="0"/>
    <xf numFmtId="221" fontId="74" fillId="0" borderId="0"/>
    <xf numFmtId="220" fontId="34" fillId="0" borderId="0"/>
    <xf numFmtId="0" fontId="34" fillId="0" borderId="0"/>
    <xf numFmtId="221" fontId="34" fillId="0" borderId="0"/>
    <xf numFmtId="220" fontId="34" fillId="0" borderId="0"/>
    <xf numFmtId="221" fontId="34" fillId="0" borderId="0"/>
    <xf numFmtId="220" fontId="34" fillId="0" borderId="0"/>
    <xf numFmtId="220" fontId="34" fillId="0" borderId="0"/>
    <xf numFmtId="220" fontId="34" fillId="0" borderId="0"/>
    <xf numFmtId="184" fontId="3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7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4" fillId="0" borderId="0"/>
    <xf numFmtId="0" fontId="34" fillId="0" borderId="0"/>
    <xf numFmtId="0" fontId="34" fillId="0" borderId="0"/>
    <xf numFmtId="0" fontId="74" fillId="0" borderId="0"/>
    <xf numFmtId="0" fontId="74" fillId="0" borderId="0"/>
    <xf numFmtId="0" fontId="23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80" fillId="0" borderId="0"/>
    <xf numFmtId="0" fontId="148" fillId="0" borderId="0"/>
    <xf numFmtId="0" fontId="176" fillId="0" borderId="0"/>
    <xf numFmtId="0" fontId="150" fillId="0" borderId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1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220" fontId="34" fillId="32" borderId="97" applyNumberFormat="0" applyFont="0" applyAlignment="0" applyProtection="0"/>
    <xf numFmtId="0" fontId="181" fillId="0" borderId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182" fillId="33" borderId="29"/>
    <xf numFmtId="1" fontId="183" fillId="0" borderId="0" applyProtection="0">
      <alignment horizontal="right" vertical="center"/>
    </xf>
    <xf numFmtId="178" fontId="184" fillId="0" borderId="55">
      <alignment vertical="center"/>
    </xf>
    <xf numFmtId="0" fontId="72" fillId="0" borderId="0"/>
    <xf numFmtId="0" fontId="57" fillId="0" borderId="0"/>
    <xf numFmtId="0" fontId="34" fillId="0" borderId="54" applyFont="0" applyFill="0" applyBorder="0" applyAlignment="0" applyProtection="0">
      <alignment horizontal="right"/>
    </xf>
    <xf numFmtId="245" fontId="128" fillId="82" borderId="0" applyFill="0" applyBorder="0" applyAlignment="0" applyProtection="0">
      <protection locked="0"/>
    </xf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246" fontId="128" fillId="82" borderId="0" applyFill="0" applyBorder="0" applyAlignment="0" applyProtection="0">
      <alignment vertical="top"/>
    </xf>
    <xf numFmtId="247" fontId="128" fillId="0" borderId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4" fillId="0" borderId="0" applyFont="0" applyFill="0" applyBorder="0" applyAlignment="0" applyProtection="0"/>
    <xf numFmtId="248" fontId="148" fillId="0" borderId="0" applyProtection="0"/>
    <xf numFmtId="249" fontId="148" fillId="0" borderId="0" applyProtection="0"/>
    <xf numFmtId="174" fontId="148" fillId="0" borderId="0" applyProtection="0"/>
    <xf numFmtId="248" fontId="148" fillId="0" borderId="0" applyProtection="0"/>
    <xf numFmtId="249" fontId="148" fillId="0" borderId="0" applyProtection="0"/>
    <xf numFmtId="174" fontId="148" fillId="0" borderId="0" applyProtection="0"/>
    <xf numFmtId="10" fontId="73" fillId="0" borderId="0" applyFont="0" applyFill="0" applyBorder="0" applyAlignment="0" applyProtection="0"/>
    <xf numFmtId="250" fontId="65" fillId="0" borderId="0">
      <protection locked="0"/>
    </xf>
    <xf numFmtId="193" fontId="65" fillId="0" borderId="0">
      <protection locked="0"/>
    </xf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65" fillId="0" borderId="0">
      <protection locked="0"/>
    </xf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10" fontId="73" fillId="0" borderId="0" applyFont="0" applyFill="0" applyBorder="0" applyAlignment="0" applyProtection="0"/>
    <xf numFmtId="0" fontId="35" fillId="22" borderId="36" applyNumberFormat="0" applyFont="0" applyBorder="0" applyAlignment="0" applyProtection="0"/>
    <xf numFmtId="0" fontId="35" fillId="22" borderId="36" applyNumberFormat="0" applyFont="0" applyBorder="0" applyAlignment="0" applyProtection="0"/>
    <xf numFmtId="0" fontId="35" fillId="22" borderId="36" applyNumberFormat="0" applyFont="0" applyBorder="0" applyAlignment="0" applyProtection="0"/>
    <xf numFmtId="0" fontId="35" fillId="22" borderId="36" applyNumberFormat="0" applyFont="0" applyBorder="0" applyAlignment="0" applyProtection="0"/>
    <xf numFmtId="0" fontId="35" fillId="22" borderId="36" applyNumberFormat="0" applyFont="0" applyBorder="0" applyAlignment="0" applyProtection="0"/>
    <xf numFmtId="0" fontId="35" fillId="22" borderId="36" applyNumberFormat="0" applyFont="0" applyBorder="0" applyAlignment="0" applyProtection="0"/>
    <xf numFmtId="180" fontId="34" fillId="0" borderId="0" applyFill="0" applyBorder="0" applyAlignment="0"/>
    <xf numFmtId="180" fontId="34" fillId="0" borderId="0" applyFill="0" applyBorder="0" applyAlignment="0"/>
    <xf numFmtId="0" fontId="34" fillId="0" borderId="0" applyFill="0" applyBorder="0" applyAlignment="0"/>
    <xf numFmtId="0" fontId="185" fillId="0" borderId="0" applyNumberFormat="0">
      <alignment horizontal="left"/>
    </xf>
    <xf numFmtId="231" fontId="34" fillId="0" borderId="0" applyNumberFormat="0" applyAlignment="0">
      <alignment horizontal="left"/>
    </xf>
    <xf numFmtId="0" fontId="74" fillId="0" borderId="0" applyNumberFormat="0" applyFont="0" applyFill="0" applyBorder="0" applyAlignment="0" applyProtection="0">
      <alignment horizontal="left"/>
    </xf>
    <xf numFmtId="15" fontId="74" fillId="0" borderId="0" applyFont="0" applyFill="0" applyBorder="0" applyAlignment="0" applyProtection="0"/>
    <xf numFmtId="4" fontId="74" fillId="0" borderId="0" applyFont="0" applyFill="0" applyBorder="0" applyAlignment="0" applyProtection="0"/>
    <xf numFmtId="0" fontId="123" fillId="0" borderId="106">
      <alignment horizontal="center"/>
    </xf>
    <xf numFmtId="3" fontId="74" fillId="0" borderId="0" applyFont="0" applyFill="0" applyBorder="0" applyAlignment="0" applyProtection="0"/>
    <xf numFmtId="0" fontId="74" fillId="28" borderId="0" applyNumberFormat="0" applyFont="0" applyBorder="0" applyAlignment="0" applyProtection="0"/>
    <xf numFmtId="3" fontId="34" fillId="0" borderId="0" applyFont="0" applyFill="0" applyBorder="0" applyAlignment="0" applyProtection="0"/>
    <xf numFmtId="3" fontId="34" fillId="0" borderId="0" applyFont="0" applyFill="0" applyBorder="0" applyAlignment="0" applyProtection="0"/>
    <xf numFmtId="3" fontId="34" fillId="0" borderId="0" applyFont="0" applyFill="0" applyBorder="0" applyAlignment="0" applyProtection="0"/>
    <xf numFmtId="0" fontId="186" fillId="0" borderId="94">
      <alignment horizontal="center" vertical="center"/>
    </xf>
    <xf numFmtId="0" fontId="187" fillId="0" borderId="107" applyBorder="0">
      <alignment vertical="top"/>
      <protection locked="0"/>
    </xf>
    <xf numFmtId="3" fontId="47" fillId="0" borderId="0" applyFill="0" applyBorder="0" applyAlignment="0" applyProtection="0"/>
    <xf numFmtId="3" fontId="47" fillId="0" borderId="0" applyFill="0" applyBorder="0" applyAlignment="0" applyProtection="0"/>
    <xf numFmtId="0" fontId="188" fillId="0" borderId="10" applyNumberFormat="0" applyFill="0" applyBorder="0" applyAlignment="0" applyProtection="0">
      <protection hidden="1"/>
    </xf>
    <xf numFmtId="38" fontId="185" fillId="0" borderId="0"/>
    <xf numFmtId="220" fontId="94" fillId="26" borderId="98" applyNumberFormat="0" applyAlignment="0" applyProtection="0"/>
    <xf numFmtId="221" fontId="94" fillId="26" borderId="98" applyNumberFormat="0" applyAlignment="0" applyProtection="0"/>
    <xf numFmtId="220" fontId="94" fillId="26" borderId="98" applyNumberFormat="0" applyAlignment="0" applyProtection="0"/>
    <xf numFmtId="220" fontId="94" fillId="26" borderId="98" applyNumberFormat="0" applyAlignment="0" applyProtection="0"/>
    <xf numFmtId="220" fontId="94" fillId="26" borderId="98" applyNumberFormat="0" applyAlignment="0" applyProtection="0"/>
    <xf numFmtId="220" fontId="94" fillId="26" borderId="98" applyNumberFormat="0" applyAlignment="0" applyProtection="0"/>
    <xf numFmtId="4" fontId="53" fillId="0" borderId="102" applyNumberFormat="0" applyProtection="0">
      <alignment vertical="center"/>
    </xf>
    <xf numFmtId="4" fontId="133" fillId="29" borderId="102" applyNumberFormat="0" applyProtection="0">
      <alignment vertical="center"/>
    </xf>
    <xf numFmtId="4" fontId="53" fillId="0" borderId="102" applyNumberFormat="0" applyProtection="0">
      <alignment horizontal="left" vertical="center" indent="1"/>
    </xf>
    <xf numFmtId="0" fontId="53" fillId="0" borderId="102" applyNumberFormat="0" applyProtection="0">
      <alignment horizontal="left" vertical="top" indent="1"/>
    </xf>
    <xf numFmtId="0" fontId="34" fillId="87" borderId="98" applyNumberFormat="0" applyProtection="0">
      <alignment horizontal="left" vertical="center" indent="1"/>
    </xf>
    <xf numFmtId="4" fontId="53" fillId="0" borderId="0" applyNumberFormat="0" applyProtection="0">
      <alignment horizontal="left" vertical="center" indent="1"/>
    </xf>
    <xf numFmtId="4" fontId="53" fillId="50" borderId="0" applyNumberFormat="0" applyProtection="0">
      <alignment horizontal="left" vertical="center" indent="1"/>
    </xf>
    <xf numFmtId="4" fontId="39" fillId="4" borderId="102" applyNumberFormat="0" applyProtection="0">
      <alignment horizontal="right" vertical="center"/>
    </xf>
    <xf numFmtId="4" fontId="39" fillId="11" borderId="102" applyNumberFormat="0" applyProtection="0">
      <alignment horizontal="right" vertical="center"/>
    </xf>
    <xf numFmtId="4" fontId="39" fillId="19" borderId="102" applyNumberFormat="0" applyProtection="0">
      <alignment horizontal="right" vertical="center"/>
    </xf>
    <xf numFmtId="4" fontId="39" fillId="13" borderId="102" applyNumberFormat="0" applyProtection="0">
      <alignment horizontal="right" vertical="center"/>
    </xf>
    <xf numFmtId="4" fontId="39" fillId="17" borderId="102" applyNumberFormat="0" applyProtection="0">
      <alignment horizontal="right" vertical="center"/>
    </xf>
    <xf numFmtId="4" fontId="39" fillId="21" borderId="102" applyNumberFormat="0" applyProtection="0">
      <alignment horizontal="right" vertical="center"/>
    </xf>
    <xf numFmtId="4" fontId="39" fillId="20" borderId="102" applyNumberFormat="0" applyProtection="0">
      <alignment horizontal="right" vertical="center"/>
    </xf>
    <xf numFmtId="4" fontId="39" fillId="48" borderId="102" applyNumberFormat="0" applyProtection="0">
      <alignment horizontal="right" vertical="center"/>
    </xf>
    <xf numFmtId="4" fontId="39" fillId="12" borderId="102" applyNumberFormat="0" applyProtection="0">
      <alignment horizontal="right" vertical="center"/>
    </xf>
    <xf numFmtId="4" fontId="39" fillId="0" borderId="0" applyNumberFormat="0" applyProtection="0">
      <alignment horizontal="left" vertical="center" indent="1"/>
    </xf>
    <xf numFmtId="4" fontId="39" fillId="0" borderId="0" applyNumberFormat="0" applyProtection="0">
      <alignment horizontal="left" vertical="center" indent="1"/>
    </xf>
    <xf numFmtId="4" fontId="39" fillId="0" borderId="0" applyNumberFormat="0" applyProtection="0">
      <alignment horizontal="left" vertical="center" indent="1"/>
    </xf>
    <xf numFmtId="4" fontId="39" fillId="0" borderId="0" applyNumberFormat="0" applyProtection="0">
      <alignment horizontal="left" vertical="center" indent="1"/>
    </xf>
    <xf numFmtId="4" fontId="134" fillId="88" borderId="0" applyNumberFormat="0" applyProtection="0">
      <alignment horizontal="left" vertical="center" indent="1"/>
    </xf>
    <xf numFmtId="4" fontId="39" fillId="50" borderId="102" applyNumberFormat="0" applyProtection="0">
      <alignment horizontal="right" vertical="center"/>
    </xf>
    <xf numFmtId="4" fontId="39" fillId="0" borderId="0" applyNumberFormat="0" applyProtection="0">
      <alignment horizontal="left" vertical="center" indent="1"/>
    </xf>
    <xf numFmtId="4" fontId="39" fillId="0" borderId="0" applyNumberFormat="0" applyProtection="0">
      <alignment horizontal="left" vertical="center" indent="1"/>
    </xf>
    <xf numFmtId="4" fontId="39" fillId="89" borderId="98" applyNumberFormat="0" applyProtection="0">
      <alignment horizontal="left" vertical="center" indent="1"/>
    </xf>
    <xf numFmtId="4" fontId="53" fillId="0" borderId="0" applyNumberFormat="0" applyProtection="0">
      <alignment horizontal="left" vertical="center" indent="1"/>
    </xf>
    <xf numFmtId="0" fontId="34" fillId="49" borderId="102" applyNumberFormat="0" applyProtection="0">
      <alignment horizontal="left" vertical="top" indent="1"/>
    </xf>
    <xf numFmtId="0" fontId="34" fillId="51" borderId="102" applyNumberFormat="0" applyProtection="0">
      <alignment horizontal="left" vertical="top" indent="1"/>
    </xf>
    <xf numFmtId="0" fontId="34" fillId="22" borderId="102" applyNumberFormat="0" applyProtection="0">
      <alignment horizontal="left" vertical="top" indent="1"/>
    </xf>
    <xf numFmtId="0" fontId="34" fillId="52" borderId="102" applyNumberFormat="0" applyProtection="0">
      <alignment horizontal="left" vertical="center" indent="1"/>
    </xf>
    <xf numFmtId="0" fontId="34" fillId="52" borderId="102" applyNumberFormat="0" applyProtection="0">
      <alignment horizontal="left" vertical="top" indent="1"/>
    </xf>
    <xf numFmtId="0" fontId="34" fillId="82" borderId="94" applyNumberFormat="0">
      <protection locked="0"/>
    </xf>
    <xf numFmtId="4" fontId="39" fillId="23" borderId="102" applyNumberFormat="0" applyProtection="0">
      <alignment vertical="center"/>
    </xf>
    <xf numFmtId="4" fontId="135" fillId="23" borderId="102" applyNumberFormat="0" applyProtection="0">
      <alignment vertical="center"/>
    </xf>
    <xf numFmtId="4" fontId="39" fillId="23" borderId="102" applyNumberFormat="0" applyProtection="0">
      <alignment horizontal="left" vertical="center" indent="1"/>
    </xf>
    <xf numFmtId="0" fontId="39" fillId="23" borderId="102" applyNumberFormat="0" applyProtection="0">
      <alignment horizontal="left" vertical="top" indent="1"/>
    </xf>
    <xf numFmtId="4" fontId="135" fillId="0" borderId="102" applyNumberFormat="0" applyProtection="0">
      <alignment horizontal="right" vertical="center"/>
    </xf>
    <xf numFmtId="0" fontId="189" fillId="0" borderId="0"/>
    <xf numFmtId="4" fontId="124" fillId="0" borderId="0" applyNumberFormat="0" applyProtection="0">
      <alignment horizontal="left" vertical="center" indent="1"/>
    </xf>
    <xf numFmtId="4" fontId="190" fillId="90" borderId="98" applyNumberFormat="0" applyProtection="0">
      <alignment horizontal="right" vertical="center"/>
    </xf>
    <xf numFmtId="4" fontId="34" fillId="0" borderId="102" applyNumberFormat="0" applyProtection="0">
      <alignment horizontal="right" vertical="center"/>
    </xf>
    <xf numFmtId="4" fontId="34" fillId="0" borderId="102" applyNumberFormat="0" applyProtection="0">
      <alignment horizontal="right" vertical="center"/>
    </xf>
    <xf numFmtId="4" fontId="190" fillId="90" borderId="98" applyNumberFormat="0" applyProtection="0">
      <alignment horizontal="right" vertical="center"/>
    </xf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38" fontId="74" fillId="0" borderId="0" applyFont="0" applyFill="0" applyBorder="0" applyAlignment="0" applyProtection="0"/>
    <xf numFmtId="192" fontId="97" fillId="0" borderId="0">
      <protection locked="0"/>
    </xf>
    <xf numFmtId="192" fontId="97" fillId="0" borderId="0">
      <protection locked="0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121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2" fillId="0" borderId="0" applyFont="0" applyFill="0" applyBorder="0" applyAlignment="0" applyProtection="0"/>
    <xf numFmtId="43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202" fontId="34" fillId="0" borderId="0" applyFont="0" applyFill="0" applyBorder="0" applyAlignment="0" applyProtection="0"/>
    <xf numFmtId="14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4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4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14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51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4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4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4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4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9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39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45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202" fontId="34" fillId="0" borderId="0" applyFont="0" applyFill="0" applyBorder="0" applyAlignment="0" applyProtection="0"/>
    <xf numFmtId="38" fontId="74" fillId="35" borderId="0" applyNumberFormat="0" applyFont="0" applyBorder="0" applyAlignment="0" applyProtection="0"/>
    <xf numFmtId="0" fontId="107" fillId="0" borderId="0" applyNumberFormat="0" applyFill="0" applyBorder="0" applyAlignment="0" applyProtection="0"/>
    <xf numFmtId="0" fontId="34" fillId="0" borderId="108"/>
    <xf numFmtId="0" fontId="39" fillId="0" borderId="0">
      <alignment vertical="top"/>
    </xf>
    <xf numFmtId="0" fontId="39" fillId="0" borderId="0">
      <alignment vertical="top"/>
    </xf>
    <xf numFmtId="0" fontId="34" fillId="0" borderId="94" applyNumberFormat="0" applyFont="0" applyFill="0" applyProtection="0">
      <alignment horizontal="center"/>
    </xf>
    <xf numFmtId="22" fontId="34" fillId="0" borderId="94" applyFont="0" applyFill="0" applyProtection="0">
      <alignment horizontal="center"/>
    </xf>
    <xf numFmtId="0" fontId="35" fillId="9" borderId="94" applyNumberFormat="0" applyProtection="0">
      <alignment horizontal="center"/>
    </xf>
    <xf numFmtId="0" fontId="191" fillId="38" borderId="94" applyNumberFormat="0" applyProtection="0">
      <alignment horizontal="right"/>
    </xf>
    <xf numFmtId="4" fontId="34" fillId="0" borderId="94" applyFon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4" fillId="91" borderId="0"/>
    <xf numFmtId="0" fontId="34" fillId="0" borderId="0" applyFill="0" applyBorder="0" applyAlignment="0" applyProtection="0"/>
    <xf numFmtId="0" fontId="34" fillId="0" borderId="0" applyFill="0" applyBorder="0" applyAlignment="0" applyProtection="0"/>
    <xf numFmtId="0" fontId="34" fillId="0" borderId="0" applyFill="0" applyBorder="0" applyAlignment="0" applyProtection="0"/>
    <xf numFmtId="0" fontId="34" fillId="0" borderId="0" applyFill="0" applyBorder="0" applyAlignment="0" applyProtection="0"/>
    <xf numFmtId="166" fontId="34" fillId="0" borderId="0"/>
    <xf numFmtId="0" fontId="34" fillId="0" borderId="109"/>
    <xf numFmtId="0" fontId="192" fillId="0" borderId="0" applyBorder="0" applyProtection="0">
      <alignment vertical="center"/>
    </xf>
    <xf numFmtId="0" fontId="148" fillId="0" borderId="53" applyBorder="0" applyProtection="0">
      <alignment horizontal="right" vertical="center"/>
    </xf>
    <xf numFmtId="0" fontId="193" fillId="92" borderId="0" applyBorder="0" applyProtection="0">
      <alignment horizontal="centerContinuous" vertical="center"/>
    </xf>
    <xf numFmtId="0" fontId="193" fillId="93" borderId="53" applyBorder="0" applyProtection="0">
      <alignment horizontal="centerContinuous" vertical="center"/>
    </xf>
    <xf numFmtId="0" fontId="194" fillId="0" borderId="0" applyFill="0" applyBorder="0" applyProtection="0">
      <alignment horizontal="left"/>
    </xf>
    <xf numFmtId="0" fontId="168" fillId="0" borderId="20" applyFill="0" applyBorder="0" applyProtection="0">
      <alignment horizontal="left" vertical="top"/>
    </xf>
    <xf numFmtId="0" fontId="195" fillId="0" borderId="0"/>
    <xf numFmtId="0" fontId="48" fillId="0" borderId="0"/>
    <xf numFmtId="0" fontId="196" fillId="0" borderId="0" applyNumberFormat="0" applyFill="0" applyBorder="0" applyAlignment="0" applyProtection="0"/>
    <xf numFmtId="49" fontId="39" fillId="0" borderId="0" applyFill="0" applyBorder="0" applyAlignment="0"/>
    <xf numFmtId="0" fontId="34" fillId="0" borderId="0" applyFill="0" applyBorder="0" applyAlignment="0"/>
    <xf numFmtId="0" fontId="34" fillId="0" borderId="0" applyFill="0" applyBorder="0" applyAlignment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220" fontId="77" fillId="0" borderId="0" applyNumberFormat="0" applyFill="0" applyBorder="0" applyAlignment="0" applyProtection="0"/>
    <xf numFmtId="221" fontId="77" fillId="0" borderId="0" applyNumberFormat="0" applyFill="0" applyBorder="0" applyAlignment="0" applyProtection="0"/>
    <xf numFmtId="221" fontId="77" fillId="0" borderId="0" applyNumberFormat="0" applyFill="0" applyBorder="0" applyAlignment="0" applyProtection="0"/>
    <xf numFmtId="220" fontId="77" fillId="0" borderId="0" applyNumberFormat="0" applyFill="0" applyBorder="0" applyAlignment="0" applyProtection="0"/>
    <xf numFmtId="221" fontId="77" fillId="0" borderId="0" applyNumberFormat="0" applyFill="0" applyBorder="0" applyAlignment="0" applyProtection="0"/>
    <xf numFmtId="220" fontId="77" fillId="0" borderId="0" applyNumberFormat="0" applyFill="0" applyBorder="0" applyAlignment="0" applyProtection="0"/>
    <xf numFmtId="220" fontId="77" fillId="0" borderId="0" applyNumberFormat="0" applyFill="0" applyBorder="0" applyAlignment="0" applyProtection="0"/>
    <xf numFmtId="220" fontId="77" fillId="0" borderId="0" applyNumberFormat="0" applyFill="0" applyBorder="0" applyAlignment="0" applyProtection="0"/>
    <xf numFmtId="220" fontId="77" fillId="0" borderId="0" applyNumberFormat="0" applyFill="0" applyBorder="0" applyAlignment="0" applyProtection="0"/>
    <xf numFmtId="220" fontId="77" fillId="0" borderId="0" applyNumberForma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40" fontId="197" fillId="0" borderId="0"/>
    <xf numFmtId="184" fontId="103" fillId="0" borderId="0" applyNumberFormat="0" applyFill="0" applyBorder="0" applyAlignment="0" applyProtection="0"/>
    <xf numFmtId="220" fontId="105" fillId="0" borderId="25" applyNumberFormat="0" applyFill="0" applyAlignment="0" applyProtection="0"/>
    <xf numFmtId="221" fontId="105" fillId="0" borderId="25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5" applyNumberFormat="0" applyFill="0" applyAlignment="0" applyProtection="0"/>
    <xf numFmtId="221" fontId="105" fillId="0" borderId="25" applyNumberFormat="0" applyFill="0" applyAlignment="0" applyProtection="0"/>
    <xf numFmtId="220" fontId="105" fillId="0" borderId="25" applyNumberFormat="0" applyFill="0" applyAlignment="0" applyProtection="0"/>
    <xf numFmtId="220" fontId="105" fillId="0" borderId="25" applyNumberFormat="0" applyFill="0" applyAlignment="0" applyProtection="0"/>
    <xf numFmtId="220" fontId="105" fillId="0" borderId="25" applyNumberFormat="0" applyFill="0" applyAlignment="0" applyProtection="0"/>
    <xf numFmtId="220" fontId="105" fillId="0" borderId="25" applyNumberFormat="0" applyFill="0" applyAlignment="0" applyProtection="0"/>
    <xf numFmtId="220" fontId="105" fillId="0" borderId="25" applyNumberFormat="0" applyFill="0" applyAlignment="0" applyProtection="0"/>
    <xf numFmtId="220" fontId="103" fillId="0" borderId="0" applyNumberFormat="0" applyFill="0" applyBorder="0" applyAlignment="0" applyProtection="0"/>
    <xf numFmtId="220" fontId="103" fillId="0" borderId="0" applyNumberFormat="0" applyFill="0" applyBorder="0" applyAlignment="0" applyProtection="0"/>
    <xf numFmtId="220" fontId="103" fillId="0" borderId="0" applyNumberFormat="0" applyFill="0" applyBorder="0" applyAlignment="0" applyProtection="0"/>
    <xf numFmtId="220" fontId="103" fillId="0" borderId="0" applyNumberFormat="0" applyFill="0" applyBorder="0" applyAlignment="0" applyProtection="0"/>
    <xf numFmtId="220" fontId="106" fillId="0" borderId="26" applyNumberFormat="0" applyFill="0" applyAlignment="0" applyProtection="0"/>
    <xf numFmtId="221" fontId="106" fillId="0" borderId="26" applyNumberFormat="0" applyFill="0" applyAlignment="0" applyProtection="0"/>
    <xf numFmtId="0" fontId="85" fillId="0" borderId="0" applyNumberFormat="0" applyFill="0" applyBorder="0" applyAlignment="0" applyProtection="0"/>
    <xf numFmtId="221" fontId="106" fillId="0" borderId="26" applyNumberFormat="0" applyFill="0" applyAlignment="0" applyProtection="0"/>
    <xf numFmtId="221" fontId="106" fillId="0" borderId="26" applyNumberFormat="0" applyFill="0" applyAlignment="0" applyProtection="0"/>
    <xf numFmtId="220" fontId="106" fillId="0" borderId="26" applyNumberFormat="0" applyFill="0" applyAlignment="0" applyProtection="0"/>
    <xf numFmtId="220" fontId="106" fillId="0" borderId="26" applyNumberFormat="0" applyFill="0" applyAlignment="0" applyProtection="0"/>
    <xf numFmtId="220" fontId="106" fillId="0" borderId="26" applyNumberFormat="0" applyFill="0" applyAlignment="0" applyProtection="0"/>
    <xf numFmtId="220" fontId="106" fillId="0" borderId="26" applyNumberFormat="0" applyFill="0" applyAlignment="0" applyProtection="0"/>
    <xf numFmtId="220" fontId="106" fillId="0" borderId="26" applyNumberFormat="0" applyFill="0" applyAlignment="0" applyProtection="0"/>
    <xf numFmtId="220" fontId="86" fillId="0" borderId="18" applyNumberFormat="0" applyFill="0" applyAlignment="0" applyProtection="0"/>
    <xf numFmtId="221" fontId="86" fillId="0" borderId="18" applyNumberFormat="0" applyFill="0" applyAlignment="0" applyProtection="0"/>
    <xf numFmtId="221" fontId="86" fillId="0" borderId="18" applyNumberFormat="0" applyFill="0" applyAlignment="0" applyProtection="0"/>
    <xf numFmtId="220" fontId="86" fillId="0" borderId="18" applyNumberFormat="0" applyFill="0" applyAlignment="0" applyProtection="0"/>
    <xf numFmtId="221" fontId="86" fillId="0" borderId="18" applyNumberFormat="0" applyFill="0" applyAlignment="0" applyProtection="0"/>
    <xf numFmtId="220" fontId="86" fillId="0" borderId="18" applyNumberFormat="0" applyFill="0" applyAlignment="0" applyProtection="0"/>
    <xf numFmtId="220" fontId="86" fillId="0" borderId="18" applyNumberFormat="0" applyFill="0" applyAlignment="0" applyProtection="0"/>
    <xf numFmtId="220" fontId="86" fillId="0" borderId="18" applyNumberFormat="0" applyFill="0" applyAlignment="0" applyProtection="0"/>
    <xf numFmtId="220" fontId="86" fillId="0" borderId="18" applyNumberFormat="0" applyFill="0" applyAlignment="0" applyProtection="0"/>
    <xf numFmtId="220" fontId="86" fillId="0" borderId="18" applyNumberFormat="0" applyFill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221" fontId="103" fillId="0" borderId="0" applyNumberFormat="0" applyFill="0" applyBorder="0" applyAlignment="0" applyProtection="0"/>
    <xf numFmtId="221" fontId="103" fillId="0" borderId="0" applyNumberFormat="0" applyFill="0" applyBorder="0" applyAlignment="0" applyProtection="0"/>
    <xf numFmtId="220" fontId="103" fillId="0" borderId="0" applyNumberFormat="0" applyFill="0" applyBorder="0" applyAlignment="0" applyProtection="0"/>
    <xf numFmtId="221" fontId="103" fillId="0" borderId="0" applyNumberFormat="0" applyFill="0" applyBorder="0" applyAlignment="0" applyProtection="0"/>
    <xf numFmtId="220" fontId="103" fillId="0" borderId="0" applyNumberFormat="0" applyFill="0" applyBorder="0" applyAlignment="0" applyProtection="0"/>
    <xf numFmtId="220" fontId="103" fillId="0" borderId="0" applyNumberFormat="0" applyFill="0" applyBorder="0" applyAlignment="0" applyProtection="0"/>
    <xf numFmtId="192" fontId="166" fillId="0" borderId="0">
      <protection locked="0"/>
    </xf>
    <xf numFmtId="192" fontId="166" fillId="0" borderId="0">
      <protection locked="0"/>
    </xf>
    <xf numFmtId="0" fontId="34" fillId="91" borderId="0"/>
    <xf numFmtId="0" fontId="185" fillId="26" borderId="10"/>
    <xf numFmtId="178" fontId="198" fillId="0" borderId="0">
      <alignment horizontal="left"/>
      <protection locked="0"/>
    </xf>
    <xf numFmtId="252" fontId="34" fillId="0" borderId="60" applyFont="0" applyFill="0" applyBorder="0" applyProtection="0">
      <alignment horizontal="center"/>
      <protection locked="0"/>
    </xf>
    <xf numFmtId="252" fontId="34" fillId="0" borderId="60" applyFont="0" applyFill="0" applyBorder="0" applyProtection="0">
      <alignment horizontal="center"/>
      <protection locked="0"/>
    </xf>
    <xf numFmtId="252" fontId="34" fillId="0" borderId="60" applyFont="0" applyFill="0" applyBorder="0" applyProtection="0">
      <alignment horizontal="center"/>
      <protection locked="0"/>
    </xf>
    <xf numFmtId="253" fontId="35" fillId="0" borderId="63" applyFont="0" applyFill="0" applyBorder="0" applyProtection="0">
      <alignment horizontal="center"/>
    </xf>
    <xf numFmtId="38" fontId="34" fillId="0" borderId="94" applyFont="0" applyFill="0" applyBorder="0" applyAlignment="0" applyProtection="0">
      <protection locked="0"/>
    </xf>
    <xf numFmtId="38" fontId="34" fillId="0" borderId="94" applyFont="0" applyFill="0" applyBorder="0" applyAlignment="0" applyProtection="0">
      <protection locked="0"/>
    </xf>
    <xf numFmtId="38" fontId="34" fillId="0" borderId="94" applyFont="0" applyFill="0" applyBorder="0" applyAlignment="0" applyProtection="0">
      <protection locked="0"/>
    </xf>
    <xf numFmtId="15" fontId="34" fillId="0" borderId="94" applyFont="0" applyFill="0" applyBorder="0" applyProtection="0">
      <alignment horizontal="center"/>
      <protection locked="0"/>
    </xf>
    <xf numFmtId="15" fontId="34" fillId="0" borderId="94" applyFont="0" applyFill="0" applyBorder="0" applyProtection="0">
      <alignment horizontal="center"/>
      <protection locked="0"/>
    </xf>
    <xf numFmtId="15" fontId="34" fillId="0" borderId="94" applyFont="0" applyFill="0" applyBorder="0" applyProtection="0">
      <alignment horizontal="center"/>
      <protection locked="0"/>
    </xf>
    <xf numFmtId="10" fontId="34" fillId="0" borderId="94" applyFont="0" applyFill="0" applyBorder="0" applyProtection="0">
      <alignment horizontal="center"/>
      <protection locked="0"/>
    </xf>
    <xf numFmtId="10" fontId="34" fillId="0" borderId="94" applyFont="0" applyFill="0" applyBorder="0" applyProtection="0">
      <alignment horizontal="center"/>
      <protection locked="0"/>
    </xf>
    <xf numFmtId="10" fontId="34" fillId="0" borderId="94" applyFont="0" applyFill="0" applyBorder="0" applyProtection="0">
      <alignment horizontal="center"/>
      <protection locked="0"/>
    </xf>
    <xf numFmtId="197" fontId="34" fillId="0" borderId="94" applyFont="0" applyFill="0" applyBorder="0" applyProtection="0">
      <alignment horizontal="center"/>
    </xf>
    <xf numFmtId="197" fontId="34" fillId="0" borderId="94" applyFont="0" applyFill="0" applyBorder="0" applyProtection="0">
      <alignment horizontal="center"/>
    </xf>
    <xf numFmtId="197" fontId="34" fillId="0" borderId="94" applyFont="0" applyFill="0" applyBorder="0" applyProtection="0">
      <alignment horizontal="center"/>
    </xf>
    <xf numFmtId="37" fontId="46" fillId="29" borderId="0" applyNumberFormat="0" applyBorder="0" applyAlignment="0" applyProtection="0"/>
    <xf numFmtId="37" fontId="46" fillId="29" borderId="0" applyNumberFormat="0" applyBorder="0" applyAlignment="0" applyProtection="0"/>
    <xf numFmtId="37" fontId="46" fillId="29" borderId="0" applyNumberFormat="0" applyBorder="0" applyAlignment="0" applyProtection="0"/>
    <xf numFmtId="37" fontId="46" fillId="29" borderId="0" applyNumberFormat="0" applyBorder="0" applyAlignment="0" applyProtection="0"/>
    <xf numFmtId="37" fontId="46" fillId="0" borderId="0"/>
    <xf numFmtId="37" fontId="46" fillId="0" borderId="0"/>
    <xf numFmtId="37" fontId="46" fillId="0" borderId="0"/>
    <xf numFmtId="37" fontId="46" fillId="29" borderId="0" applyNumberFormat="0" applyBorder="0" applyAlignment="0" applyProtection="0"/>
    <xf numFmtId="0" fontId="199" fillId="0" borderId="0">
      <alignment vertical="top"/>
    </xf>
    <xf numFmtId="37" fontId="200" fillId="0" borderId="0">
      <protection locked="0"/>
    </xf>
    <xf numFmtId="193" fontId="65" fillId="0" borderId="0">
      <protection locked="0"/>
    </xf>
    <xf numFmtId="193" fontId="65" fillId="0" borderId="0">
      <protection locked="0"/>
    </xf>
    <xf numFmtId="194" fontId="65" fillId="0" borderId="0">
      <protection locked="0"/>
    </xf>
    <xf numFmtId="194" fontId="65" fillId="0" borderId="0">
      <protection locked="0"/>
    </xf>
    <xf numFmtId="189" fontId="148" fillId="0" borderId="0" applyFont="0" applyFill="0" applyBorder="0" applyAlignment="0" applyProtection="0"/>
    <xf numFmtId="189" fontId="148" fillId="0" borderId="0" applyFont="0" applyFill="0" applyBorder="0" applyAlignment="0" applyProtection="0"/>
    <xf numFmtId="202" fontId="34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32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2" fillId="0" borderId="0" applyFont="0" applyFill="0" applyBorder="0" applyAlignment="0" applyProtection="0"/>
    <xf numFmtId="3" fontId="34" fillId="0" borderId="0" applyFont="0" applyFill="0" applyBorder="0" applyAlignment="0" applyProtection="0"/>
    <xf numFmtId="2" fontId="73" fillId="0" borderId="0" applyFont="0" applyFill="0" applyBorder="0" applyAlignment="0" applyProtection="0"/>
    <xf numFmtId="235" fontId="120" fillId="0" borderId="0" applyFill="0"/>
    <xf numFmtId="0" fontId="201" fillId="0" borderId="0" applyNumberFormat="0" applyFill="0" applyBorder="0" applyAlignment="0" applyProtection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3" fillId="0" borderId="0"/>
    <xf numFmtId="0" fontId="203" fillId="0" borderId="0" applyFont="0" applyFill="0" applyBorder="0" applyAlignment="0" applyProtection="0"/>
    <xf numFmtId="0" fontId="203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204" fillId="0" borderId="0"/>
    <xf numFmtId="43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168" fontId="32" fillId="0" borderId="0" applyFont="0" applyFill="0" applyBorder="0" applyAlignment="0" applyProtection="0"/>
    <xf numFmtId="0" fontId="34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0" fontId="206" fillId="0" borderId="0"/>
    <xf numFmtId="0" fontId="21" fillId="0" borderId="0"/>
    <xf numFmtId="0" fontId="115" fillId="0" borderId="0"/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9" fillId="0" borderId="0"/>
    <xf numFmtId="0" fontId="32" fillId="0" borderId="0"/>
    <xf numFmtId="0" fontId="18" fillId="0" borderId="0"/>
    <xf numFmtId="210" fontId="128" fillId="0" borderId="110" applyFont="0" applyFill="0" applyBorder="0" applyAlignment="0"/>
    <xf numFmtId="210" fontId="128" fillId="0" borderId="110" applyFont="0" applyFill="0" applyBorder="0" applyAlignment="0"/>
    <xf numFmtId="0" fontId="57" fillId="0" borderId="53" applyBorder="0"/>
    <xf numFmtId="0" fontId="57" fillId="0" borderId="53" applyBorder="0"/>
    <xf numFmtId="0" fontId="57" fillId="0" borderId="53" applyBorder="0"/>
    <xf numFmtId="0" fontId="57" fillId="0" borderId="53" applyBorder="0"/>
    <xf numFmtId="40" fontId="67" fillId="23" borderId="110">
      <alignment vertical="center"/>
    </xf>
    <xf numFmtId="40" fontId="67" fillId="23" borderId="110">
      <alignment vertical="center"/>
    </xf>
    <xf numFmtId="43" fontId="34" fillId="0" borderId="0" applyFont="0" applyFill="0" applyBorder="0" applyAlignment="0" applyProtection="0">
      <alignment wrapText="1"/>
    </xf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29" borderId="0" applyNumberFormat="0" applyFont="0" applyBorder="0" applyAlignment="0" applyProtection="0"/>
    <xf numFmtId="0" fontId="83" fillId="0" borderId="112">
      <alignment horizontal="left" vertical="center"/>
    </xf>
    <xf numFmtId="0" fontId="83" fillId="0" borderId="112">
      <alignment horizontal="left" vertical="center"/>
    </xf>
    <xf numFmtId="10" fontId="46" fillId="23" borderId="110" applyNumberFormat="0" applyBorder="0" applyAlignment="0" applyProtection="0"/>
    <xf numFmtId="10" fontId="46" fillId="23" borderId="110" applyNumberFormat="0" applyBorder="0" applyAlignment="0" applyProtection="0"/>
    <xf numFmtId="10" fontId="46" fillId="23" borderId="110" applyNumberFormat="0" applyBorder="0" applyAlignment="0" applyProtection="0"/>
    <xf numFmtId="10" fontId="46" fillId="23" borderId="110" applyNumberFormat="0" applyBorder="0" applyAlignment="0" applyProtection="0"/>
    <xf numFmtId="10" fontId="46" fillId="23" borderId="110" applyNumberFormat="0" applyBorder="0" applyAlignment="0" applyProtection="0"/>
    <xf numFmtId="10" fontId="46" fillId="23" borderId="110" applyNumberFormat="0" applyBorder="0" applyAlignment="0" applyProtection="0"/>
    <xf numFmtId="10" fontId="46" fillId="23" borderId="110" applyNumberFormat="0" applyBorder="0" applyAlignment="0" applyProtection="0"/>
    <xf numFmtId="10" fontId="46" fillId="23" borderId="110" applyNumberFormat="0" applyBorder="0" applyAlignment="0" applyProtection="0"/>
    <xf numFmtId="10" fontId="46" fillId="23" borderId="110" applyNumberFormat="0" applyBorder="0" applyAlignment="0" applyProtection="0"/>
    <xf numFmtId="10" fontId="46" fillId="23" borderId="110" applyNumberFormat="0" applyBorder="0" applyAlignment="0" applyProtection="0"/>
    <xf numFmtId="43" fontId="3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89" fillId="2" borderId="53">
      <alignment horizontal="center"/>
    </xf>
    <xf numFmtId="3" fontId="89" fillId="2" borderId="53">
      <alignment horizontal="center"/>
    </xf>
    <xf numFmtId="3" fontId="89" fillId="2" borderId="53">
      <alignment horizontal="center"/>
    </xf>
    <xf numFmtId="3" fontId="89" fillId="2" borderId="53">
      <alignment horizont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5" fillId="22" borderId="143" applyNumberFormat="0" applyFont="0" applyBorder="0" applyAlignment="0" applyProtection="0"/>
    <xf numFmtId="0" fontId="35" fillId="22" borderId="143" applyNumberFormat="0" applyFont="0" applyBorder="0" applyAlignment="0" applyProtection="0"/>
    <xf numFmtId="0" fontId="35" fillId="22" borderId="143" applyNumberFormat="0" applyFont="0" applyBorder="0" applyAlignment="0" applyProtection="0"/>
    <xf numFmtId="0" fontId="35" fillId="22" borderId="143" applyNumberFormat="0" applyFont="0" applyBorder="0" applyAlignment="0" applyProtection="0"/>
    <xf numFmtId="0" fontId="34" fillId="0" borderId="110" applyNumberFormat="0" applyProtection="0">
      <alignment horizontal="left" vertical="center" indent="1"/>
    </xf>
    <xf numFmtId="0" fontId="34" fillId="0" borderId="110" applyNumberFormat="0" applyProtection="0">
      <alignment horizontal="left" vertical="center" indent="1"/>
    </xf>
    <xf numFmtId="0" fontId="34" fillId="0" borderId="110" applyNumberFormat="0" applyProtection="0">
      <alignment horizontal="left" vertical="center" indent="1"/>
    </xf>
    <xf numFmtId="0" fontId="34" fillId="0" borderId="110" applyNumberFormat="0" applyProtection="0">
      <alignment horizontal="left" vertical="center" indent="1"/>
    </xf>
    <xf numFmtId="0" fontId="34" fillId="0" borderId="110" applyNumberFormat="0" applyProtection="0">
      <alignment horizontal="left" vertical="center" indent="1"/>
    </xf>
    <xf numFmtId="0" fontId="34" fillId="0" borderId="110" applyNumberFormat="0" applyProtection="0">
      <alignment horizontal="left" vertical="center" indent="1"/>
    </xf>
    <xf numFmtId="4" fontId="39" fillId="0" borderId="110" applyNumberFormat="0" applyProtection="0">
      <alignment horizontal="right" vertical="center"/>
    </xf>
    <xf numFmtId="4" fontId="39" fillId="0" borderId="110" applyNumberFormat="0" applyProtection="0">
      <alignment horizontal="right" vertical="center"/>
    </xf>
    <xf numFmtId="0" fontId="53" fillId="0" borderId="110" applyNumberFormat="0" applyProtection="0">
      <alignment horizontal="left" vertical="top" indent="1"/>
    </xf>
    <xf numFmtId="0" fontId="53" fillId="0" borderId="110" applyNumberFormat="0" applyProtection="0">
      <alignment horizontal="left" vertical="top" indent="1"/>
    </xf>
    <xf numFmtId="43" fontId="3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124" fillId="0" borderId="111" applyProtection="0">
      <alignment horizontal="centerContinuous"/>
    </xf>
    <xf numFmtId="0" fontId="124" fillId="0" borderId="111" applyProtection="0">
      <alignment horizontal="centerContinuous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32" fillId="0" borderId="0"/>
    <xf numFmtId="0" fontId="34" fillId="0" borderId="112" applyFont="0" applyFill="0" applyBorder="0" applyAlignment="0" applyProtection="0"/>
    <xf numFmtId="0" fontId="34" fillId="0" borderId="112" applyFont="0" applyFill="0" applyBorder="0" applyAlignment="0" applyProtection="0"/>
    <xf numFmtId="0" fontId="57" fillId="0" borderId="53" applyBorder="0"/>
    <xf numFmtId="0" fontId="57" fillId="0" borderId="53" applyBorder="0"/>
    <xf numFmtId="0" fontId="57" fillId="0" borderId="53" applyBorder="0"/>
    <xf numFmtId="0" fontId="57" fillId="0" borderId="53" applyBorder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89" fillId="2" borderId="53">
      <alignment horizontal="center"/>
    </xf>
    <xf numFmtId="3" fontId="89" fillId="2" borderId="53">
      <alignment horizontal="center"/>
    </xf>
    <xf numFmtId="3" fontId="89" fillId="2" borderId="53">
      <alignment horizontal="center"/>
    </xf>
    <xf numFmtId="3" fontId="89" fillId="2" borderId="53">
      <alignment horizont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5" fillId="22" borderId="143" applyNumberFormat="0" applyFont="0" applyBorder="0" applyAlignment="0" applyProtection="0"/>
    <xf numFmtId="0" fontId="35" fillId="22" borderId="143" applyNumberFormat="0" applyFont="0" applyBorder="0" applyAlignment="0" applyProtection="0"/>
    <xf numFmtId="0" fontId="35" fillId="22" borderId="143" applyNumberFormat="0" applyFon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/>
    <xf numFmtId="0" fontId="17" fillId="0" borderId="0"/>
    <xf numFmtId="43" fontId="17" fillId="0" borderId="0" applyFont="0" applyFill="0" applyBorder="0" applyAlignment="0" applyProtection="0"/>
    <xf numFmtId="0" fontId="16" fillId="0" borderId="0"/>
    <xf numFmtId="43" fontId="32" fillId="0" borderId="0" applyFont="0" applyFill="0" applyBorder="0" applyAlignment="0" applyProtection="0"/>
    <xf numFmtId="0" fontId="15" fillId="0" borderId="0"/>
    <xf numFmtId="0" fontId="14" fillId="0" borderId="0"/>
    <xf numFmtId="0" fontId="268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43" fontId="9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272" fillId="110" borderId="158" applyNumberFormat="0" applyAlignment="0" applyProtection="0"/>
    <xf numFmtId="9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5" fillId="0" borderId="0"/>
    <xf numFmtId="0" fontId="300" fillId="0" borderId="0" applyNumberFormat="0" applyFill="0" applyBorder="0" applyAlignment="0" applyProtection="0"/>
    <xf numFmtId="0" fontId="301" fillId="0" borderId="0" applyNumberForma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0"/>
    <xf numFmtId="43" fontId="4" fillId="0" borderId="0" applyFont="0" applyFill="0" applyBorder="0" applyAlignment="0" applyProtection="0"/>
    <xf numFmtId="0" fontId="34" fillId="0" borderId="0"/>
    <xf numFmtId="0" fontId="34" fillId="0" borderId="0"/>
    <xf numFmtId="168" fontId="3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1870">
    <xf numFmtId="0" fontId="0" fillId="0" borderId="0" xfId="0"/>
    <xf numFmtId="0" fontId="34" fillId="0" borderId="0" xfId="831"/>
    <xf numFmtId="0" fontId="34" fillId="33" borderId="0" xfId="831" applyFill="1"/>
    <xf numFmtId="0" fontId="33" fillId="33" borderId="0" xfId="801" applyFill="1" applyBorder="1" applyAlignment="1" applyProtection="1">
      <alignment horizontal="right"/>
    </xf>
    <xf numFmtId="14" fontId="34" fillId="0" borderId="0" xfId="831" applyNumberFormat="1"/>
    <xf numFmtId="0" fontId="37" fillId="33" borderId="0" xfId="831" applyFont="1" applyFill="1" applyAlignment="1">
      <alignment horizontal="left"/>
    </xf>
    <xf numFmtId="0" fontId="41" fillId="39" borderId="29" xfId="831" applyFont="1" applyFill="1" applyBorder="1" applyAlignment="1">
      <alignment horizontal="center" vertical="center"/>
    </xf>
    <xf numFmtId="14" fontId="111" fillId="0" borderId="0" xfId="831" applyNumberFormat="1" applyFont="1"/>
    <xf numFmtId="14" fontId="0" fillId="0" borderId="0" xfId="0" applyNumberFormat="1"/>
    <xf numFmtId="0" fontId="32" fillId="0" borderId="0" xfId="0" applyFont="1"/>
    <xf numFmtId="168" fontId="34" fillId="0" borderId="0" xfId="863" applyFont="1"/>
    <xf numFmtId="10" fontId="34" fillId="0" borderId="0" xfId="847" applyNumberFormat="1" applyFont="1"/>
    <xf numFmtId="0" fontId="0" fillId="41" borderId="0" xfId="0" applyFill="1"/>
    <xf numFmtId="0" fontId="45" fillId="0" borderId="0" xfId="0" applyFont="1" applyAlignment="1">
      <alignment vertical="center"/>
    </xf>
    <xf numFmtId="0" fontId="127" fillId="0" borderId="0" xfId="0" applyFont="1"/>
    <xf numFmtId="0" fontId="118" fillId="41" borderId="0" xfId="0" applyFont="1" applyFill="1"/>
    <xf numFmtId="0" fontId="32" fillId="0" borderId="0" xfId="1891" applyAlignment="1">
      <alignment vertical="top"/>
    </xf>
    <xf numFmtId="14" fontId="32" fillId="0" borderId="0" xfId="0" applyNumberFormat="1" applyFont="1"/>
    <xf numFmtId="0" fontId="32" fillId="0" borderId="0" xfId="2697"/>
    <xf numFmtId="10" fontId="45" fillId="41" borderId="0" xfId="847" applyNumberFormat="1" applyFont="1" applyFill="1" applyBorder="1"/>
    <xf numFmtId="10" fontId="45" fillId="0" borderId="0" xfId="847" applyNumberFormat="1" applyFont="1"/>
    <xf numFmtId="10" fontId="146" fillId="41" borderId="0" xfId="847" applyNumberFormat="1" applyFont="1" applyFill="1" applyBorder="1" applyAlignment="1">
      <alignment horizontal="center" vertical="center"/>
    </xf>
    <xf numFmtId="3" fontId="45" fillId="41" borderId="0" xfId="907" applyNumberFormat="1" applyFont="1" applyFill="1" applyAlignment="1">
      <alignment horizontal="center"/>
    </xf>
    <xf numFmtId="0" fontId="45" fillId="41" borderId="0" xfId="907" applyFont="1" applyFill="1"/>
    <xf numFmtId="4" fontId="45" fillId="41" borderId="0" xfId="907" applyNumberFormat="1" applyFont="1" applyFill="1"/>
    <xf numFmtId="10" fontId="45" fillId="41" borderId="0" xfId="907" applyNumberFormat="1" applyFont="1" applyFill="1"/>
    <xf numFmtId="167" fontId="45" fillId="41" borderId="0" xfId="907" applyNumberFormat="1" applyFont="1" applyFill="1"/>
    <xf numFmtId="167" fontId="139" fillId="41" borderId="0" xfId="1033" applyFont="1" applyFill="1" applyBorder="1"/>
    <xf numFmtId="167" fontId="45" fillId="41" borderId="0" xfId="815" applyFont="1" applyFill="1" applyBorder="1"/>
    <xf numFmtId="0" fontId="145" fillId="41" borderId="0" xfId="907" applyFont="1" applyFill="1"/>
    <xf numFmtId="0" fontId="112" fillId="41" borderId="0" xfId="907" applyFont="1" applyFill="1"/>
    <xf numFmtId="167" fontId="45" fillId="41" borderId="0" xfId="815" applyFont="1" applyFill="1" applyBorder="1" applyAlignment="1" applyProtection="1"/>
    <xf numFmtId="167" fontId="40" fillId="41" borderId="0" xfId="907" applyNumberFormat="1" applyFont="1" applyFill="1" applyProtection="1">
      <protection hidden="1"/>
    </xf>
    <xf numFmtId="167" fontId="40" fillId="41" borderId="0" xfId="907" applyNumberFormat="1" applyFont="1" applyFill="1" applyAlignment="1" applyProtection="1">
      <alignment horizontal="center"/>
      <protection hidden="1"/>
    </xf>
    <xf numFmtId="10" fontId="40" fillId="41" borderId="0" xfId="847" applyNumberFormat="1" applyFont="1" applyFill="1" applyBorder="1" applyAlignment="1" applyProtection="1">
      <alignment horizontal="center"/>
      <protection hidden="1"/>
    </xf>
    <xf numFmtId="0" fontId="45" fillId="41" borderId="0" xfId="43187" quotePrefix="1" applyFont="1" applyFill="1" applyAlignment="1">
      <alignment horizontal="left"/>
    </xf>
    <xf numFmtId="10" fontId="45" fillId="41" borderId="0" xfId="847" applyNumberFormat="1" applyFont="1" applyFill="1" applyBorder="1" applyAlignment="1" applyProtection="1">
      <alignment horizontal="center"/>
    </xf>
    <xf numFmtId="0" fontId="45" fillId="41" borderId="0" xfId="43187" applyFont="1" applyFill="1" applyAlignment="1">
      <alignment horizontal="left"/>
    </xf>
    <xf numFmtId="0" fontId="119" fillId="41" borderId="0" xfId="907" applyFont="1" applyFill="1" applyAlignment="1">
      <alignment horizontal="center"/>
    </xf>
    <xf numFmtId="167" fontId="145" fillId="41" borderId="0" xfId="815" applyFont="1" applyFill="1" applyBorder="1"/>
    <xf numFmtId="0" fontId="205" fillId="41" borderId="0" xfId="907" applyFont="1" applyFill="1"/>
    <xf numFmtId="10" fontId="205" fillId="41" borderId="0" xfId="847" applyNumberFormat="1" applyFont="1" applyFill="1" applyBorder="1" applyAlignment="1" applyProtection="1">
      <alignment horizontal="center"/>
      <protection hidden="1"/>
    </xf>
    <xf numFmtId="167" fontId="45" fillId="41" borderId="0" xfId="815" applyFont="1" applyFill="1" applyBorder="1" applyAlignment="1">
      <alignment horizontal="left"/>
    </xf>
    <xf numFmtId="10" fontId="112" fillId="41" borderId="0" xfId="847" applyNumberFormat="1" applyFont="1" applyFill="1" applyBorder="1" applyAlignment="1">
      <alignment horizontal="center"/>
    </xf>
    <xf numFmtId="0" fontId="45" fillId="41" borderId="0" xfId="43187" applyFont="1" applyFill="1"/>
    <xf numFmtId="10" fontId="45" fillId="41" borderId="0" xfId="847" applyNumberFormat="1" applyFont="1" applyFill="1" applyBorder="1" applyAlignment="1">
      <alignment horizontal="right"/>
    </xf>
    <xf numFmtId="167" fontId="45" fillId="41" borderId="0" xfId="815" applyFont="1" applyFill="1" applyBorder="1" applyAlignment="1">
      <alignment horizontal="left" indent="1"/>
    </xf>
    <xf numFmtId="0" fontId="45" fillId="33" borderId="0" xfId="776" applyFont="1" applyFill="1" applyAlignment="1">
      <alignment wrapText="1"/>
    </xf>
    <xf numFmtId="10" fontId="45" fillId="33" borderId="0" xfId="847" applyNumberFormat="1" applyFont="1" applyFill="1" applyBorder="1" applyAlignment="1">
      <alignment horizontal="center" wrapText="1"/>
    </xf>
    <xf numFmtId="0" fontId="45" fillId="0" borderId="0" xfId="907" applyFont="1"/>
    <xf numFmtId="0" fontId="112" fillId="0" borderId="0" xfId="907" applyFont="1" applyAlignment="1">
      <alignment horizontal="center"/>
    </xf>
    <xf numFmtId="9" fontId="40" fillId="0" borderId="0" xfId="1823" applyFont="1" applyFill="1" applyBorder="1" applyAlignment="1">
      <alignment horizontal="center" vertical="center" wrapText="1"/>
    </xf>
    <xf numFmtId="9" fontId="45" fillId="41" borderId="0" xfId="1823" applyFont="1" applyFill="1" applyBorder="1" applyAlignment="1">
      <alignment horizontal="left" vertical="center" wrapText="1"/>
    </xf>
    <xf numFmtId="37" fontId="45" fillId="41" borderId="0" xfId="905" applyNumberFormat="1" applyFont="1" applyFill="1" applyAlignment="1">
      <alignment horizontal="left"/>
    </xf>
    <xf numFmtId="167" fontId="112" fillId="41" borderId="0" xfId="815" applyFont="1" applyFill="1" applyBorder="1"/>
    <xf numFmtId="217" fontId="45" fillId="33" borderId="0" xfId="1095" applyNumberFormat="1" applyFont="1" applyFill="1" applyBorder="1" applyAlignment="1">
      <alignment horizontal="center"/>
    </xf>
    <xf numFmtId="167" fontId="45" fillId="33" borderId="0" xfId="815" applyFont="1" applyFill="1" applyBorder="1"/>
    <xf numFmtId="217" fontId="45" fillId="33" borderId="0" xfId="1718" applyNumberFormat="1" applyFont="1" applyFill="1" applyBorder="1" applyAlignment="1">
      <alignment horizontal="center"/>
    </xf>
    <xf numFmtId="10" fontId="45" fillId="33" borderId="0" xfId="1718" applyNumberFormat="1" applyFont="1" applyFill="1" applyBorder="1" applyAlignment="1">
      <alignment horizontal="center"/>
    </xf>
    <xf numFmtId="0" fontId="45" fillId="0" borderId="0" xfId="2544" applyFont="1"/>
    <xf numFmtId="167" fontId="40" fillId="38" borderId="0" xfId="815" applyFont="1" applyFill="1" applyBorder="1" applyAlignment="1">
      <alignment horizontal="center" vertical="center" wrapText="1"/>
    </xf>
    <xf numFmtId="0" fontId="45" fillId="0" borderId="0" xfId="776" applyFont="1" applyAlignment="1">
      <alignment wrapText="1"/>
    </xf>
    <xf numFmtId="217" fontId="45" fillId="0" borderId="0" xfId="1718" applyNumberFormat="1" applyFont="1" applyFill="1" applyBorder="1" applyAlignment="1">
      <alignment horizontal="center"/>
    </xf>
    <xf numFmtId="0" fontId="33" fillId="0" borderId="0" xfId="801" applyAlignment="1" applyProtection="1"/>
    <xf numFmtId="0" fontId="33" fillId="0" borderId="0" xfId="801" quotePrefix="1" applyAlignment="1" applyProtection="1"/>
    <xf numFmtId="0" fontId="45" fillId="0" borderId="0" xfId="2697" applyFont="1" applyAlignment="1">
      <alignment vertical="center"/>
    </xf>
    <xf numFmtId="172" fontId="34" fillId="0" borderId="0" xfId="863" applyNumberFormat="1" applyFont="1"/>
    <xf numFmtId="255" fontId="34" fillId="0" borderId="0" xfId="863" applyNumberFormat="1" applyFont="1"/>
    <xf numFmtId="0" fontId="207" fillId="0" borderId="0" xfId="0" applyFont="1"/>
    <xf numFmtId="168" fontId="207" fillId="0" borderId="0" xfId="863" applyFont="1"/>
    <xf numFmtId="0" fontId="207" fillId="33" borderId="0" xfId="829" applyFont="1" applyFill="1"/>
    <xf numFmtId="0" fontId="210" fillId="0" borderId="0" xfId="0" applyFont="1"/>
    <xf numFmtId="0" fontId="207" fillId="41" borderId="0" xfId="0" applyFont="1" applyFill="1"/>
    <xf numFmtId="0" fontId="211" fillId="0" borderId="0" xfId="0" applyFont="1" applyAlignment="1">
      <alignment horizontal="center"/>
    </xf>
    <xf numFmtId="0" fontId="211" fillId="0" borderId="0" xfId="0" applyFont="1"/>
    <xf numFmtId="0" fontId="213" fillId="0" borderId="0" xfId="0" applyFont="1" applyAlignment="1">
      <alignment horizontal="right" vertical="center"/>
    </xf>
    <xf numFmtId="0" fontId="207" fillId="60" borderId="0" xfId="0" applyFont="1" applyFill="1" applyAlignment="1" applyProtection="1">
      <alignment horizontal="left" wrapText="1"/>
      <protection hidden="1"/>
    </xf>
    <xf numFmtId="167" fontId="207" fillId="0" borderId="0" xfId="815" applyFont="1" applyBorder="1"/>
    <xf numFmtId="0" fontId="207" fillId="0" borderId="0" xfId="0" applyFont="1" applyAlignment="1">
      <alignment horizontal="left" indent="1"/>
    </xf>
    <xf numFmtId="10" fontId="207" fillId="0" borderId="0" xfId="847" applyNumberFormat="1" applyFont="1"/>
    <xf numFmtId="167" fontId="207" fillId="0" borderId="0" xfId="815" applyFont="1" applyFill="1" applyBorder="1"/>
    <xf numFmtId="0" fontId="207" fillId="0" borderId="0" xfId="907" applyFont="1" applyAlignment="1">
      <alignment horizontal="left" indent="1"/>
    </xf>
    <xf numFmtId="37" fontId="207" fillId="0" borderId="0" xfId="0" applyNumberFormat="1" applyFont="1"/>
    <xf numFmtId="0" fontId="208" fillId="33" borderId="0" xfId="829" applyFont="1" applyFill="1" applyAlignment="1">
      <alignment vertical="top"/>
    </xf>
    <xf numFmtId="10" fontId="213" fillId="0" borderId="0" xfId="0" applyNumberFormat="1" applyFont="1" applyAlignment="1">
      <alignment horizontal="right" vertical="top"/>
    </xf>
    <xf numFmtId="174" fontId="213" fillId="0" borderId="0" xfId="0" applyNumberFormat="1" applyFont="1" applyAlignment="1">
      <alignment horizontal="right"/>
    </xf>
    <xf numFmtId="10" fontId="213" fillId="0" borderId="0" xfId="0" applyNumberFormat="1" applyFont="1" applyAlignment="1">
      <alignment horizontal="right"/>
    </xf>
    <xf numFmtId="168" fontId="207" fillId="45" borderId="0" xfId="863" applyFont="1" applyFill="1" applyBorder="1"/>
    <xf numFmtId="168" fontId="207" fillId="41" borderId="0" xfId="863" applyFont="1" applyFill="1" applyBorder="1"/>
    <xf numFmtId="168" fontId="207" fillId="41" borderId="0" xfId="863" applyFont="1" applyFill="1" applyBorder="1" applyAlignment="1">
      <alignment horizontal="center"/>
    </xf>
    <xf numFmtId="0" fontId="211" fillId="41" borderId="0" xfId="0" applyFont="1" applyFill="1"/>
    <xf numFmtId="0" fontId="207" fillId="41" borderId="0" xfId="0" applyFont="1" applyFill="1" applyAlignment="1">
      <alignment horizontal="center"/>
    </xf>
    <xf numFmtId="168" fontId="207" fillId="0" borderId="0" xfId="0" applyNumberFormat="1" applyFont="1"/>
    <xf numFmtId="0" fontId="207" fillId="41" borderId="0" xfId="0" applyFont="1" applyFill="1" applyAlignment="1" applyProtection="1">
      <alignment horizontal="left"/>
      <protection hidden="1"/>
    </xf>
    <xf numFmtId="0" fontId="207" fillId="0" borderId="0" xfId="2697" applyFont="1"/>
    <xf numFmtId="0" fontId="216" fillId="0" borderId="0" xfId="801" applyFont="1" applyAlignment="1" applyProtection="1"/>
    <xf numFmtId="0" fontId="207" fillId="41" borderId="0" xfId="2697" applyFont="1" applyFill="1"/>
    <xf numFmtId="0" fontId="207" fillId="33" borderId="0" xfId="2697" applyFont="1" applyFill="1"/>
    <xf numFmtId="168" fontId="207" fillId="41" borderId="0" xfId="43185" applyNumberFormat="1" applyFont="1" applyFill="1" applyBorder="1" applyAlignment="1" applyProtection="1">
      <alignment horizontal="right"/>
      <protection locked="0"/>
    </xf>
    <xf numFmtId="167" fontId="207" fillId="41" borderId="29" xfId="815" applyFont="1" applyFill="1" applyBorder="1"/>
    <xf numFmtId="0" fontId="207" fillId="0" borderId="0" xfId="907" applyFont="1"/>
    <xf numFmtId="0" fontId="210" fillId="58" borderId="20" xfId="834" applyFont="1" applyFill="1" applyBorder="1" applyAlignment="1" applyProtection="1">
      <alignment horizontal="left" vertical="center"/>
    </xf>
    <xf numFmtId="0" fontId="210" fillId="58" borderId="29" xfId="834" applyFont="1" applyFill="1" applyBorder="1" applyAlignment="1" applyProtection="1">
      <alignment horizontal="left" vertical="center"/>
    </xf>
    <xf numFmtId="165" fontId="207" fillId="0" borderId="0" xfId="43184" applyFont="1" applyBorder="1"/>
    <xf numFmtId="43" fontId="207" fillId="0" borderId="0" xfId="2697" applyNumberFormat="1" applyFont="1"/>
    <xf numFmtId="165" fontId="207" fillId="0" borderId="0" xfId="2697" applyNumberFormat="1" applyFont="1"/>
    <xf numFmtId="165" fontId="211" fillId="0" borderId="0" xfId="2697" applyNumberFormat="1" applyFont="1"/>
    <xf numFmtId="167" fontId="207" fillId="0" borderId="0" xfId="815" applyFont="1"/>
    <xf numFmtId="167" fontId="207" fillId="0" borderId="0" xfId="815" applyFont="1" applyAlignment="1">
      <alignment horizontal="right"/>
    </xf>
    <xf numFmtId="10" fontId="207" fillId="0" borderId="0" xfId="847" applyNumberFormat="1" applyFont="1" applyAlignment="1">
      <alignment horizontal="right"/>
    </xf>
    <xf numFmtId="167" fontId="207" fillId="0" borderId="0" xfId="2697" applyNumberFormat="1" applyFont="1"/>
    <xf numFmtId="0" fontId="210" fillId="0" borderId="0" xfId="907" applyFont="1" applyAlignment="1">
      <alignment horizontal="left"/>
    </xf>
    <xf numFmtId="0" fontId="207" fillId="41" borderId="0" xfId="834" applyFont="1" applyFill="1" applyAlignment="1" applyProtection="1">
      <alignment horizontal="left" vertical="center" indent="2"/>
    </xf>
    <xf numFmtId="165" fontId="207" fillId="41" borderId="0" xfId="43184" applyFont="1" applyFill="1" applyBorder="1" applyAlignment="1" applyProtection="1">
      <alignment horizontal="right"/>
      <protection locked="0"/>
    </xf>
    <xf numFmtId="0" fontId="217" fillId="41" borderId="0" xfId="834" applyFont="1" applyFill="1" applyAlignment="1" applyProtection="1">
      <alignment horizontal="left" vertical="center" indent="1"/>
    </xf>
    <xf numFmtId="167" fontId="207" fillId="41" borderId="0" xfId="815" applyFont="1" applyFill="1" applyBorder="1"/>
    <xf numFmtId="10" fontId="207" fillId="0" borderId="0" xfId="847" applyNumberFormat="1" applyFont="1" applyFill="1" applyBorder="1"/>
    <xf numFmtId="0" fontId="207" fillId="97" borderId="0" xfId="0" applyFont="1" applyFill="1" applyAlignment="1" applyProtection="1">
      <alignment horizontal="left"/>
      <protection hidden="1"/>
    </xf>
    <xf numFmtId="14" fontId="207" fillId="0" borderId="0" xfId="2697" applyNumberFormat="1" applyFont="1" applyAlignment="1">
      <alignment horizontal="left"/>
    </xf>
    <xf numFmtId="165" fontId="207" fillId="45" borderId="0" xfId="863" applyNumberFormat="1" applyFont="1" applyFill="1" applyBorder="1"/>
    <xf numFmtId="0" fontId="208" fillId="33" borderId="0" xfId="829" applyFont="1" applyFill="1" applyAlignment="1">
      <alignment horizontal="right" vertical="top"/>
    </xf>
    <xf numFmtId="10" fontId="213" fillId="0" borderId="0" xfId="0" applyNumberFormat="1" applyFont="1" applyAlignment="1">
      <alignment horizontal="left" vertical="top"/>
    </xf>
    <xf numFmtId="43" fontId="207" fillId="41" borderId="0" xfId="863" applyNumberFormat="1" applyFont="1" applyFill="1" applyBorder="1" applyAlignment="1">
      <alignment horizontal="right"/>
    </xf>
    <xf numFmtId="0" fontId="207" fillId="0" borderId="0" xfId="0" applyFont="1" applyAlignment="1">
      <alignment horizontal="right"/>
    </xf>
    <xf numFmtId="0" fontId="221" fillId="0" borderId="0" xfId="0" applyFont="1"/>
    <xf numFmtId="9" fontId="209" fillId="0" borderId="0" xfId="847" applyFont="1" applyFill="1" applyBorder="1" applyAlignment="1">
      <alignment horizontal="right"/>
    </xf>
    <xf numFmtId="0" fontId="221" fillId="41" borderId="0" xfId="0" applyFont="1" applyFill="1"/>
    <xf numFmtId="43" fontId="207" fillId="41" borderId="0" xfId="0" applyNumberFormat="1" applyFont="1" applyFill="1" applyAlignment="1">
      <alignment horizontal="center"/>
    </xf>
    <xf numFmtId="0" fontId="210" fillId="0" borderId="0" xfId="907" applyFont="1"/>
    <xf numFmtId="170" fontId="207" fillId="0" borderId="0" xfId="863" applyNumberFormat="1" applyFont="1" applyBorder="1"/>
    <xf numFmtId="43" fontId="207" fillId="57" borderId="0" xfId="863" applyNumberFormat="1" applyFont="1" applyFill="1" applyBorder="1"/>
    <xf numFmtId="167" fontId="207" fillId="0" borderId="29" xfId="815" applyFont="1" applyBorder="1"/>
    <xf numFmtId="2" fontId="210" fillId="0" borderId="0" xfId="0" applyNumberFormat="1" applyFont="1"/>
    <xf numFmtId="9" fontId="207" fillId="41" borderId="0" xfId="847" applyFont="1" applyFill="1"/>
    <xf numFmtId="256" fontId="210" fillId="0" borderId="0" xfId="907" applyNumberFormat="1" applyFont="1"/>
    <xf numFmtId="168" fontId="221" fillId="0" borderId="0" xfId="0" applyNumberFormat="1" applyFont="1"/>
    <xf numFmtId="0" fontId="210" fillId="33" borderId="0" xfId="829" applyFont="1" applyFill="1" applyAlignment="1">
      <alignment horizontal="left" vertical="top"/>
    </xf>
    <xf numFmtId="0" fontId="210" fillId="0" borderId="0" xfId="0" applyFont="1" applyAlignment="1">
      <alignment horizontal="left" indent="1"/>
    </xf>
    <xf numFmtId="0" fontId="213" fillId="41" borderId="0" xfId="0" applyFont="1" applyFill="1" applyAlignment="1">
      <alignment horizontal="right" vertical="center"/>
    </xf>
    <xf numFmtId="168" fontId="207" fillId="0" borderId="0" xfId="863" applyFont="1" applyBorder="1"/>
    <xf numFmtId="43" fontId="207" fillId="0" borderId="0" xfId="0" applyNumberFormat="1" applyFont="1"/>
    <xf numFmtId="165" fontId="207" fillId="0" borderId="0" xfId="0" applyNumberFormat="1" applyFont="1"/>
    <xf numFmtId="167" fontId="207" fillId="0" borderId="0" xfId="0" applyNumberFormat="1" applyFont="1"/>
    <xf numFmtId="0" fontId="207" fillId="0" borderId="0" xfId="907" applyFont="1" applyAlignment="1">
      <alignment horizontal="left" indent="2"/>
    </xf>
    <xf numFmtId="219" fontId="220" fillId="41" borderId="0" xfId="863" applyNumberFormat="1" applyFont="1" applyFill="1" applyBorder="1"/>
    <xf numFmtId="0" fontId="212" fillId="43" borderId="0" xfId="0" applyFont="1" applyFill="1"/>
    <xf numFmtId="10" fontId="213" fillId="0" borderId="0" xfId="0" applyNumberFormat="1" applyFont="1" applyAlignment="1">
      <alignment horizontal="center" vertical="top"/>
    </xf>
    <xf numFmtId="168" fontId="207" fillId="45" borderId="0" xfId="863" applyFont="1" applyFill="1" applyBorder="1" applyAlignment="1"/>
    <xf numFmtId="10" fontId="207" fillId="41" borderId="0" xfId="847" applyNumberFormat="1" applyFont="1" applyFill="1" applyBorder="1" applyAlignment="1">
      <alignment horizontal="center"/>
    </xf>
    <xf numFmtId="0" fontId="207" fillId="33" borderId="0" xfId="831" applyFont="1" applyFill="1" applyAlignment="1">
      <alignment vertical="center"/>
    </xf>
    <xf numFmtId="10" fontId="213" fillId="0" borderId="0" xfId="2697" applyNumberFormat="1" applyFont="1" applyAlignment="1">
      <alignment horizontal="right" vertical="top"/>
    </xf>
    <xf numFmtId="0" fontId="208" fillId="33" borderId="0" xfId="831" applyFont="1" applyFill="1" applyAlignment="1">
      <alignment horizontal="left" vertical="center"/>
    </xf>
    <xf numFmtId="170" fontId="207" fillId="33" borderId="0" xfId="863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0" fontId="225" fillId="33" borderId="0" xfId="831" applyFont="1" applyFill="1" applyAlignment="1">
      <alignment horizontal="left" vertical="center"/>
    </xf>
    <xf numFmtId="0" fontId="207" fillId="33" borderId="0" xfId="831" applyFont="1" applyFill="1" applyAlignment="1">
      <alignment vertical="center" wrapText="1"/>
    </xf>
    <xf numFmtId="0" fontId="207" fillId="0" borderId="0" xfId="831" applyFont="1" applyAlignment="1">
      <alignment vertical="center"/>
    </xf>
    <xf numFmtId="176" fontId="207" fillId="0" borderId="0" xfId="863" applyNumberFormat="1" applyFont="1" applyFill="1" applyBorder="1" applyAlignment="1">
      <alignment vertical="center"/>
    </xf>
    <xf numFmtId="168" fontId="210" fillId="33" borderId="0" xfId="831" applyNumberFormat="1" applyFont="1" applyFill="1" applyAlignment="1">
      <alignment vertical="center"/>
    </xf>
    <xf numFmtId="170" fontId="210" fillId="33" borderId="0" xfId="863" applyNumberFormat="1" applyFont="1" applyFill="1" applyBorder="1" applyAlignment="1">
      <alignment vertical="center"/>
    </xf>
    <xf numFmtId="168" fontId="210" fillId="33" borderId="0" xfId="863" applyFont="1" applyFill="1" applyBorder="1" applyAlignment="1">
      <alignment vertical="center"/>
    </xf>
    <xf numFmtId="176" fontId="207" fillId="33" borderId="0" xfId="831" applyNumberFormat="1" applyFont="1" applyFill="1" applyAlignment="1">
      <alignment vertical="center"/>
    </xf>
    <xf numFmtId="0" fontId="225" fillId="0" borderId="0" xfId="831" applyFont="1" applyAlignment="1">
      <alignment horizontal="left" vertical="center"/>
    </xf>
    <xf numFmtId="0" fontId="210" fillId="0" borderId="0" xfId="831" applyFont="1" applyAlignment="1">
      <alignment horizontal="center" vertical="center"/>
    </xf>
    <xf numFmtId="4" fontId="210" fillId="0" borderId="0" xfId="831" applyNumberFormat="1" applyFont="1" applyAlignment="1">
      <alignment horizontal="right" vertical="center"/>
    </xf>
    <xf numFmtId="0" fontId="207" fillId="41" borderId="0" xfId="831" applyFont="1" applyFill="1" applyAlignment="1">
      <alignment vertical="center"/>
    </xf>
    <xf numFmtId="170" fontId="207" fillId="41" borderId="0" xfId="863" applyNumberFormat="1" applyFont="1" applyFill="1" applyBorder="1" applyAlignment="1">
      <alignment vertical="center"/>
    </xf>
    <xf numFmtId="0" fontId="207" fillId="61" borderId="0" xfId="831" applyFont="1" applyFill="1" applyAlignment="1">
      <alignment vertical="center"/>
    </xf>
    <xf numFmtId="0" fontId="226" fillId="95" borderId="113" xfId="2697" applyFont="1" applyFill="1" applyBorder="1" applyAlignment="1">
      <alignment vertical="top"/>
    </xf>
    <xf numFmtId="0" fontId="226" fillId="95" borderId="114" xfId="2697" applyFont="1" applyFill="1" applyBorder="1" applyAlignment="1">
      <alignment horizontal="right" vertical="top"/>
    </xf>
    <xf numFmtId="0" fontId="226" fillId="95" borderId="115" xfId="2697" applyFont="1" applyFill="1" applyBorder="1" applyAlignment="1">
      <alignment vertical="top"/>
    </xf>
    <xf numFmtId="0" fontId="226" fillId="95" borderId="116" xfId="2697" applyFont="1" applyFill="1" applyBorder="1" applyAlignment="1">
      <alignment vertical="top"/>
    </xf>
    <xf numFmtId="0" fontId="226" fillId="95" borderId="117" xfId="2697" applyFont="1" applyFill="1" applyBorder="1" applyAlignment="1">
      <alignment horizontal="right" vertical="top"/>
    </xf>
    <xf numFmtId="0" fontId="226" fillId="95" borderId="118" xfId="2697" applyFont="1" applyFill="1" applyBorder="1" applyAlignment="1">
      <alignment vertical="top"/>
    </xf>
    <xf numFmtId="0" fontId="210" fillId="41" borderId="0" xfId="2697" applyFont="1" applyFill="1"/>
    <xf numFmtId="2" fontId="207" fillId="41" borderId="0" xfId="0" applyNumberFormat="1" applyFont="1" applyFill="1"/>
    <xf numFmtId="170" fontId="207" fillId="41" borderId="0" xfId="863" applyNumberFormat="1" applyFont="1" applyFill="1" applyBorder="1"/>
    <xf numFmtId="0" fontId="207" fillId="41" borderId="0" xfId="0" applyFont="1" applyFill="1" applyAlignment="1">
      <alignment vertical="center"/>
    </xf>
    <xf numFmtId="168" fontId="210" fillId="41" borderId="0" xfId="863" applyFont="1" applyFill="1" applyBorder="1"/>
    <xf numFmtId="168" fontId="207" fillId="33" borderId="0" xfId="863" applyFont="1" applyFill="1" applyBorder="1" applyAlignment="1" applyProtection="1">
      <alignment horizontal="center" vertical="center"/>
      <protection locked="0"/>
    </xf>
    <xf numFmtId="0" fontId="207" fillId="0" borderId="0" xfId="831" applyFont="1"/>
    <xf numFmtId="170" fontId="227" fillId="0" borderId="0" xfId="863" applyNumberFormat="1" applyFont="1" applyAlignment="1">
      <alignment horizontal="right"/>
    </xf>
    <xf numFmtId="0" fontId="226" fillId="95" borderId="0" xfId="2697" applyFont="1" applyFill="1" applyAlignment="1">
      <alignment vertical="top"/>
    </xf>
    <xf numFmtId="0" fontId="226" fillId="95" borderId="0" xfId="2697" applyFont="1" applyFill="1" applyAlignment="1">
      <alignment horizontal="right" vertical="top"/>
    </xf>
    <xf numFmtId="0" fontId="226" fillId="95" borderId="119" xfId="2697" applyFont="1" applyFill="1" applyBorder="1" applyAlignment="1">
      <alignment vertical="top"/>
    </xf>
    <xf numFmtId="0" fontId="226" fillId="95" borderId="120" xfId="2697" applyFont="1" applyFill="1" applyBorder="1" applyAlignment="1">
      <alignment horizontal="right" vertical="top"/>
    </xf>
    <xf numFmtId="0" fontId="226" fillId="95" borderId="121" xfId="2697" applyFont="1" applyFill="1" applyBorder="1" applyAlignment="1">
      <alignment vertical="top"/>
    </xf>
    <xf numFmtId="14" fontId="207" fillId="33" borderId="0" xfId="831" applyNumberFormat="1" applyFont="1" applyFill="1" applyAlignment="1">
      <alignment vertical="center"/>
    </xf>
    <xf numFmtId="168" fontId="210" fillId="33" borderId="0" xfId="863" applyFont="1" applyFill="1" applyBorder="1" applyAlignment="1">
      <alignment horizontal="center" vertical="center"/>
    </xf>
    <xf numFmtId="4" fontId="207" fillId="33" borderId="0" xfId="831" applyNumberFormat="1" applyFont="1" applyFill="1" applyAlignment="1">
      <alignment horizontal="center" vertical="center"/>
    </xf>
    <xf numFmtId="4" fontId="207" fillId="46" borderId="0" xfId="831" applyNumberFormat="1" applyFont="1" applyFill="1" applyAlignment="1">
      <alignment horizontal="center" vertical="center"/>
    </xf>
    <xf numFmtId="168" fontId="210" fillId="54" borderId="0" xfId="903" applyFont="1" applyFill="1" applyBorder="1" applyAlignment="1">
      <alignment horizontal="right"/>
    </xf>
    <xf numFmtId="168" fontId="210" fillId="54" borderId="0" xfId="903" applyFont="1" applyFill="1" applyBorder="1" applyAlignment="1">
      <alignment horizontal="left" vertical="top" wrapText="1"/>
    </xf>
    <xf numFmtId="0" fontId="216" fillId="0" borderId="0" xfId="801" applyFont="1" applyFill="1" applyBorder="1" applyAlignment="1" applyProtection="1">
      <alignment horizontal="right" vertical="center"/>
    </xf>
    <xf numFmtId="0" fontId="216" fillId="33" borderId="0" xfId="801" applyFont="1" applyFill="1" applyBorder="1" applyAlignment="1" applyProtection="1">
      <alignment horizontal="right" vertical="center"/>
    </xf>
    <xf numFmtId="0" fontId="207" fillId="33" borderId="0" xfId="0" applyFont="1" applyFill="1" applyAlignment="1">
      <alignment vertical="center"/>
    </xf>
    <xf numFmtId="14" fontId="207" fillId="0" borderId="0" xfId="0" applyNumberFormat="1" applyFont="1"/>
    <xf numFmtId="0" fontId="207" fillId="0" borderId="20" xfId="0" applyFont="1" applyBorder="1"/>
    <xf numFmtId="167" fontId="207" fillId="0" borderId="0" xfId="815" applyFont="1" applyFill="1"/>
    <xf numFmtId="168" fontId="207" fillId="54" borderId="0" xfId="903" applyFont="1" applyFill="1" applyBorder="1" applyAlignment="1">
      <alignment horizontal="left" vertical="top"/>
    </xf>
    <xf numFmtId="215" fontId="207" fillId="54" borderId="0" xfId="903" applyNumberFormat="1" applyFont="1" applyFill="1" applyBorder="1" applyAlignment="1">
      <alignment horizontal="right"/>
    </xf>
    <xf numFmtId="168" fontId="207" fillId="41" borderId="0" xfId="903" applyFont="1" applyFill="1" applyBorder="1" applyAlignment="1">
      <alignment horizontal="left" vertical="top" wrapText="1"/>
    </xf>
    <xf numFmtId="167" fontId="207" fillId="0" borderId="0" xfId="815" applyFont="1" applyFill="1" applyBorder="1" applyAlignment="1">
      <alignment horizontal="right"/>
    </xf>
    <xf numFmtId="167" fontId="207" fillId="41" borderId="0" xfId="815" applyFont="1" applyFill="1" applyBorder="1" applyAlignment="1">
      <alignment horizontal="right"/>
    </xf>
    <xf numFmtId="0" fontId="207" fillId="0" borderId="0" xfId="832" applyFont="1"/>
    <xf numFmtId="0" fontId="208" fillId="33" borderId="0" xfId="0" applyFont="1" applyFill="1" applyAlignment="1">
      <alignment horizontal="left"/>
    </xf>
    <xf numFmtId="167" fontId="207" fillId="0" borderId="0" xfId="815" applyFont="1" applyAlignment="1">
      <alignment vertical="center"/>
    </xf>
    <xf numFmtId="167" fontId="207" fillId="41" borderId="20" xfId="815" applyFont="1" applyFill="1" applyBorder="1"/>
    <xf numFmtId="197" fontId="207" fillId="0" borderId="0" xfId="0" applyNumberFormat="1" applyFont="1"/>
    <xf numFmtId="0" fontId="213" fillId="33" borderId="0" xfId="0" applyFont="1" applyFill="1" applyAlignment="1">
      <alignment horizontal="right"/>
    </xf>
    <xf numFmtId="9" fontId="207" fillId="0" borderId="0" xfId="847" applyFont="1"/>
    <xf numFmtId="0" fontId="207" fillId="33" borderId="0" xfId="0" applyFont="1" applyFill="1"/>
    <xf numFmtId="0" fontId="207" fillId="33" borderId="20" xfId="789" applyFont="1" applyFill="1" applyBorder="1"/>
    <xf numFmtId="0" fontId="207" fillId="33" borderId="29" xfId="789" applyFont="1" applyFill="1" applyBorder="1"/>
    <xf numFmtId="10" fontId="207" fillId="33" borderId="29" xfId="847" applyNumberFormat="1" applyFont="1" applyFill="1" applyBorder="1"/>
    <xf numFmtId="17" fontId="207" fillId="0" borderId="29" xfId="0" applyNumberFormat="1" applyFont="1" applyBorder="1"/>
    <xf numFmtId="0" fontId="213" fillId="0" borderId="0" xfId="0" applyFont="1" applyAlignment="1">
      <alignment horizontal="right"/>
    </xf>
    <xf numFmtId="168" fontId="207" fillId="41" borderId="0" xfId="863" applyFont="1" applyFill="1"/>
    <xf numFmtId="168" fontId="207" fillId="41" borderId="0" xfId="863" applyFont="1" applyFill="1" applyAlignment="1">
      <alignment vertical="center"/>
    </xf>
    <xf numFmtId="167" fontId="207" fillId="41" borderId="0" xfId="815" applyFont="1" applyFill="1"/>
    <xf numFmtId="43" fontId="207" fillId="41" borderId="0" xfId="0" applyNumberFormat="1" applyFont="1" applyFill="1"/>
    <xf numFmtId="10" fontId="207" fillId="0" borderId="20" xfId="847" applyNumberFormat="1" applyFont="1" applyBorder="1" applyAlignment="1">
      <alignment horizontal="right"/>
    </xf>
    <xf numFmtId="10" fontId="207" fillId="0" borderId="20" xfId="847" applyNumberFormat="1" applyFont="1" applyFill="1" applyBorder="1" applyAlignment="1">
      <alignment horizontal="right"/>
    </xf>
    <xf numFmtId="167" fontId="207" fillId="0" borderId="20" xfId="815" applyFont="1" applyBorder="1"/>
    <xf numFmtId="167" fontId="207" fillId="0" borderId="20" xfId="815" applyFont="1" applyFill="1" applyBorder="1"/>
    <xf numFmtId="167" fontId="207" fillId="0" borderId="29" xfId="815" applyFont="1" applyFill="1" applyBorder="1"/>
    <xf numFmtId="0" fontId="210" fillId="0" borderId="0" xfId="2697" applyFont="1"/>
    <xf numFmtId="0" fontId="231" fillId="0" borderId="0" xfId="2697" applyFont="1"/>
    <xf numFmtId="10" fontId="45" fillId="41" borderId="0" xfId="847" applyNumberFormat="1" applyFont="1" applyFill="1" applyBorder="1" applyAlignment="1">
      <alignment horizontal="center"/>
    </xf>
    <xf numFmtId="0" fontId="40" fillId="55" borderId="0" xfId="834" applyFont="1" applyFill="1" applyAlignment="1" applyProtection="1">
      <alignment horizontal="center" vertical="center"/>
    </xf>
    <xf numFmtId="0" fontId="207" fillId="46" borderId="0" xfId="2697" applyFont="1" applyFill="1"/>
    <xf numFmtId="165" fontId="207" fillId="46" borderId="0" xfId="2697" applyNumberFormat="1" applyFont="1" applyFill="1"/>
    <xf numFmtId="168" fontId="0" fillId="0" borderId="0" xfId="863" applyFont="1"/>
    <xf numFmtId="168" fontId="32" fillId="0" borderId="0" xfId="863" applyFont="1"/>
    <xf numFmtId="168" fontId="233" fillId="0" borderId="0" xfId="863" applyFont="1"/>
    <xf numFmtId="0" fontId="234" fillId="0" borderId="122" xfId="0" applyFont="1" applyBorder="1"/>
    <xf numFmtId="168" fontId="234" fillId="0" borderId="122" xfId="863" applyFont="1" applyBorder="1"/>
    <xf numFmtId="14" fontId="234" fillId="0" borderId="122" xfId="0" applyNumberFormat="1" applyFont="1" applyBorder="1"/>
    <xf numFmtId="0" fontId="234" fillId="62" borderId="122" xfId="0" applyFont="1" applyFill="1" applyBorder="1"/>
    <xf numFmtId="168" fontId="234" fillId="62" borderId="122" xfId="863" applyFont="1" applyFill="1" applyBorder="1"/>
    <xf numFmtId="14" fontId="234" fillId="62" borderId="122" xfId="0" applyNumberFormat="1" applyFont="1" applyFill="1" applyBorder="1"/>
    <xf numFmtId="168" fontId="235" fillId="0" borderId="0" xfId="863" applyFont="1"/>
    <xf numFmtId="0" fontId="235" fillId="0" borderId="0" xfId="0" applyFont="1"/>
    <xf numFmtId="0" fontId="235" fillId="41" borderId="0" xfId="0" applyFont="1" applyFill="1"/>
    <xf numFmtId="0" fontId="236" fillId="41" borderId="0" xfId="0" applyFont="1" applyFill="1"/>
    <xf numFmtId="168" fontId="235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7" fillId="0" borderId="0" xfId="847" applyNumberFormat="1" applyFont="1" applyAlignment="1">
      <alignment horizontal="left"/>
    </xf>
    <xf numFmtId="257" fontId="207" fillId="0" borderId="0" xfId="847" applyNumberFormat="1" applyFont="1" applyAlignment="1">
      <alignment horizontal="left"/>
    </xf>
    <xf numFmtId="170" fontId="207" fillId="0" borderId="0" xfId="863" applyNumberFormat="1" applyFont="1" applyAlignment="1">
      <alignment horizontal="left" vertical="top"/>
    </xf>
    <xf numFmtId="170" fontId="207" fillId="41" borderId="0" xfId="863" applyNumberFormat="1" applyFont="1" applyFill="1" applyBorder="1" applyAlignment="1">
      <alignment horizontal="right"/>
    </xf>
    <xf numFmtId="262" fontId="207" fillId="0" borderId="0" xfId="847" applyNumberFormat="1" applyFont="1" applyBorder="1"/>
    <xf numFmtId="262" fontId="207" fillId="0" borderId="0" xfId="847" applyNumberFormat="1" applyFont="1" applyFill="1" applyBorder="1" applyAlignment="1">
      <alignment horizontal="right"/>
    </xf>
    <xf numFmtId="262" fontId="207" fillId="0" borderId="0" xfId="847" applyNumberFormat="1" applyFont="1" applyBorder="1" applyAlignment="1">
      <alignment horizontal="right"/>
    </xf>
    <xf numFmtId="0" fontId="32" fillId="0" borderId="0" xfId="0" applyFont="1" applyAlignment="1">
      <alignment horizontal="right" vertical="center"/>
    </xf>
    <xf numFmtId="0" fontId="239" fillId="0" borderId="0" xfId="0" applyFont="1" applyAlignment="1">
      <alignment horizontal="right" vertical="center"/>
    </xf>
    <xf numFmtId="0" fontId="207" fillId="0" borderId="0" xfId="0" applyFont="1" applyAlignment="1">
      <alignment horizontal="left"/>
    </xf>
    <xf numFmtId="0" fontId="231" fillId="0" borderId="0" xfId="832" applyFont="1"/>
    <xf numFmtId="253" fontId="118" fillId="0" borderId="0" xfId="0" applyNumberFormat="1" applyFont="1"/>
    <xf numFmtId="4" fontId="118" fillId="0" borderId="0" xfId="0" applyNumberFormat="1" applyFont="1"/>
    <xf numFmtId="0" fontId="118" fillId="0" borderId="0" xfId="0" applyFont="1"/>
    <xf numFmtId="167" fontId="207" fillId="0" borderId="0" xfId="801" applyNumberFormat="1" applyFont="1" applyBorder="1" applyAlignment="1" applyProtection="1"/>
    <xf numFmtId="167" fontId="207" fillId="0" borderId="0" xfId="815" applyFont="1" applyFill="1" applyBorder="1" applyAlignment="1">
      <alignment horizontal="right" indent="2"/>
    </xf>
    <xf numFmtId="167" fontId="207" fillId="0" borderId="0" xfId="815" applyFont="1" applyFill="1" applyBorder="1" applyAlignment="1">
      <alignment horizontal="right" indent="5"/>
    </xf>
    <xf numFmtId="167" fontId="207" fillId="0" borderId="0" xfId="801" applyNumberFormat="1" applyFont="1" applyFill="1" applyBorder="1" applyAlignment="1" applyProtection="1"/>
    <xf numFmtId="0" fontId="210" fillId="0" borderId="0" xfId="0" applyFont="1" applyAlignment="1">
      <alignment horizontal="center"/>
    </xf>
    <xf numFmtId="171" fontId="207" fillId="0" borderId="0" xfId="0" applyNumberFormat="1" applyFont="1"/>
    <xf numFmtId="0" fontId="214" fillId="0" borderId="0" xfId="0" applyFont="1" applyAlignment="1">
      <alignment horizontal="center" vertical="center" wrapText="1"/>
    </xf>
    <xf numFmtId="167" fontId="210" fillId="0" borderId="0" xfId="0" applyNumberFormat="1" applyFont="1"/>
    <xf numFmtId="0" fontId="32" fillId="0" borderId="0" xfId="907"/>
    <xf numFmtId="171" fontId="32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1" fillId="0" borderId="0" xfId="905" applyNumberFormat="1" applyFont="1" applyAlignment="1">
      <alignment horizontal="center" vertical="center" wrapText="1"/>
    </xf>
    <xf numFmtId="0" fontId="35" fillId="0" borderId="0" xfId="907" applyFont="1"/>
    <xf numFmtId="167" fontId="35" fillId="0" borderId="0" xfId="815" applyFont="1" applyFill="1" applyBorder="1" applyAlignment="1">
      <alignment horizontal="right"/>
    </xf>
    <xf numFmtId="17" fontId="41" fillId="0" borderId="0" xfId="905" applyNumberFormat="1" applyFont="1" applyAlignment="1">
      <alignment horizontal="left" vertical="center" indent="6"/>
    </xf>
    <xf numFmtId="17" fontId="41" fillId="38" borderId="29" xfId="905" applyNumberFormat="1" applyFont="1" applyFill="1" applyBorder="1" applyAlignment="1">
      <alignment horizontal="center" vertical="center" wrapText="1"/>
    </xf>
    <xf numFmtId="0" fontId="38" fillId="0" borderId="0" xfId="907" applyFont="1"/>
    <xf numFmtId="168" fontId="32" fillId="0" borderId="10" xfId="863" applyBorder="1"/>
    <xf numFmtId="0" fontId="226" fillId="0" borderId="0" xfId="2697" applyFont="1" applyAlignment="1">
      <alignment vertical="top"/>
    </xf>
    <xf numFmtId="0" fontId="226" fillId="0" borderId="0" xfId="2697" applyFont="1" applyAlignment="1">
      <alignment horizontal="right" vertical="top"/>
    </xf>
    <xf numFmtId="17" fontId="41" fillId="0" borderId="0" xfId="905" applyNumberFormat="1" applyFont="1" applyAlignment="1">
      <alignment horizontal="left" vertical="center" indent="11"/>
    </xf>
    <xf numFmtId="167" fontId="35" fillId="0" borderId="0" xfId="815" applyFont="1" applyFill="1" applyBorder="1"/>
    <xf numFmtId="171" fontId="35" fillId="0" borderId="0" xfId="907" applyNumberFormat="1" applyFont="1"/>
    <xf numFmtId="0" fontId="148" fillId="41" borderId="0" xfId="907" applyFont="1" applyFill="1"/>
    <xf numFmtId="168" fontId="118" fillId="0" borderId="0" xfId="863" applyFont="1"/>
    <xf numFmtId="168" fontId="207" fillId="0" borderId="0" xfId="863" applyFont="1" applyFill="1" applyBorder="1"/>
    <xf numFmtId="0" fontId="230" fillId="0" borderId="0" xfId="830" applyFont="1"/>
    <xf numFmtId="0" fontId="228" fillId="0" borderId="0" xfId="831" applyFont="1"/>
    <xf numFmtId="0" fontId="207" fillId="0" borderId="0" xfId="0" applyFont="1" applyAlignment="1">
      <alignment horizontal="center"/>
    </xf>
    <xf numFmtId="14" fontId="207" fillId="0" borderId="0" xfId="0" applyNumberFormat="1" applyFont="1" applyAlignment="1">
      <alignment horizontal="center"/>
    </xf>
    <xf numFmtId="0" fontId="227" fillId="0" borderId="0" xfId="0" applyFont="1"/>
    <xf numFmtId="167" fontId="207" fillId="0" borderId="10" xfId="815" applyFont="1" applyFill="1" applyBorder="1"/>
    <xf numFmtId="0" fontId="243" fillId="33" borderId="0" xfId="831" applyFont="1" applyFill="1" applyAlignment="1">
      <alignment horizontal="right" vertical="center"/>
    </xf>
    <xf numFmtId="0" fontId="112" fillId="41" borderId="0" xfId="907" applyFont="1" applyFill="1" applyAlignment="1">
      <alignment horizontal="center"/>
    </xf>
    <xf numFmtId="9" fontId="40" fillId="38" borderId="0" xfId="1823" applyFont="1" applyFill="1" applyBorder="1" applyAlignment="1">
      <alignment horizontal="center" vertical="center" wrapText="1"/>
    </xf>
    <xf numFmtId="0" fontId="45" fillId="41" borderId="0" xfId="907" applyFont="1" applyFill="1" applyAlignment="1">
      <alignment horizontal="left" indent="1"/>
    </xf>
    <xf numFmtId="0" fontId="244" fillId="41" borderId="106" xfId="831" applyFont="1" applyFill="1" applyBorder="1" applyAlignment="1">
      <alignment horizontal="left"/>
    </xf>
    <xf numFmtId="0" fontId="33" fillId="41" borderId="0" xfId="801" applyFill="1" applyBorder="1" applyAlignment="1" applyProtection="1">
      <alignment horizontal="left"/>
    </xf>
    <xf numFmtId="0" fontId="45" fillId="41" borderId="0" xfId="2697" applyFont="1" applyFill="1"/>
    <xf numFmtId="0" fontId="33" fillId="41" borderId="0" xfId="801" applyFill="1" applyBorder="1" applyAlignment="1" applyProtection="1"/>
    <xf numFmtId="0" fontId="245" fillId="41" borderId="0" xfId="907" applyFont="1" applyFill="1" applyAlignment="1">
      <alignment horizontal="left"/>
    </xf>
    <xf numFmtId="0" fontId="33" fillId="41" borderId="0" xfId="801" applyFill="1" applyBorder="1" applyAlignment="1" applyProtection="1">
      <alignment horizontal="right"/>
    </xf>
    <xf numFmtId="0" fontId="119" fillId="100" borderId="0" xfId="2697" applyFont="1" applyFill="1" applyAlignment="1">
      <alignment horizontal="center" vertical="center" wrapText="1"/>
    </xf>
    <xf numFmtId="0" fontId="45" fillId="41" borderId="0" xfId="2697" applyFont="1" applyFill="1" applyAlignment="1">
      <alignment horizontal="left" vertical="center"/>
    </xf>
    <xf numFmtId="43" fontId="45" fillId="41" borderId="0" xfId="43199" applyFont="1" applyFill="1" applyBorder="1" applyAlignment="1"/>
    <xf numFmtId="43" fontId="45" fillId="41" borderId="0" xfId="43199" applyFont="1" applyFill="1" applyBorder="1"/>
    <xf numFmtId="167" fontId="45" fillId="41" borderId="0" xfId="815" quotePrefix="1" applyFont="1" applyFill="1" applyBorder="1"/>
    <xf numFmtId="10" fontId="45" fillId="41" borderId="0" xfId="847" applyNumberFormat="1" applyFont="1" applyFill="1" applyBorder="1" applyAlignment="1">
      <alignment horizontal="right" vertical="center"/>
    </xf>
    <xf numFmtId="43" fontId="45" fillId="41" borderId="0" xfId="907" applyNumberFormat="1" applyFont="1" applyFill="1"/>
    <xf numFmtId="167" fontId="112" fillId="41" borderId="0" xfId="815" applyFont="1" applyFill="1" applyBorder="1" applyAlignment="1"/>
    <xf numFmtId="43" fontId="112" fillId="41" borderId="0" xfId="907" applyNumberFormat="1" applyFont="1" applyFill="1"/>
    <xf numFmtId="0" fontId="32" fillId="41" borderId="0" xfId="2697" applyFill="1" applyAlignment="1">
      <alignment horizontal="center"/>
    </xf>
    <xf numFmtId="167" fontId="245" fillId="41" borderId="0" xfId="815" applyFont="1" applyFill="1" applyBorder="1" applyAlignment="1"/>
    <xf numFmtId="43" fontId="45" fillId="41" borderId="0" xfId="43200" applyFont="1" applyFill="1" applyBorder="1" applyAlignment="1" applyProtection="1">
      <alignment horizontal="center"/>
    </xf>
    <xf numFmtId="43" fontId="205" fillId="41" borderId="0" xfId="43199" applyFont="1" applyFill="1" applyBorder="1"/>
    <xf numFmtId="43" fontId="112" fillId="41" borderId="0" xfId="43199" applyFont="1" applyFill="1" applyBorder="1"/>
    <xf numFmtId="0" fontId="45" fillId="41" borderId="0" xfId="907" applyFont="1" applyFill="1" applyAlignment="1">
      <alignment horizontal="center"/>
    </xf>
    <xf numFmtId="0" fontId="234" fillId="41" borderId="123" xfId="2697" applyFont="1" applyFill="1" applyBorder="1" applyAlignment="1">
      <alignment horizontal="center"/>
    </xf>
    <xf numFmtId="0" fontId="234" fillId="41" borderId="124" xfId="2697" applyFont="1" applyFill="1" applyBorder="1" applyAlignment="1">
      <alignment horizontal="center"/>
    </xf>
    <xf numFmtId="0" fontId="245" fillId="41" borderId="0" xfId="907" applyFont="1" applyFill="1"/>
    <xf numFmtId="170" fontId="45" fillId="33" borderId="0" xfId="43199" applyNumberFormat="1" applyFont="1" applyFill="1" applyBorder="1" applyAlignment="1">
      <alignment horizontal="center" wrapText="1"/>
    </xf>
    <xf numFmtId="43" fontId="45" fillId="41" borderId="0" xfId="43199" applyFont="1" applyFill="1" applyBorder="1" applyAlignment="1">
      <alignment horizontal="center"/>
    </xf>
    <xf numFmtId="0" fontId="45" fillId="41" borderId="0" xfId="2697" applyFont="1" applyFill="1" applyAlignment="1">
      <alignment horizontal="center" vertical="center"/>
    </xf>
    <xf numFmtId="2" fontId="45" fillId="41" borderId="0" xfId="2697" applyNumberFormat="1" applyFont="1" applyFill="1" applyAlignment="1">
      <alignment horizontal="center"/>
    </xf>
    <xf numFmtId="43" fontId="45" fillId="41" borderId="0" xfId="2697" applyNumberFormat="1" applyFont="1" applyFill="1" applyAlignment="1">
      <alignment horizontal="left"/>
    </xf>
    <xf numFmtId="0" fontId="45" fillId="41" borderId="0" xfId="2697" applyFont="1" applyFill="1" applyAlignment="1">
      <alignment horizontal="center"/>
    </xf>
    <xf numFmtId="0" fontId="45" fillId="41" borderId="0" xfId="2697" applyFont="1" applyFill="1" applyAlignment="1">
      <alignment horizontal="left"/>
    </xf>
    <xf numFmtId="0" fontId="145" fillId="41" borderId="125" xfId="907" applyFont="1" applyFill="1" applyBorder="1" applyAlignment="1">
      <alignment horizontal="center"/>
    </xf>
    <xf numFmtId="3" fontId="45" fillId="41" borderId="0" xfId="43199" applyNumberFormat="1" applyFont="1" applyFill="1" applyBorder="1" applyAlignment="1">
      <alignment horizontal="right"/>
    </xf>
    <xf numFmtId="43" fontId="45" fillId="41" borderId="0" xfId="43199" applyFont="1" applyFill="1" applyBorder="1" applyAlignment="1">
      <alignment horizontal="right"/>
    </xf>
    <xf numFmtId="43" fontId="45" fillId="41" borderId="0" xfId="43199" applyFont="1" applyFill="1" applyBorder="1" applyAlignment="1">
      <alignment horizontal="left"/>
    </xf>
    <xf numFmtId="0" fontId="246" fillId="41" borderId="123" xfId="907" applyFont="1" applyFill="1" applyBorder="1" applyAlignment="1">
      <alignment horizontal="center"/>
    </xf>
    <xf numFmtId="43" fontId="45" fillId="0" borderId="0" xfId="43199" applyFont="1" applyFill="1" applyBorder="1" applyAlignment="1">
      <alignment horizontal="left"/>
    </xf>
    <xf numFmtId="0" fontId="246" fillId="41" borderId="124" xfId="907" applyFont="1" applyFill="1" applyBorder="1" applyAlignment="1">
      <alignment horizontal="center"/>
    </xf>
    <xf numFmtId="43" fontId="112" fillId="0" borderId="0" xfId="43199" applyFont="1" applyFill="1" applyBorder="1" applyAlignment="1">
      <alignment horizontal="left"/>
    </xf>
    <xf numFmtId="43" fontId="45" fillId="0" borderId="0" xfId="2697" applyNumberFormat="1" applyFont="1"/>
    <xf numFmtId="43" fontId="112" fillId="0" borderId="0" xfId="2697" applyNumberFormat="1" applyFont="1" applyAlignment="1">
      <alignment horizontal="left"/>
    </xf>
    <xf numFmtId="43" fontId="112" fillId="41" borderId="0" xfId="43199" quotePrefix="1" applyFont="1" applyFill="1" applyBorder="1" applyAlignment="1">
      <alignment horizontal="left"/>
    </xf>
    <xf numFmtId="10" fontId="45" fillId="41" borderId="0" xfId="43199" applyNumberFormat="1" applyFont="1" applyFill="1" applyBorder="1"/>
    <xf numFmtId="0" fontId="147" fillId="41" borderId="0" xfId="2697" applyFont="1" applyFill="1" applyAlignment="1">
      <alignment horizontal="center" vertical="center"/>
    </xf>
    <xf numFmtId="0" fontId="147" fillId="41" borderId="0" xfId="2697" applyFont="1" applyFill="1" applyAlignment="1">
      <alignment horizontal="center" vertical="center" wrapText="1"/>
    </xf>
    <xf numFmtId="0" fontId="146" fillId="41" borderId="0" xfId="2697" applyFont="1" applyFill="1" applyAlignment="1">
      <alignment vertical="center"/>
    </xf>
    <xf numFmtId="3" fontId="146" fillId="41" borderId="0" xfId="2697" applyNumberFormat="1" applyFont="1" applyFill="1" applyAlignment="1">
      <alignment horizontal="center" vertical="center"/>
    </xf>
    <xf numFmtId="10" fontId="146" fillId="41" borderId="0" xfId="2697" applyNumberFormat="1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/>
    </xf>
    <xf numFmtId="3" fontId="146" fillId="41" borderId="0" xfId="2697" applyNumberFormat="1" applyFont="1" applyFill="1" applyAlignment="1">
      <alignment vertical="center"/>
    </xf>
    <xf numFmtId="10" fontId="146" fillId="41" borderId="0" xfId="2697" applyNumberFormat="1" applyFont="1" applyFill="1" applyAlignment="1">
      <alignment horizontal="right" vertical="center"/>
    </xf>
    <xf numFmtId="0" fontId="148" fillId="41" borderId="0" xfId="2697" applyFont="1" applyFill="1"/>
    <xf numFmtId="9" fontId="40" fillId="38" borderId="0" xfId="1095" applyFont="1" applyFill="1" applyBorder="1" applyAlignment="1">
      <alignment horizontal="center" vertical="center" wrapText="1"/>
    </xf>
    <xf numFmtId="0" fontId="145" fillId="41" borderId="0" xfId="2697" applyFont="1" applyFill="1" applyAlignment="1">
      <alignment horizontal="center" vertical="center"/>
    </xf>
    <xf numFmtId="43" fontId="45" fillId="0" borderId="0" xfId="43199" applyFont="1" applyAlignment="1">
      <alignment vertical="center"/>
    </xf>
    <xf numFmtId="0" fontId="45" fillId="0" borderId="0" xfId="2697" applyFont="1"/>
    <xf numFmtId="0" fontId="112" fillId="0" borderId="0" xfId="2697" applyFont="1"/>
    <xf numFmtId="43" fontId="45" fillId="0" borderId="0" xfId="43201" applyFont="1" applyFill="1" applyBorder="1" applyAlignment="1">
      <alignment horizontal="right" vertical="center"/>
    </xf>
    <xf numFmtId="0" fontId="148" fillId="0" borderId="0" xfId="2697" applyFont="1" applyAlignment="1">
      <alignment vertical="center"/>
    </xf>
    <xf numFmtId="0" fontId="148" fillId="0" borderId="0" xfId="2697" applyFont="1"/>
    <xf numFmtId="43" fontId="148" fillId="41" borderId="0" xfId="43199" applyFont="1" applyFill="1" applyBorder="1"/>
    <xf numFmtId="43" fontId="145" fillId="41" borderId="0" xfId="2697" applyNumberFormat="1" applyFont="1" applyFill="1" applyAlignment="1">
      <alignment horizontal="center" vertical="center"/>
    </xf>
    <xf numFmtId="9" fontId="45" fillId="0" borderId="0" xfId="2697" applyNumberFormat="1" applyFont="1"/>
    <xf numFmtId="10" fontId="45" fillId="0" borderId="0" xfId="2697" applyNumberFormat="1" applyFont="1"/>
    <xf numFmtId="0" fontId="45" fillId="41" borderId="0" xfId="2697" applyFont="1" applyFill="1" applyAlignment="1">
      <alignment vertical="center"/>
    </xf>
    <xf numFmtId="43" fontId="45" fillId="41" borderId="0" xfId="43199" applyFont="1" applyFill="1" applyBorder="1" applyAlignment="1">
      <alignment vertical="center"/>
    </xf>
    <xf numFmtId="217" fontId="45" fillId="33" borderId="0" xfId="2697" applyNumberFormat="1" applyFont="1" applyFill="1" applyAlignment="1">
      <alignment horizontal="center"/>
    </xf>
    <xf numFmtId="0" fontId="126" fillId="41" borderId="0" xfId="43202" applyFont="1" applyFill="1" applyAlignment="1">
      <alignment horizontal="center" wrapText="1"/>
    </xf>
    <xf numFmtId="0" fontId="126" fillId="41" borderId="0" xfId="43202" applyFont="1" applyFill="1" applyAlignment="1">
      <alignment horizontal="center"/>
    </xf>
    <xf numFmtId="0" fontId="139" fillId="41" borderId="0" xfId="43202" applyFont="1" applyFill="1"/>
    <xf numFmtId="43" fontId="139" fillId="41" borderId="0" xfId="43199" applyFont="1" applyFill="1" applyBorder="1"/>
    <xf numFmtId="167" fontId="32" fillId="0" borderId="0" xfId="815" applyFont="1" applyFill="1" applyBorder="1" applyAlignment="1">
      <alignment horizontal="left"/>
    </xf>
    <xf numFmtId="3" fontId="32" fillId="0" borderId="0" xfId="0" applyNumberFormat="1" applyFont="1"/>
    <xf numFmtId="49" fontId="32" fillId="0" borderId="0" xfId="847" applyNumberFormat="1" applyFont="1" applyFill="1" applyBorder="1" applyAlignment="1">
      <alignment horizontal="center"/>
    </xf>
    <xf numFmtId="168" fontId="207" fillId="0" borderId="0" xfId="863" applyFont="1" applyFill="1" applyBorder="1" applyAlignment="1"/>
    <xf numFmtId="168" fontId="207" fillId="0" borderId="0" xfId="863" applyFont="1" applyFill="1" applyBorder="1" applyAlignment="1">
      <alignment horizontal="left"/>
    </xf>
    <xf numFmtId="0" fontId="112" fillId="101" borderId="0" xfId="0" applyFont="1" applyFill="1"/>
    <xf numFmtId="0" fontId="34" fillId="45" borderId="0" xfId="10225" applyFill="1" applyAlignment="1"/>
    <xf numFmtId="0" fontId="45" fillId="0" borderId="0" xfId="0" applyFont="1"/>
    <xf numFmtId="174" fontId="0" fillId="0" borderId="0" xfId="0" applyNumberFormat="1"/>
    <xf numFmtId="0" fontId="112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5" fillId="0" borderId="0" xfId="0" applyFont="1" applyAlignment="1">
      <alignment wrapText="1"/>
    </xf>
    <xf numFmtId="0" fontId="45" fillId="0" borderId="0" xfId="2697" applyFont="1" applyAlignment="1">
      <alignment horizontal="center" vertical="center"/>
    </xf>
    <xf numFmtId="170" fontId="40" fillId="55" borderId="137" xfId="863" applyNumberFormat="1" applyFont="1" applyFill="1" applyBorder="1" applyAlignment="1">
      <alignment horizontal="center" vertical="center"/>
    </xf>
    <xf numFmtId="170" fontId="40" fillId="55" borderId="138" xfId="863" applyNumberFormat="1" applyFont="1" applyFill="1" applyBorder="1" applyAlignment="1">
      <alignment horizontal="center" vertical="center"/>
    </xf>
    <xf numFmtId="170" fontId="40" fillId="55" borderId="139" xfId="863" applyNumberFormat="1" applyFont="1" applyFill="1" applyBorder="1" applyAlignment="1">
      <alignment horizontal="center" vertical="center"/>
    </xf>
    <xf numFmtId="17" fontId="40" fillId="55" borderId="140" xfId="905" applyNumberFormat="1" applyFont="1" applyFill="1" applyBorder="1" applyAlignment="1">
      <alignment horizontal="center" vertical="center"/>
    </xf>
    <xf numFmtId="17" fontId="40" fillId="55" borderId="138" xfId="905" applyNumberFormat="1" applyFont="1" applyFill="1" applyBorder="1" applyAlignment="1">
      <alignment horizontal="center" vertical="center"/>
    </xf>
    <xf numFmtId="17" fontId="40" fillId="55" borderId="141" xfId="905" applyNumberFormat="1" applyFont="1" applyFill="1" applyBorder="1" applyAlignment="1">
      <alignment horizontal="center" vertical="center"/>
    </xf>
    <xf numFmtId="168" fontId="210" fillId="41" borderId="0" xfId="863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vertical="center"/>
    </xf>
    <xf numFmtId="10" fontId="45" fillId="33" borderId="0" xfId="2697" applyNumberFormat="1" applyFont="1" applyFill="1" applyAlignment="1">
      <alignment horizontal="center"/>
    </xf>
    <xf numFmtId="10" fontId="207" fillId="0" borderId="0" xfId="0" applyNumberFormat="1" applyFont="1"/>
    <xf numFmtId="49" fontId="32" fillId="0" borderId="0" xfId="847" applyNumberFormat="1" applyFont="1" applyFill="1" applyBorder="1" applyAlignment="1">
      <alignment vertical="center" wrapText="1"/>
    </xf>
    <xf numFmtId="10" fontId="207" fillId="103" borderId="0" xfId="847" applyNumberFormat="1" applyFont="1" applyFill="1" applyBorder="1" applyAlignment="1">
      <alignment horizontal="right"/>
    </xf>
    <xf numFmtId="170" fontId="45" fillId="0" borderId="0" xfId="43199" applyNumberFormat="1" applyFont="1" applyFill="1" applyBorder="1" applyAlignment="1">
      <alignment horizontal="right"/>
    </xf>
    <xf numFmtId="2" fontId="45" fillId="0" borderId="0" xfId="2697" applyNumberFormat="1" applyFont="1" applyAlignment="1">
      <alignment horizontal="center"/>
    </xf>
    <xf numFmtId="0" fontId="45" fillId="0" borderId="0" xfId="907" applyFont="1" applyAlignment="1">
      <alignment horizontal="center"/>
    </xf>
    <xf numFmtId="4" fontId="0" fillId="0" borderId="0" xfId="0" applyNumberFormat="1"/>
    <xf numFmtId="9" fontId="45" fillId="41" borderId="0" xfId="847" applyFont="1" applyFill="1" applyBorder="1"/>
    <xf numFmtId="43" fontId="45" fillId="0" borderId="0" xfId="43199" applyFont="1" applyFill="1" applyBorder="1" applyAlignment="1">
      <alignment horizontal="left" vertical="center"/>
    </xf>
    <xf numFmtId="43" fontId="45" fillId="41" borderId="0" xfId="43199" applyFont="1" applyFill="1" applyBorder="1" applyAlignment="1">
      <alignment horizontal="center" vertical="center"/>
    </xf>
    <xf numFmtId="0" fontId="119" fillId="41" borderId="142" xfId="907" applyFont="1" applyFill="1" applyBorder="1" applyAlignment="1">
      <alignment horizontal="center"/>
    </xf>
    <xf numFmtId="0" fontId="148" fillId="41" borderId="0" xfId="907" applyFont="1" applyFill="1" applyProtection="1">
      <protection locked="0"/>
    </xf>
    <xf numFmtId="43" fontId="148" fillId="41" borderId="0" xfId="43199" applyFont="1" applyFill="1" applyBorder="1" applyProtection="1">
      <protection locked="0"/>
    </xf>
    <xf numFmtId="0" fontId="45" fillId="0" borderId="0" xfId="2697" applyFont="1" applyProtection="1">
      <protection locked="0"/>
    </xf>
    <xf numFmtId="167" fontId="207" fillId="44" borderId="20" xfId="815" applyFont="1" applyFill="1" applyBorder="1"/>
    <xf numFmtId="0" fontId="0" fillId="61" borderId="0" xfId="0" applyFill="1"/>
    <xf numFmtId="0" fontId="246" fillId="41" borderId="125" xfId="907" applyFont="1" applyFill="1" applyBorder="1" applyAlignment="1">
      <alignment horizontal="center"/>
    </xf>
    <xf numFmtId="0" fontId="32" fillId="61" borderId="0" xfId="0" applyFont="1" applyFill="1"/>
    <xf numFmtId="168" fontId="45" fillId="41" borderId="0" xfId="863" applyFont="1" applyFill="1" applyBorder="1" applyAlignment="1">
      <alignment horizontal="right"/>
    </xf>
    <xf numFmtId="0" fontId="222" fillId="0" borderId="0" xfId="0" applyFont="1"/>
    <xf numFmtId="168" fontId="45" fillId="41" borderId="0" xfId="863" applyFont="1" applyFill="1" applyBorder="1"/>
    <xf numFmtId="0" fontId="249" fillId="0" borderId="0" xfId="0" applyFont="1" applyAlignment="1">
      <alignment horizontal="right" vertical="center"/>
    </xf>
    <xf numFmtId="43" fontId="45" fillId="0" borderId="0" xfId="43185" applyFont="1" applyFill="1" applyBorder="1" applyAlignment="1" applyProtection="1">
      <alignment horizontal="right"/>
      <protection locked="0"/>
    </xf>
    <xf numFmtId="0" fontId="214" fillId="43" borderId="0" xfId="0" applyFont="1" applyFill="1" applyAlignment="1">
      <alignment horizontal="center"/>
    </xf>
    <xf numFmtId="0" fontId="119" fillId="0" borderId="0" xfId="907" applyFont="1"/>
    <xf numFmtId="0" fontId="45" fillId="0" borderId="0" xfId="2697" applyFont="1" applyAlignment="1">
      <alignment horizontal="left" vertical="center"/>
    </xf>
    <xf numFmtId="43" fontId="45" fillId="0" borderId="0" xfId="43199" applyFont="1" applyFill="1" applyBorder="1" applyAlignment="1"/>
    <xf numFmtId="10" fontId="45" fillId="41" borderId="0" xfId="43199" applyNumberFormat="1" applyFont="1" applyFill="1" applyBorder="1" applyAlignment="1"/>
    <xf numFmtId="0" fontId="246" fillId="0" borderId="0" xfId="43405" applyFont="1"/>
    <xf numFmtId="10" fontId="246" fillId="0" borderId="0" xfId="847" applyNumberFormat="1" applyFont="1" applyFill="1" applyBorder="1"/>
    <xf numFmtId="0" fontId="252" fillId="0" borderId="0" xfId="7308" applyFont="1"/>
    <xf numFmtId="0" fontId="253" fillId="0" borderId="0" xfId="7308" applyFont="1" applyAlignment="1">
      <alignment horizontal="center"/>
    </xf>
    <xf numFmtId="2" fontId="252" fillId="0" borderId="0" xfId="7308" applyNumberFormat="1" applyFont="1"/>
    <xf numFmtId="0" fontId="253" fillId="0" borderId="0" xfId="7308" applyFont="1"/>
    <xf numFmtId="0" fontId="254" fillId="0" borderId="0" xfId="7308" applyFont="1" applyAlignment="1">
      <alignment horizontal="center"/>
    </xf>
    <xf numFmtId="0" fontId="255" fillId="0" borderId="0" xfId="7308" applyFont="1"/>
    <xf numFmtId="168" fontId="254" fillId="0" borderId="0" xfId="43165" applyFont="1"/>
    <xf numFmtId="0" fontId="252" fillId="42" borderId="0" xfId="7308" applyFont="1" applyFill="1"/>
    <xf numFmtId="0" fontId="261" fillId="41" borderId="0" xfId="831" applyFont="1" applyFill="1" applyAlignment="1">
      <alignment horizontal="left"/>
    </xf>
    <xf numFmtId="0" fontId="252" fillId="0" borderId="20" xfId="7308" applyFont="1" applyBorder="1"/>
    <xf numFmtId="10" fontId="252" fillId="41" borderId="10" xfId="1095" applyNumberFormat="1" applyFont="1" applyFill="1" applyBorder="1"/>
    <xf numFmtId="0" fontId="262" fillId="55" borderId="0" xfId="834" applyFont="1" applyFill="1" applyAlignment="1" applyProtection="1">
      <alignment horizontal="left" vertical="center"/>
    </xf>
    <xf numFmtId="0" fontId="262" fillId="55" borderId="0" xfId="834" applyFont="1" applyFill="1" applyAlignment="1" applyProtection="1">
      <alignment horizontal="center" vertical="center"/>
    </xf>
    <xf numFmtId="0" fontId="252" fillId="0" borderId="0" xfId="2697" applyFont="1" applyAlignment="1">
      <alignment vertical="center"/>
    </xf>
    <xf numFmtId="191" fontId="252" fillId="0" borderId="0" xfId="1095" applyNumberFormat="1" applyFont="1" applyBorder="1" applyAlignment="1">
      <alignment horizontal="right" vertical="center"/>
    </xf>
    <xf numFmtId="167" fontId="252" fillId="41" borderId="10" xfId="902" applyFont="1" applyFill="1" applyBorder="1"/>
    <xf numFmtId="10" fontId="252" fillId="0" borderId="0" xfId="1095" applyNumberFormat="1" applyFont="1" applyBorder="1" applyAlignment="1">
      <alignment horizontal="right" vertical="center"/>
    </xf>
    <xf numFmtId="43" fontId="252" fillId="0" borderId="0" xfId="7308" applyNumberFormat="1" applyFont="1"/>
    <xf numFmtId="168" fontId="252" fillId="0" borderId="0" xfId="43165" applyFont="1" applyAlignment="1">
      <alignment horizontal="center"/>
    </xf>
    <xf numFmtId="0" fontId="266" fillId="0" borderId="0" xfId="7308" applyFont="1" applyAlignment="1">
      <alignment horizontal="center"/>
    </xf>
    <xf numFmtId="168" fontId="252" fillId="0" borderId="0" xfId="43165" applyFont="1" applyAlignment="1"/>
    <xf numFmtId="168" fontId="252" fillId="0" borderId="0" xfId="43165" applyFont="1" applyAlignment="1">
      <alignment horizontal="left" vertical="center"/>
    </xf>
    <xf numFmtId="168" fontId="253" fillId="0" borderId="0" xfId="43165" applyFont="1" applyAlignment="1"/>
    <xf numFmtId="168" fontId="253" fillId="0" borderId="0" xfId="43165" applyFont="1" applyAlignment="1">
      <alignment horizontal="center"/>
    </xf>
    <xf numFmtId="165" fontId="207" fillId="0" borderId="0" xfId="815" applyNumberFormat="1" applyFont="1" applyBorder="1"/>
    <xf numFmtId="165" fontId="207" fillId="0" borderId="0" xfId="815" applyNumberFormat="1" applyFont="1" applyBorder="1" applyAlignment="1">
      <alignment horizontal="left"/>
    </xf>
    <xf numFmtId="0" fontId="245" fillId="0" borderId="0" xfId="831" applyFont="1" applyAlignment="1">
      <alignment horizontal="left"/>
    </xf>
    <xf numFmtId="0" fontId="40" fillId="0" borderId="0" xfId="834" applyFont="1" applyAlignment="1" applyProtection="1">
      <alignment horizontal="center" vertical="center"/>
    </xf>
    <xf numFmtId="191" fontId="45" fillId="0" borderId="0" xfId="1095" applyNumberFormat="1" applyFont="1" applyFill="1" applyBorder="1" applyAlignment="1">
      <alignment horizontal="right" vertical="center"/>
    </xf>
    <xf numFmtId="0" fontId="265" fillId="0" borderId="0" xfId="7308" applyFont="1"/>
    <xf numFmtId="168" fontId="252" fillId="0" borderId="0" xfId="43165" applyFont="1" applyFill="1" applyBorder="1" applyAlignment="1">
      <alignment horizontal="center"/>
    </xf>
    <xf numFmtId="168" fontId="252" fillId="0" borderId="0" xfId="43165" applyFont="1" applyFill="1" applyBorder="1" applyAlignment="1"/>
    <xf numFmtId="0" fontId="112" fillId="0" borderId="0" xfId="2697" applyFont="1" applyAlignment="1">
      <alignment vertical="center"/>
    </xf>
    <xf numFmtId="4" fontId="112" fillId="0" borderId="0" xfId="2697" applyNumberFormat="1" applyFont="1" applyAlignment="1">
      <alignment vertical="center"/>
    </xf>
    <xf numFmtId="168" fontId="253" fillId="0" borderId="0" xfId="43165" applyFont="1" applyFill="1" applyBorder="1" applyAlignment="1"/>
    <xf numFmtId="10" fontId="263" fillId="61" borderId="150" xfId="1095" applyNumberFormat="1" applyFont="1" applyFill="1" applyBorder="1" applyAlignment="1">
      <alignment vertical="center"/>
    </xf>
    <xf numFmtId="0" fontId="253" fillId="0" borderId="151" xfId="7308" applyFont="1" applyBorder="1" applyAlignment="1">
      <alignment horizontal="center"/>
    </xf>
    <xf numFmtId="167" fontId="252" fillId="101" borderId="10" xfId="902" applyFont="1" applyFill="1" applyBorder="1"/>
    <xf numFmtId="0" fontId="212" fillId="41" borderId="0" xfId="0" applyFont="1" applyFill="1"/>
    <xf numFmtId="0" fontId="205" fillId="41" borderId="125" xfId="907" applyFont="1" applyFill="1" applyBorder="1" applyAlignment="1">
      <alignment horizontal="center"/>
    </xf>
    <xf numFmtId="10" fontId="32" fillId="0" borderId="0" xfId="847" applyNumberFormat="1" applyFont="1" applyFill="1" applyBorder="1" applyAlignment="1">
      <alignment horizontal="right"/>
    </xf>
    <xf numFmtId="10" fontId="207" fillId="106" borderId="0" xfId="847" applyNumberFormat="1" applyFont="1" applyFill="1" applyBorder="1"/>
    <xf numFmtId="168" fontId="207" fillId="106" borderId="0" xfId="863" applyFont="1" applyFill="1" applyBorder="1"/>
    <xf numFmtId="10" fontId="207" fillId="0" borderId="0" xfId="847" applyNumberFormat="1" applyFont="1" applyFill="1" applyBorder="1" applyAlignment="1">
      <alignment horizontal="right"/>
    </xf>
    <xf numFmtId="0" fontId="45" fillId="0" borderId="20" xfId="0" applyFont="1" applyBorder="1"/>
    <xf numFmtId="0" fontId="0" fillId="0" borderId="0" xfId="0" applyAlignment="1">
      <alignment horizontal="center"/>
    </xf>
    <xf numFmtId="0" fontId="267" fillId="0" borderId="0" xfId="43410" applyFont="1"/>
    <xf numFmtId="0" fontId="268" fillId="0" borderId="0" xfId="43411"/>
    <xf numFmtId="10" fontId="213" fillId="0" borderId="0" xfId="847" applyNumberFormat="1" applyFont="1" applyBorder="1" applyAlignment="1">
      <alignment horizontal="right" vertical="center"/>
    </xf>
    <xf numFmtId="168" fontId="32" fillId="0" borderId="0" xfId="863" applyFont="1" applyFill="1" applyBorder="1"/>
    <xf numFmtId="10" fontId="32" fillId="0" borderId="0" xfId="847" applyNumberFormat="1" applyFont="1"/>
    <xf numFmtId="0" fontId="32" fillId="0" borderId="0" xfId="0" applyFont="1" applyAlignment="1">
      <alignment horizontal="center"/>
    </xf>
    <xf numFmtId="10" fontId="32" fillId="0" borderId="0" xfId="0" applyNumberFormat="1" applyFont="1"/>
    <xf numFmtId="14" fontId="38" fillId="0" borderId="0" xfId="0" applyNumberFormat="1" applyFont="1" applyAlignment="1">
      <alignment horizontal="center"/>
    </xf>
    <xf numFmtId="260" fontId="32" fillId="0" borderId="0" xfId="0" applyNumberFormat="1" applyFont="1"/>
    <xf numFmtId="168" fontId="32" fillId="0" borderId="0" xfId="863" applyFont="1" applyFill="1"/>
    <xf numFmtId="171" fontId="32" fillId="0" borderId="0" xfId="0" applyNumberFormat="1" applyFont="1"/>
    <xf numFmtId="0" fontId="38" fillId="0" borderId="0" xfId="0" applyFont="1"/>
    <xf numFmtId="0" fontId="38" fillId="45" borderId="152" xfId="907" applyFont="1" applyFill="1" applyBorder="1" applyAlignment="1">
      <alignment horizontal="center" vertical="center" wrapText="1"/>
    </xf>
    <xf numFmtId="0" fontId="207" fillId="0" borderId="20" xfId="0" applyFont="1" applyBorder="1" applyAlignment="1">
      <alignment horizontal="right"/>
    </xf>
    <xf numFmtId="0" fontId="207" fillId="0" borderId="29" xfId="832" applyFont="1" applyBorder="1" applyAlignment="1">
      <alignment horizontal="left"/>
    </xf>
    <xf numFmtId="0" fontId="207" fillId="41" borderId="20" xfId="0" applyFont="1" applyFill="1" applyBorder="1" applyAlignment="1">
      <alignment horizontal="right"/>
    </xf>
    <xf numFmtId="14" fontId="118" fillId="0" borderId="0" xfId="0" applyNumberFormat="1" applyFont="1"/>
    <xf numFmtId="164" fontId="213" fillId="0" borderId="0" xfId="0" applyNumberFormat="1" applyFont="1" applyAlignment="1">
      <alignment horizontal="right" vertical="center"/>
    </xf>
    <xf numFmtId="168" fontId="32" fillId="44" borderId="0" xfId="863" applyFont="1" applyFill="1" applyBorder="1" applyAlignment="1">
      <alignment horizontal="right"/>
    </xf>
    <xf numFmtId="10" fontId="213" fillId="0" borderId="0" xfId="847" applyNumberFormat="1" applyFont="1" applyFill="1" applyBorder="1" applyAlignment="1">
      <alignment horizontal="right" vertical="center"/>
    </xf>
    <xf numFmtId="10" fontId="207" fillId="0" borderId="0" xfId="847" applyNumberFormat="1" applyFont="1" applyFill="1" applyBorder="1" applyAlignment="1">
      <alignment horizontal="right" vertical="center"/>
    </xf>
    <xf numFmtId="0" fontId="32" fillId="103" borderId="0" xfId="0" applyFont="1" applyFill="1"/>
    <xf numFmtId="14" fontId="34" fillId="0" borderId="0" xfId="831" applyNumberFormat="1" applyAlignment="1">
      <alignment horizontal="center"/>
    </xf>
    <xf numFmtId="10" fontId="207" fillId="0" borderId="0" xfId="847" applyNumberFormat="1" applyFont="1" applyFill="1"/>
    <xf numFmtId="0" fontId="8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9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9" fillId="102" borderId="154" xfId="0" applyFont="1" applyFill="1" applyBorder="1" applyAlignment="1">
      <alignment horizontal="center" vertical="distributed"/>
    </xf>
    <xf numFmtId="14" fontId="269" fillId="102" borderId="154" xfId="0" applyNumberFormat="1" applyFont="1" applyFill="1" applyBorder="1" applyAlignment="1">
      <alignment horizontal="center" vertical="distributed"/>
    </xf>
    <xf numFmtId="0" fontId="269" fillId="102" borderId="10" xfId="0" applyFont="1" applyFill="1" applyBorder="1" applyAlignment="1">
      <alignment horizontal="center"/>
    </xf>
    <xf numFmtId="168" fontId="32" fillId="61" borderId="0" xfId="863" applyFont="1" applyFill="1"/>
    <xf numFmtId="168" fontId="45" fillId="41" borderId="0" xfId="903" applyFont="1" applyFill="1" applyBorder="1" applyAlignment="1">
      <alignment horizontal="left" vertical="top" wrapText="1"/>
    </xf>
    <xf numFmtId="0" fontId="32" fillId="109" borderId="0" xfId="0" applyFont="1" applyFill="1" applyAlignment="1">
      <alignment horizontal="center"/>
    </xf>
    <xf numFmtId="0" fontId="32" fillId="109" borderId="0" xfId="0" applyFont="1" applyFill="1"/>
    <xf numFmtId="14" fontId="32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7" fillId="109" borderId="0" xfId="847" applyNumberFormat="1" applyFont="1" applyFill="1" applyBorder="1"/>
    <xf numFmtId="168" fontId="207" fillId="109" borderId="0" xfId="863" applyFont="1" applyFill="1" applyBorder="1"/>
    <xf numFmtId="168" fontId="207" fillId="109" borderId="0" xfId="0" applyNumberFormat="1" applyFont="1" applyFill="1"/>
    <xf numFmtId="2" fontId="239" fillId="0" borderId="0" xfId="0" applyNumberFormat="1" applyFont="1" applyAlignment="1">
      <alignment horizontal="center" vertical="center" wrapText="1"/>
    </xf>
    <xf numFmtId="168" fontId="239" fillId="0" borderId="0" xfId="863" applyFont="1" applyFill="1" applyBorder="1" applyAlignment="1">
      <alignment horizontal="right" vertical="center" wrapText="1"/>
    </xf>
    <xf numFmtId="168" fontId="239" fillId="0" borderId="0" xfId="863" applyFont="1" applyFill="1" applyBorder="1" applyAlignment="1">
      <alignment horizontal="center" vertical="center" wrapText="1"/>
    </xf>
    <xf numFmtId="0" fontId="250" fillId="0" borderId="0" xfId="0" applyFont="1" applyAlignment="1">
      <alignment horizontal="center" vertical="center" wrapText="1"/>
    </xf>
    <xf numFmtId="0" fontId="127" fillId="0" borderId="0" xfId="0" applyFont="1" applyAlignment="1">
      <alignment horizontal="justify" vertical="center" wrapText="1"/>
    </xf>
    <xf numFmtId="264" fontId="127" fillId="0" borderId="0" xfId="907" applyNumberFormat="1" applyFont="1" applyAlignment="1">
      <alignment horizontal="center"/>
    </xf>
    <xf numFmtId="0" fontId="127" fillId="0" borderId="0" xfId="0" applyFont="1" applyAlignment="1">
      <alignment horizontal="center" vertical="center" wrapText="1"/>
    </xf>
    <xf numFmtId="167" fontId="45" fillId="0" borderId="0" xfId="815" applyFont="1" applyFill="1" applyBorder="1" applyAlignment="1">
      <alignment horizontal="left"/>
    </xf>
    <xf numFmtId="167" fontId="45" fillId="111" borderId="16" xfId="815" applyFont="1" applyFill="1" applyBorder="1" applyAlignment="1">
      <alignment horizontal="left"/>
    </xf>
    <xf numFmtId="3" fontId="32" fillId="111" borderId="16" xfId="0" applyNumberFormat="1" applyFont="1" applyFill="1" applyBorder="1"/>
    <xf numFmtId="167" fontId="32" fillId="42" borderId="0" xfId="815" applyFont="1" applyFill="1" applyBorder="1" applyAlignment="1">
      <alignment horizontal="left"/>
    </xf>
    <xf numFmtId="4" fontId="32" fillId="0" borderId="0" xfId="0" applyNumberFormat="1" applyFont="1"/>
    <xf numFmtId="230" fontId="32" fillId="109" borderId="0" xfId="863" applyNumberFormat="1" applyFont="1" applyFill="1" applyBorder="1" applyAlignment="1">
      <alignment horizontal="left"/>
    </xf>
    <xf numFmtId="230" fontId="32" fillId="109" borderId="0" xfId="0" applyNumberFormat="1" applyFont="1" applyFill="1"/>
    <xf numFmtId="230" fontId="32" fillId="109" borderId="0" xfId="0" applyNumberFormat="1" applyFont="1" applyFill="1" applyAlignment="1">
      <alignment horizontal="left"/>
    </xf>
    <xf numFmtId="230" fontId="118" fillId="109" borderId="0" xfId="0" applyNumberFormat="1" applyFont="1" applyFill="1" applyAlignment="1">
      <alignment horizontal="left"/>
    </xf>
    <xf numFmtId="0" fontId="273" fillId="111" borderId="16" xfId="0" applyFont="1" applyFill="1" applyBorder="1"/>
    <xf numFmtId="165" fontId="32" fillId="0" borderId="0" xfId="863" applyNumberFormat="1" applyFont="1" applyFill="1" applyBorder="1"/>
    <xf numFmtId="168" fontId="32" fillId="109" borderId="0" xfId="863" applyFont="1" applyFill="1" applyBorder="1"/>
    <xf numFmtId="0" fontId="270" fillId="0" borderId="0" xfId="0" applyFont="1"/>
    <xf numFmtId="0" fontId="45" fillId="0" borderId="29" xfId="0" applyFont="1" applyBorder="1"/>
    <xf numFmtId="0" fontId="273" fillId="0" borderId="0" xfId="0" applyFont="1"/>
    <xf numFmtId="0" fontId="45" fillId="33" borderId="0" xfId="829" applyFont="1" applyFill="1"/>
    <xf numFmtId="0" fontId="276" fillId="0" borderId="0" xfId="0" applyFont="1"/>
    <xf numFmtId="0" fontId="265" fillId="0" borderId="0" xfId="0" applyFont="1"/>
    <xf numFmtId="0" fontId="127" fillId="0" borderId="20" xfId="0" applyFont="1" applyBorder="1" applyAlignment="1">
      <alignment horizontal="left"/>
    </xf>
    <xf numFmtId="0" fontId="45" fillId="111" borderId="159" xfId="0" applyFont="1" applyFill="1" applyBorder="1"/>
    <xf numFmtId="0" fontId="45" fillId="111" borderId="16" xfId="0" applyFont="1" applyFill="1" applyBorder="1"/>
    <xf numFmtId="0" fontId="45" fillId="111" borderId="16" xfId="907" applyFont="1" applyFill="1" applyBorder="1"/>
    <xf numFmtId="10" fontId="45" fillId="111" borderId="16" xfId="847" applyNumberFormat="1" applyFont="1" applyFill="1" applyBorder="1" applyAlignment="1"/>
    <xf numFmtId="14" fontId="45" fillId="111" borderId="16" xfId="0" applyNumberFormat="1" applyFont="1" applyFill="1" applyBorder="1"/>
    <xf numFmtId="0" fontId="277" fillId="111" borderId="151" xfId="0" applyFont="1" applyFill="1" applyBorder="1"/>
    <xf numFmtId="0" fontId="127" fillId="0" borderId="0" xfId="0" applyFont="1" applyAlignment="1">
      <alignment horizontal="left"/>
    </xf>
    <xf numFmtId="0" fontId="277" fillId="0" borderId="0" xfId="0" applyFont="1"/>
    <xf numFmtId="0" fontId="278" fillId="0" borderId="0" xfId="0" applyFont="1"/>
    <xf numFmtId="0" fontId="277" fillId="0" borderId="29" xfId="0" applyFont="1" applyBorder="1"/>
    <xf numFmtId="10" fontId="45" fillId="0" borderId="0" xfId="847" applyNumberFormat="1" applyFont="1" applyFill="1" applyBorder="1" applyAlignment="1"/>
    <xf numFmtId="14" fontId="45" fillId="0" borderId="0" xfId="0" applyNumberFormat="1" applyFont="1"/>
    <xf numFmtId="4" fontId="146" fillId="0" borderId="0" xfId="0" applyNumberFormat="1" applyFont="1"/>
    <xf numFmtId="0" fontId="45" fillId="0" borderId="0" xfId="0" quotePrefix="1" applyFont="1"/>
    <xf numFmtId="43" fontId="270" fillId="0" borderId="0" xfId="0" applyNumberFormat="1" applyFont="1"/>
    <xf numFmtId="168" fontId="45" fillId="0" borderId="0" xfId="863" applyFont="1"/>
    <xf numFmtId="0" fontId="32" fillId="0" borderId="29" xfId="0" applyFont="1" applyBorder="1"/>
    <xf numFmtId="0" fontId="277" fillId="0" borderId="153" xfId="0" applyFont="1" applyBorder="1"/>
    <xf numFmtId="168" fontId="45" fillId="0" borderId="0" xfId="863" applyFont="1" applyBorder="1"/>
    <xf numFmtId="0" fontId="45" fillId="0" borderId="0" xfId="0" applyFont="1" applyAlignment="1">
      <alignment horizontal="center"/>
    </xf>
    <xf numFmtId="0" fontId="45" fillId="0" borderId="20" xfId="0" applyFont="1" applyBorder="1" applyAlignment="1">
      <alignment horizontal="left"/>
    </xf>
    <xf numFmtId="168" fontId="45" fillId="0" borderId="0" xfId="863" applyFont="1" applyBorder="1" applyAlignment="1">
      <alignment horizontal="center"/>
    </xf>
    <xf numFmtId="0" fontId="239" fillId="0" borderId="0" xfId="0" applyFont="1" applyAlignment="1">
      <alignment horizontal="center" vertical="center"/>
    </xf>
    <xf numFmtId="0" fontId="239" fillId="0" borderId="20" xfId="0" applyFont="1" applyBorder="1" applyAlignment="1">
      <alignment horizontal="center" vertical="center"/>
    </xf>
    <xf numFmtId="43" fontId="45" fillId="0" borderId="0" xfId="0" applyNumberFormat="1" applyFont="1"/>
    <xf numFmtId="14" fontId="239" fillId="0" borderId="20" xfId="0" applyNumberFormat="1" applyFont="1" applyBorder="1" applyAlignment="1">
      <alignment horizontal="center" vertical="center"/>
    </xf>
    <xf numFmtId="0" fontId="273" fillId="111" borderId="159" xfId="0" applyFont="1" applyFill="1" applyBorder="1"/>
    <xf numFmtId="0" fontId="273" fillId="111" borderId="151" xfId="0" applyFont="1" applyFill="1" applyBorder="1"/>
    <xf numFmtId="14" fontId="239" fillId="0" borderId="0" xfId="0" applyNumberFormat="1" applyFont="1" applyAlignment="1">
      <alignment horizontal="center" vertical="center"/>
    </xf>
    <xf numFmtId="0" fontId="280" fillId="0" borderId="0" xfId="0" applyFont="1"/>
    <xf numFmtId="171" fontId="45" fillId="0" borderId="0" xfId="907" applyNumberFormat="1" applyFont="1"/>
    <xf numFmtId="0" fontId="32" fillId="59" borderId="0" xfId="907" applyFill="1"/>
    <xf numFmtId="43" fontId="32" fillId="0" borderId="0" xfId="0" applyNumberFormat="1" applyFont="1"/>
    <xf numFmtId="0" fontId="32" fillId="0" borderId="0" xfId="907" applyAlignment="1">
      <alignment horizontal="center"/>
    </xf>
    <xf numFmtId="0" fontId="274" fillId="43" borderId="149" xfId="0" applyFont="1" applyFill="1" applyBorder="1" applyAlignment="1">
      <alignment horizontal="center" vertical="center" wrapText="1"/>
    </xf>
    <xf numFmtId="0" fontId="274" fillId="43" borderId="148" xfId="0" applyFont="1" applyFill="1" applyBorder="1" applyAlignment="1">
      <alignment horizontal="center" vertical="center" wrapText="1"/>
    </xf>
    <xf numFmtId="0" fontId="32" fillId="59" borderId="144" xfId="907" applyFill="1" applyBorder="1"/>
    <xf numFmtId="0" fontId="274" fillId="59" borderId="144" xfId="0" applyFont="1" applyFill="1" applyBorder="1"/>
    <xf numFmtId="10" fontId="32" fillId="0" borderId="0" xfId="847" applyNumberFormat="1" applyFont="1" applyFill="1" applyBorder="1" applyAlignment="1"/>
    <xf numFmtId="10" fontId="32" fillId="0" borderId="144" xfId="847" applyNumberFormat="1" applyFont="1" applyFill="1" applyBorder="1" applyAlignment="1"/>
    <xf numFmtId="0" fontId="38" fillId="42" borderId="0" xfId="0" applyFont="1" applyFill="1"/>
    <xf numFmtId="0" fontId="32" fillId="42" borderId="0" xfId="0" applyFont="1" applyFill="1"/>
    <xf numFmtId="165" fontId="32" fillId="0" borderId="0" xfId="0" applyNumberFormat="1" applyFont="1"/>
    <xf numFmtId="168" fontId="32" fillId="0" borderId="0" xfId="863" applyFont="1" applyFill="1" applyBorder="1" applyAlignment="1"/>
    <xf numFmtId="170" fontId="32" fillId="0" borderId="0" xfId="0" applyNumberFormat="1" applyFont="1"/>
    <xf numFmtId="0" fontId="281" fillId="96" borderId="147" xfId="0" applyFont="1" applyFill="1" applyBorder="1" applyAlignment="1">
      <alignment vertical="center"/>
    </xf>
    <xf numFmtId="0" fontId="281" fillId="96" borderId="29" xfId="0" applyFont="1" applyFill="1" applyBorder="1" applyAlignment="1">
      <alignment vertical="center"/>
    </xf>
    <xf numFmtId="14" fontId="32" fillId="0" borderId="0" xfId="0" applyNumberFormat="1" applyFont="1" applyAlignment="1">
      <alignment horizontal="right"/>
    </xf>
    <xf numFmtId="14" fontId="32" fillId="41" borderId="0" xfId="0" applyNumberFormat="1" applyFont="1" applyFill="1" applyAlignment="1">
      <alignment horizontal="right"/>
    </xf>
    <xf numFmtId="14" fontId="32" fillId="41" borderId="0" xfId="0" applyNumberFormat="1" applyFont="1" applyFill="1"/>
    <xf numFmtId="14" fontId="32" fillId="0" borderId="0" xfId="0" applyNumberFormat="1" applyFont="1" applyAlignment="1">
      <alignment horizontal="center"/>
    </xf>
    <xf numFmtId="0" fontId="118" fillId="0" borderId="0" xfId="0" applyFont="1" applyAlignment="1">
      <alignment horizontal="center"/>
    </xf>
    <xf numFmtId="14" fontId="32" fillId="0" borderId="10" xfId="0" applyNumberFormat="1" applyFont="1" applyBorder="1" applyAlignment="1">
      <alignment horizontal="center"/>
    </xf>
    <xf numFmtId="14" fontId="118" fillId="0" borderId="0" xfId="0" applyNumberFormat="1" applyFont="1" applyAlignment="1">
      <alignment horizontal="center"/>
    </xf>
    <xf numFmtId="0" fontId="118" fillId="98" borderId="152" xfId="0" applyFont="1" applyFill="1" applyBorder="1"/>
    <xf numFmtId="0" fontId="32" fillId="98" borderId="152" xfId="0" applyFont="1" applyFill="1" applyBorder="1"/>
    <xf numFmtId="263" fontId="118" fillId="98" borderId="152" xfId="0" applyNumberFormat="1" applyFont="1" applyFill="1" applyBorder="1"/>
    <xf numFmtId="0" fontId="32" fillId="0" borderId="10" xfId="0" applyFont="1" applyBorder="1"/>
    <xf numFmtId="1" fontId="32" fillId="0" borderId="0" xfId="815" applyNumberFormat="1" applyFont="1" applyFill="1" applyBorder="1" applyAlignment="1"/>
    <xf numFmtId="3" fontId="32" fillId="42" borderId="144" xfId="0" applyNumberFormat="1" applyFont="1" applyFill="1" applyBorder="1"/>
    <xf numFmtId="10" fontId="207" fillId="44" borderId="0" xfId="847" applyNumberFormat="1" applyFont="1" applyFill="1" applyBorder="1"/>
    <xf numFmtId="0" fontId="32" fillId="109" borderId="0" xfId="863" applyNumberFormat="1" applyFont="1" applyFill="1" applyBorder="1" applyAlignment="1">
      <alignment horizontal="left"/>
    </xf>
    <xf numFmtId="10" fontId="32" fillId="109" borderId="0" xfId="847" applyNumberFormat="1" applyFont="1" applyFill="1" applyBorder="1" applyAlignment="1">
      <alignment horizontal="left"/>
    </xf>
    <xf numFmtId="260" fontId="32" fillId="109" borderId="0" xfId="0" applyNumberFormat="1" applyFont="1" applyFill="1" applyAlignment="1">
      <alignment horizontal="left"/>
    </xf>
    <xf numFmtId="260" fontId="32" fillId="109" borderId="0" xfId="0" applyNumberFormat="1" applyFont="1" applyFill="1"/>
    <xf numFmtId="257" fontId="32" fillId="109" borderId="0" xfId="863" applyNumberFormat="1" applyFont="1" applyFill="1" applyBorder="1" applyAlignment="1">
      <alignment horizontal="left"/>
    </xf>
    <xf numFmtId="258" fontId="32" fillId="109" borderId="0" xfId="847" applyNumberFormat="1" applyFont="1" applyFill="1" applyBorder="1" applyAlignment="1">
      <alignment horizontal="left"/>
    </xf>
    <xf numFmtId="259" fontId="32" fillId="109" borderId="0" xfId="0" applyNumberFormat="1" applyFont="1" applyFill="1" applyAlignment="1">
      <alignment horizontal="left"/>
    </xf>
    <xf numFmtId="230" fontId="32" fillId="109" borderId="0" xfId="2697" applyNumberFormat="1" applyFill="1"/>
    <xf numFmtId="257" fontId="32" fillId="109" borderId="0" xfId="847" applyNumberFormat="1" applyFont="1" applyFill="1" applyBorder="1" applyAlignment="1">
      <alignment horizontal="left"/>
    </xf>
    <xf numFmtId="4" fontId="32" fillId="109" borderId="0" xfId="863" applyNumberFormat="1" applyFont="1" applyFill="1" applyBorder="1" applyAlignment="1">
      <alignment horizontal="left"/>
    </xf>
    <xf numFmtId="0" fontId="32" fillId="109" borderId="0" xfId="0" applyFont="1" applyFill="1" applyAlignment="1">
      <alignment horizontal="left"/>
    </xf>
    <xf numFmtId="0" fontId="277" fillId="0" borderId="160" xfId="0" applyFont="1" applyBorder="1"/>
    <xf numFmtId="0" fontId="32" fillId="0" borderId="0" xfId="0" applyFont="1" applyAlignment="1">
      <alignment horizontal="center" vertical="distributed"/>
    </xf>
    <xf numFmtId="0" fontId="214" fillId="0" borderId="0" xfId="0" applyFont="1" applyAlignment="1">
      <alignment horizontal="center"/>
    </xf>
    <xf numFmtId="0" fontId="207" fillId="0" borderId="0" xfId="908" applyFont="1">
      <alignment vertical="top"/>
    </xf>
    <xf numFmtId="0" fontId="214" fillId="0" borderId="0" xfId="0" applyFont="1" applyAlignment="1">
      <alignment horizontal="left"/>
    </xf>
    <xf numFmtId="0" fontId="207" fillId="0" borderId="0" xfId="0" applyFont="1" applyAlignment="1" applyProtection="1">
      <alignment horizontal="left"/>
      <protection hidden="1"/>
    </xf>
    <xf numFmtId="168" fontId="207" fillId="0" borderId="0" xfId="43185" applyNumberFormat="1" applyFont="1" applyFill="1" applyBorder="1" applyAlignment="1" applyProtection="1">
      <alignment horizontal="right"/>
      <protection locked="0"/>
    </xf>
    <xf numFmtId="168" fontId="210" fillId="0" borderId="0" xfId="43183" applyNumberFormat="1" applyFont="1" applyFill="1" applyBorder="1" applyAlignment="1" applyProtection="1">
      <alignment vertical="center"/>
    </xf>
    <xf numFmtId="0" fontId="284" fillId="33" borderId="0" xfId="829" applyFont="1" applyFill="1" applyAlignment="1">
      <alignment horizontal="left" vertical="top"/>
    </xf>
    <xf numFmtId="0" fontId="278" fillId="33" borderId="0" xfId="829" applyFont="1" applyFill="1"/>
    <xf numFmtId="0" fontId="285" fillId="33" borderId="0" xfId="829" applyFont="1" applyFill="1"/>
    <xf numFmtId="0" fontId="285" fillId="0" borderId="0" xfId="0" applyFont="1"/>
    <xf numFmtId="0" fontId="286" fillId="33" borderId="0" xfId="829" applyFont="1" applyFill="1" applyAlignment="1">
      <alignment horizontal="left" vertical="top"/>
    </xf>
    <xf numFmtId="167" fontId="285" fillId="42" borderId="0" xfId="815" applyFont="1" applyFill="1" applyBorder="1"/>
    <xf numFmtId="0" fontId="282" fillId="0" borderId="0" xfId="0" applyFont="1"/>
    <xf numFmtId="0" fontId="32" fillId="0" borderId="0" xfId="0" applyFont="1" applyAlignment="1">
      <alignment horizontal="center" vertical="center"/>
    </xf>
    <xf numFmtId="0" fontId="32" fillId="113" borderId="161" xfId="0" applyFont="1" applyFill="1" applyBorder="1" applyAlignment="1">
      <alignment horizontal="center" vertical="distributed"/>
    </xf>
    <xf numFmtId="0" fontId="32" fillId="114" borderId="161" xfId="0" applyFont="1" applyFill="1" applyBorder="1" applyAlignment="1">
      <alignment horizontal="center" vertical="distributed"/>
    </xf>
    <xf numFmtId="0" fontId="32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2" fillId="42" borderId="0" xfId="847" applyNumberFormat="1" applyFont="1" applyFill="1" applyBorder="1" applyAlignment="1">
      <alignment horizontal="left"/>
    </xf>
    <xf numFmtId="230" fontId="32" fillId="42" borderId="0" xfId="863" applyNumberFormat="1" applyFont="1" applyFill="1" applyBorder="1" applyAlignment="1">
      <alignment horizontal="left"/>
    </xf>
    <xf numFmtId="0" fontId="118" fillId="99" borderId="0" xfId="907" applyFont="1" applyFill="1" applyAlignment="1">
      <alignment horizontal="center"/>
    </xf>
    <xf numFmtId="167" fontId="112" fillId="94" borderId="0" xfId="815" applyFont="1" applyFill="1" applyBorder="1" applyAlignment="1">
      <alignment horizontal="center" vertical="center" wrapText="1"/>
    </xf>
    <xf numFmtId="0" fontId="119" fillId="0" borderId="0" xfId="2697" applyFont="1" applyAlignment="1">
      <alignment horizontal="center" vertical="center" wrapText="1"/>
    </xf>
    <xf numFmtId="167" fontId="40" fillId="0" borderId="0" xfId="815" applyFont="1" applyFill="1" applyBorder="1" applyAlignment="1">
      <alignment horizontal="center" vertical="center" wrapText="1"/>
    </xf>
    <xf numFmtId="167" fontId="45" fillId="0" borderId="0" xfId="815" applyFont="1" applyFill="1" applyBorder="1" applyAlignment="1">
      <alignment wrapText="1"/>
    </xf>
    <xf numFmtId="167" fontId="45" fillId="0" borderId="0" xfId="815" applyFont="1" applyFill="1" applyBorder="1" applyAlignment="1"/>
    <xf numFmtId="9" fontId="112" fillId="0" borderId="0" xfId="1823" applyFont="1" applyFill="1" applyBorder="1" applyAlignment="1">
      <alignment horizontal="left" vertical="center" wrapText="1"/>
    </xf>
    <xf numFmtId="217" fontId="112" fillId="0" borderId="0" xfId="1823" applyNumberFormat="1" applyFont="1" applyFill="1" applyBorder="1" applyAlignment="1">
      <alignment horizontal="center" vertical="center" wrapText="1"/>
    </xf>
    <xf numFmtId="167" fontId="112" fillId="0" borderId="0" xfId="815" applyFont="1" applyFill="1" applyBorder="1" applyAlignment="1">
      <alignment horizontal="center" vertical="center" wrapText="1"/>
    </xf>
    <xf numFmtId="167" fontId="112" fillId="0" borderId="0" xfId="815" applyFont="1" applyFill="1" applyBorder="1" applyAlignment="1">
      <alignment wrapText="1"/>
    </xf>
    <xf numFmtId="9" fontId="112" fillId="0" borderId="0" xfId="1823" applyFont="1" applyFill="1" applyBorder="1" applyAlignment="1">
      <alignment horizontal="center" vertical="center" wrapText="1"/>
    </xf>
    <xf numFmtId="0" fontId="45" fillId="41" borderId="106" xfId="907" applyFont="1" applyFill="1" applyBorder="1"/>
    <xf numFmtId="0" fontId="45" fillId="41" borderId="106" xfId="2697" applyFont="1" applyFill="1" applyBorder="1"/>
    <xf numFmtId="0" fontId="45" fillId="0" borderId="106" xfId="907" applyFont="1" applyBorder="1"/>
    <xf numFmtId="43" fontId="45" fillId="41" borderId="106" xfId="907" applyNumberFormat="1" applyFont="1" applyFill="1" applyBorder="1"/>
    <xf numFmtId="0" fontId="265" fillId="0" borderId="0" xfId="2697" applyFont="1"/>
    <xf numFmtId="0" fontId="148" fillId="41" borderId="0" xfId="36379" applyFont="1" applyFill="1" applyProtection="1">
      <protection locked="0"/>
    </xf>
    <xf numFmtId="0" fontId="45" fillId="41" borderId="0" xfId="36379" applyFont="1" applyFill="1"/>
    <xf numFmtId="0" fontId="291" fillId="41" borderId="0" xfId="36379" applyFont="1" applyFill="1" applyProtection="1">
      <protection locked="0"/>
    </xf>
    <xf numFmtId="10" fontId="32" fillId="0" borderId="0" xfId="847" applyNumberFormat="1" applyFont="1" applyAlignment="1">
      <alignment horizontal="center"/>
    </xf>
    <xf numFmtId="0" fontId="214" fillId="43" borderId="0" xfId="0" applyFont="1" applyFill="1" applyAlignment="1">
      <alignment horizontal="left"/>
    </xf>
    <xf numFmtId="10" fontId="207" fillId="45" borderId="0" xfId="847" applyNumberFormat="1" applyFont="1" applyFill="1" applyBorder="1"/>
    <xf numFmtId="262" fontId="207" fillId="0" borderId="152" xfId="847" applyNumberFormat="1" applyFont="1" applyFill="1" applyBorder="1"/>
    <xf numFmtId="0" fontId="215" fillId="0" borderId="0" xfId="907" applyFont="1" applyAlignment="1">
      <alignment horizontal="left"/>
    </xf>
    <xf numFmtId="22" fontId="45" fillId="0" borderId="0" xfId="0" applyNumberFormat="1" applyFont="1" applyAlignment="1">
      <alignment horizontal="right"/>
    </xf>
    <xf numFmtId="0" fontId="45" fillId="0" borderId="144" xfId="907" applyFont="1" applyBorder="1"/>
    <xf numFmtId="0" fontId="207" fillId="0" borderId="152" xfId="0" applyFont="1" applyBorder="1" applyAlignment="1">
      <alignment horizontal="center"/>
    </xf>
    <xf numFmtId="0" fontId="214" fillId="43" borderId="144" xfId="0" applyFont="1" applyFill="1" applyBorder="1" applyAlignment="1">
      <alignment horizontal="center"/>
    </xf>
    <xf numFmtId="0" fontId="210" fillId="56" borderId="156" xfId="834" applyFont="1" applyFill="1" applyBorder="1" applyAlignment="1" applyProtection="1">
      <alignment horizontal="left" vertical="center"/>
    </xf>
    <xf numFmtId="0" fontId="210" fillId="56" borderId="155" xfId="834" applyFont="1" applyFill="1" applyBorder="1" applyAlignment="1" applyProtection="1">
      <alignment horizontal="left" vertical="center"/>
    </xf>
    <xf numFmtId="10" fontId="207" fillId="0" borderId="152" xfId="847" applyNumberFormat="1" applyFont="1" applyFill="1" applyBorder="1"/>
    <xf numFmtId="0" fontId="244" fillId="41" borderId="0" xfId="831" applyFont="1" applyFill="1" applyAlignment="1">
      <alignment horizontal="left"/>
    </xf>
    <xf numFmtId="0" fontId="250" fillId="41" borderId="106" xfId="831" applyFont="1" applyFill="1" applyBorder="1" applyAlignment="1">
      <alignment horizontal="left"/>
    </xf>
    <xf numFmtId="0" fontId="245" fillId="41" borderId="0" xfId="831" applyFont="1" applyFill="1" applyAlignment="1">
      <alignment horizontal="left"/>
    </xf>
    <xf numFmtId="0" fontId="45" fillId="0" borderId="0" xfId="2697" applyFont="1" applyAlignment="1">
      <alignment horizontal="center"/>
    </xf>
    <xf numFmtId="0" fontId="119" fillId="55" borderId="163" xfId="2697" applyFont="1" applyFill="1" applyBorder="1" applyAlignment="1">
      <alignment horizontal="center" vertical="center" wrapText="1"/>
    </xf>
    <xf numFmtId="0" fontId="119" fillId="55" borderId="164" xfId="2697" applyFont="1" applyFill="1" applyBorder="1" applyAlignment="1">
      <alignment horizontal="center" vertical="center" wrapText="1"/>
    </xf>
    <xf numFmtId="269" fontId="45" fillId="0" borderId="20" xfId="43183" applyNumberFormat="1" applyFont="1" applyBorder="1" applyAlignment="1">
      <alignment vertical="center"/>
    </xf>
    <xf numFmtId="0" fontId="45" fillId="0" borderId="29" xfId="2697" applyFont="1" applyBorder="1" applyAlignment="1">
      <alignment vertical="center"/>
    </xf>
    <xf numFmtId="269" fontId="45" fillId="0" borderId="20" xfId="2697" applyNumberFormat="1" applyFont="1" applyBorder="1" applyAlignment="1">
      <alignment vertical="center"/>
    </xf>
    <xf numFmtId="269" fontId="45" fillId="0" borderId="10" xfId="2697" applyNumberFormat="1" applyFont="1" applyBorder="1" applyAlignment="1">
      <alignment vertical="center"/>
    </xf>
    <xf numFmtId="0" fontId="45" fillId="0" borderId="155" xfId="2697" applyFont="1" applyBorder="1" applyAlignment="1">
      <alignment vertical="center"/>
    </xf>
    <xf numFmtId="269" fontId="45" fillId="0" borderId="156" xfId="2697" applyNumberFormat="1" applyFont="1" applyBorder="1" applyAlignment="1">
      <alignment vertical="center"/>
    </xf>
    <xf numFmtId="0" fontId="119" fillId="55" borderId="0" xfId="2697" applyFont="1" applyFill="1" applyAlignment="1">
      <alignment horizontal="center" vertical="center" wrapText="1"/>
    </xf>
    <xf numFmtId="171" fontId="119" fillId="43" borderId="0" xfId="2697" applyNumberFormat="1" applyFont="1" applyFill="1" applyAlignment="1">
      <alignment horizontal="center" vertical="center" wrapText="1"/>
    </xf>
    <xf numFmtId="171" fontId="119" fillId="55" borderId="0" xfId="2697" applyNumberFormat="1" applyFont="1" applyFill="1" applyAlignment="1">
      <alignment horizontal="center" vertical="center" wrapText="1"/>
    </xf>
    <xf numFmtId="0" fontId="45" fillId="0" borderId="29" xfId="2697" applyFont="1" applyBorder="1"/>
    <xf numFmtId="0" fontId="45" fillId="0" borderId="10" xfId="2697" applyFont="1" applyBorder="1" applyAlignment="1">
      <alignment vertical="center"/>
    </xf>
    <xf numFmtId="270" fontId="45" fillId="0" borderId="0" xfId="2697" applyNumberFormat="1" applyFont="1" applyAlignment="1">
      <alignment vertical="center"/>
    </xf>
    <xf numFmtId="0" fontId="45" fillId="0" borderId="155" xfId="2697" applyFont="1" applyBorder="1"/>
    <xf numFmtId="0" fontId="45" fillId="0" borderId="20" xfId="2697" applyFont="1" applyBorder="1" applyAlignment="1">
      <alignment vertical="center"/>
    </xf>
    <xf numFmtId="270" fontId="45" fillId="115" borderId="20" xfId="2697" applyNumberFormat="1" applyFont="1" applyFill="1" applyBorder="1" applyAlignment="1">
      <alignment vertical="center"/>
    </xf>
    <xf numFmtId="270" fontId="45" fillId="115" borderId="0" xfId="2697" applyNumberFormat="1" applyFont="1" applyFill="1" applyAlignment="1">
      <alignment vertical="center"/>
    </xf>
    <xf numFmtId="270" fontId="45" fillId="115" borderId="156" xfId="2697" applyNumberFormat="1" applyFont="1" applyFill="1" applyBorder="1" applyAlignment="1">
      <alignment vertical="center"/>
    </xf>
    <xf numFmtId="0" fontId="45" fillId="0" borderId="152" xfId="0" applyFont="1" applyBorder="1"/>
    <xf numFmtId="0" fontId="270" fillId="0" borderId="152" xfId="0" applyFont="1" applyBorder="1"/>
    <xf numFmtId="0" fontId="270" fillId="99" borderId="152" xfId="0" applyFont="1" applyFill="1" applyBorder="1"/>
    <xf numFmtId="14" fontId="32" fillId="109" borderId="0" xfId="0" applyNumberFormat="1" applyFont="1" applyFill="1" applyAlignment="1">
      <alignment horizontal="right"/>
    </xf>
    <xf numFmtId="168" fontId="45" fillId="0" borderId="10" xfId="863" applyFont="1" applyBorder="1" applyAlignment="1">
      <alignment vertical="center"/>
    </xf>
    <xf numFmtId="0" fontId="292" fillId="0" borderId="152" xfId="907" applyFont="1" applyBorder="1" applyAlignment="1">
      <alignment horizontal="left"/>
    </xf>
    <xf numFmtId="10" fontId="45" fillId="0" borderId="152" xfId="907" applyNumberFormat="1" applyFont="1" applyBorder="1"/>
    <xf numFmtId="0" fontId="45" fillId="0" borderId="152" xfId="907" applyFont="1" applyBorder="1"/>
    <xf numFmtId="0" fontId="112" fillId="0" borderId="152" xfId="907" applyFont="1" applyBorder="1" applyAlignment="1">
      <alignment horizontal="left"/>
    </xf>
    <xf numFmtId="0" fontId="293" fillId="0" borderId="152" xfId="907" applyFont="1" applyBorder="1"/>
    <xf numFmtId="168" fontId="293" fillId="0" borderId="152" xfId="863" applyFont="1" applyFill="1" applyBorder="1"/>
    <xf numFmtId="0" fontId="45" fillId="41" borderId="152" xfId="907" applyFont="1" applyFill="1" applyBorder="1"/>
    <xf numFmtId="0" fontId="45" fillId="0" borderId="152" xfId="907" applyFont="1" applyBorder="1" applyAlignment="1">
      <alignment horizontal="center"/>
    </xf>
    <xf numFmtId="4" fontId="45" fillId="0" borderId="152" xfId="815" applyNumberFormat="1" applyFont="1" applyFill="1" applyBorder="1"/>
    <xf numFmtId="22" fontId="45" fillId="0" borderId="0" xfId="907" applyNumberFormat="1" applyFont="1"/>
    <xf numFmtId="22" fontId="45" fillId="0" borderId="152" xfId="907" applyNumberFormat="1" applyFont="1" applyBorder="1"/>
    <xf numFmtId="168" fontId="213" fillId="0" borderId="0" xfId="863" applyFont="1" applyBorder="1" applyAlignment="1">
      <alignment horizontal="right" vertical="center"/>
    </xf>
    <xf numFmtId="0" fontId="207" fillId="0" borderId="166" xfId="0" applyFont="1" applyBorder="1"/>
    <xf numFmtId="0" fontId="214" fillId="0" borderId="166" xfId="0" applyFont="1" applyBorder="1" applyAlignment="1">
      <alignment horizontal="center"/>
    </xf>
    <xf numFmtId="167" fontId="210" fillId="0" borderId="166" xfId="0" applyNumberFormat="1" applyFont="1" applyBorder="1" applyProtection="1">
      <protection hidden="1"/>
    </xf>
    <xf numFmtId="0" fontId="242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2" fillId="0" borderId="0" xfId="0" applyNumberFormat="1" applyFont="1" applyAlignment="1">
      <alignment horizontal="center" vertical="distributed"/>
    </xf>
    <xf numFmtId="0" fontId="237" fillId="42" borderId="0" xfId="0" applyFont="1" applyFill="1"/>
    <xf numFmtId="171" fontId="32" fillId="108" borderId="167" xfId="907" applyNumberFormat="1" applyFill="1" applyBorder="1"/>
    <xf numFmtId="171" fontId="32" fillId="108" borderId="170" xfId="907" applyNumberFormat="1" applyFill="1" applyBorder="1"/>
    <xf numFmtId="171" fontId="32" fillId="59" borderId="170" xfId="907" applyNumberFormat="1" applyFill="1" applyBorder="1"/>
    <xf numFmtId="171" fontId="32" fillId="59" borderId="172" xfId="907" applyNumberFormat="1" applyFill="1" applyBorder="1"/>
    <xf numFmtId="0" fontId="274" fillId="43" borderId="167" xfId="0" applyFont="1" applyFill="1" applyBorder="1" applyAlignment="1">
      <alignment horizontal="center" vertical="center" wrapText="1"/>
    </xf>
    <xf numFmtId="0" fontId="274" fillId="43" borderId="174" xfId="0" applyFont="1" applyFill="1" applyBorder="1" applyAlignment="1">
      <alignment horizontal="center" vertical="center" wrapText="1"/>
    </xf>
    <xf numFmtId="0" fontId="274" fillId="43" borderId="169" xfId="0" applyFont="1" applyFill="1" applyBorder="1" applyAlignment="1">
      <alignment vertical="center" wrapText="1"/>
    </xf>
    <xf numFmtId="171" fontId="32" fillId="108" borderId="172" xfId="907" applyNumberFormat="1" applyFill="1" applyBorder="1"/>
    <xf numFmtId="167" fontId="32" fillId="109" borderId="171" xfId="815" applyFont="1" applyFill="1" applyBorder="1" applyAlignment="1">
      <alignment horizontal="center" vertical="center"/>
    </xf>
    <xf numFmtId="168" fontId="235" fillId="0" borderId="0" xfId="863" quotePrefix="1" applyFont="1"/>
    <xf numFmtId="0" fontId="38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10" fillId="41" borderId="178" xfId="863" applyFont="1" applyFill="1" applyBorder="1"/>
    <xf numFmtId="272" fontId="210" fillId="41" borderId="178" xfId="863" applyNumberFormat="1" applyFont="1" applyFill="1" applyBorder="1"/>
    <xf numFmtId="167" fontId="32" fillId="44" borderId="173" xfId="815" applyFont="1" applyFill="1" applyBorder="1" applyAlignment="1">
      <alignment horizontal="center" vertical="center"/>
    </xf>
    <xf numFmtId="167" fontId="32" fillId="44" borderId="176" xfId="815" applyFont="1" applyFill="1" applyBorder="1" applyAlignment="1">
      <alignment horizontal="center" vertical="center"/>
    </xf>
    <xf numFmtId="0" fontId="210" fillId="41" borderId="178" xfId="0" applyFont="1" applyFill="1" applyBorder="1" applyAlignment="1">
      <alignment horizontal="right"/>
    </xf>
    <xf numFmtId="0" fontId="210" fillId="41" borderId="178" xfId="0" applyFont="1" applyFill="1" applyBorder="1" applyAlignment="1">
      <alignment horizontal="left"/>
    </xf>
    <xf numFmtId="0" fontId="207" fillId="41" borderId="178" xfId="0" applyFont="1" applyFill="1" applyBorder="1" applyAlignment="1">
      <alignment horizontal="right"/>
    </xf>
    <xf numFmtId="168" fontId="210" fillId="41" borderId="178" xfId="0" applyNumberFormat="1" applyFont="1" applyFill="1" applyBorder="1"/>
    <xf numFmtId="167" fontId="32" fillId="44" borderId="179" xfId="815" applyFont="1" applyFill="1" applyBorder="1" applyAlignment="1">
      <alignment horizontal="center" vertical="center"/>
    </xf>
    <xf numFmtId="167" fontId="32" fillId="44" borderId="180" xfId="815" applyFont="1" applyFill="1" applyBorder="1" applyAlignment="1">
      <alignment horizontal="center" vertical="center"/>
    </xf>
    <xf numFmtId="167" fontId="32" fillId="59" borderId="179" xfId="815" applyFont="1" applyFill="1" applyBorder="1" applyAlignment="1">
      <alignment horizontal="center" vertical="center"/>
    </xf>
    <xf numFmtId="167" fontId="32" fillId="59" borderId="173" xfId="815" applyFont="1" applyFill="1" applyBorder="1" applyAlignment="1">
      <alignment horizontal="center" vertical="center"/>
    </xf>
    <xf numFmtId="167" fontId="32" fillId="59" borderId="180" xfId="815" applyFont="1" applyFill="1" applyBorder="1" applyAlignment="1">
      <alignment horizontal="center" vertical="center"/>
    </xf>
    <xf numFmtId="0" fontId="45" fillId="0" borderId="160" xfId="0" applyFont="1" applyBorder="1"/>
    <xf numFmtId="0" fontId="45" fillId="0" borderId="153" xfId="0" applyFont="1" applyBorder="1"/>
    <xf numFmtId="4" fontId="239" fillId="0" borderId="20" xfId="0" applyNumberFormat="1" applyFont="1" applyBorder="1" applyAlignment="1">
      <alignment horizontal="right" vertical="center"/>
    </xf>
    <xf numFmtId="167" fontId="32" fillId="109" borderId="180" xfId="815" applyFont="1" applyFill="1" applyBorder="1" applyAlignment="1">
      <alignment horizontal="center" vertical="center"/>
    </xf>
    <xf numFmtId="0" fontId="32" fillId="59" borderId="166" xfId="907" applyFill="1" applyBorder="1"/>
    <xf numFmtId="0" fontId="32" fillId="59" borderId="178" xfId="907" applyFill="1" applyBorder="1"/>
    <xf numFmtId="217" fontId="45" fillId="41" borderId="0" xfId="847" applyNumberFormat="1" applyFont="1" applyFill="1" applyBorder="1" applyAlignment="1">
      <alignment horizontal="center"/>
    </xf>
    <xf numFmtId="0" fontId="32" fillId="109" borderId="166" xfId="0" applyFont="1" applyFill="1" applyBorder="1" applyAlignment="1">
      <alignment horizontal="left" wrapText="1"/>
    </xf>
    <xf numFmtId="14" fontId="32" fillId="109" borderId="178" xfId="0" applyNumberFormat="1" applyFont="1" applyFill="1" applyBorder="1" applyAlignment="1">
      <alignment horizontal="left" wrapText="1"/>
    </xf>
    <xf numFmtId="0" fontId="32" fillId="109" borderId="144" xfId="0" applyFont="1" applyFill="1" applyBorder="1" applyAlignment="1">
      <alignment horizontal="left" wrapText="1"/>
    </xf>
    <xf numFmtId="0" fontId="207" fillId="0" borderId="0" xfId="863" applyNumberFormat="1" applyFont="1" applyFill="1" applyBorder="1"/>
    <xf numFmtId="0" fontId="207" fillId="0" borderId="0" xfId="815" applyNumberFormat="1" applyFont="1" applyFill="1" applyBorder="1"/>
    <xf numFmtId="168" fontId="0" fillId="0" borderId="0" xfId="0" applyNumberFormat="1"/>
    <xf numFmtId="0" fontId="197" fillId="0" borderId="0" xfId="0" applyFont="1" applyAlignment="1">
      <alignment vertical="center"/>
    </xf>
    <xf numFmtId="0" fontId="32" fillId="0" borderId="178" xfId="0" applyFont="1" applyBorder="1"/>
    <xf numFmtId="167" fontId="32" fillId="42" borderId="178" xfId="815" applyFont="1" applyFill="1" applyBorder="1" applyAlignment="1">
      <alignment horizontal="left"/>
    </xf>
    <xf numFmtId="168" fontId="45" fillId="0" borderId="0" xfId="0" applyNumberFormat="1" applyFont="1"/>
    <xf numFmtId="0" fontId="32" fillId="0" borderId="0" xfId="0" applyFont="1" applyAlignment="1">
      <alignment horizontal="right"/>
    </xf>
    <xf numFmtId="168" fontId="45" fillId="41" borderId="0" xfId="863" applyFont="1" applyFill="1" applyBorder="1" applyAlignment="1"/>
    <xf numFmtId="14" fontId="32" fillId="0" borderId="106" xfId="0" applyNumberFormat="1" applyFont="1" applyBorder="1"/>
    <xf numFmtId="14" fontId="45" fillId="0" borderId="0" xfId="847" applyNumberFormat="1" applyFont="1"/>
    <xf numFmtId="14" fontId="277" fillId="111" borderId="16" xfId="0" applyNumberFormat="1" applyFont="1" applyFill="1" applyBorder="1"/>
    <xf numFmtId="14" fontId="239" fillId="0" borderId="0" xfId="863" applyNumberFormat="1" applyFont="1" applyFill="1" applyBorder="1" applyAlignment="1">
      <alignment horizontal="center" vertical="center" wrapText="1"/>
    </xf>
    <xf numFmtId="14" fontId="248" fillId="0" borderId="0" xfId="43183" applyNumberFormat="1" applyFont="1" applyFill="1" applyBorder="1"/>
    <xf numFmtId="274" fontId="207" fillId="41" borderId="0" xfId="863" applyNumberFormat="1" applyFont="1" applyFill="1" applyBorder="1" applyAlignment="1">
      <alignment horizontal="right"/>
    </xf>
    <xf numFmtId="168" fontId="218" fillId="0" borderId="0" xfId="863" applyFont="1"/>
    <xf numFmtId="168" fontId="221" fillId="0" borderId="0" xfId="863" applyFont="1"/>
    <xf numFmtId="10" fontId="210" fillId="0" borderId="0" xfId="847" applyNumberFormat="1" applyFont="1"/>
    <xf numFmtId="0" fontId="0" fillId="0" borderId="181" xfId="0" applyBorder="1"/>
    <xf numFmtId="0" fontId="0" fillId="0" borderId="182" xfId="0" applyBorder="1"/>
    <xf numFmtId="14" fontId="32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5" fillId="41" borderId="0" xfId="847" applyNumberFormat="1" applyFont="1" applyFill="1" applyBorder="1"/>
    <xf numFmtId="168" fontId="212" fillId="0" borderId="0" xfId="831" applyNumberFormat="1" applyFont="1" applyAlignment="1">
      <alignment vertical="center"/>
    </xf>
    <xf numFmtId="10" fontId="45" fillId="102" borderId="0" xfId="907" applyNumberFormat="1" applyFont="1" applyFill="1"/>
    <xf numFmtId="0" fontId="274" fillId="0" borderId="144" xfId="0" applyFont="1" applyBorder="1" applyAlignment="1">
      <alignment horizontal="center" vertical="center" wrapText="1"/>
    </xf>
    <xf numFmtId="0" fontId="118" fillId="0" borderId="0" xfId="0" applyFont="1" applyAlignment="1">
      <alignment horizontal="center" vertical="distributed"/>
    </xf>
    <xf numFmtId="10" fontId="118" fillId="0" borderId="0" xfId="847" applyNumberFormat="1" applyFont="1" applyAlignment="1">
      <alignment horizontal="center"/>
    </xf>
    <xf numFmtId="0" fontId="269" fillId="102" borderId="152" xfId="0" applyFont="1" applyFill="1" applyBorder="1" applyAlignment="1">
      <alignment horizontal="center" vertical="distributed"/>
    </xf>
    <xf numFmtId="168" fontId="118" fillId="0" borderId="0" xfId="863" quotePrefix="1" applyFont="1"/>
    <xf numFmtId="2" fontId="32" fillId="0" borderId="0" xfId="0" applyNumberFormat="1" applyFont="1" applyAlignment="1">
      <alignment horizontal="center"/>
    </xf>
    <xf numFmtId="10" fontId="32" fillId="0" borderId="0" xfId="0" applyNumberFormat="1" applyFont="1" applyAlignment="1">
      <alignment horizontal="center"/>
    </xf>
    <xf numFmtId="0" fontId="32" fillId="0" borderId="152" xfId="0" applyFont="1" applyBorder="1" applyAlignment="1">
      <alignment horizontal="center" vertical="distributed"/>
    </xf>
    <xf numFmtId="0" fontId="32" fillId="0" borderId="0" xfId="0" quotePrefix="1" applyFont="1"/>
    <xf numFmtId="168" fontId="32" fillId="61" borderId="144" xfId="863" applyFont="1" applyFill="1" applyBorder="1" applyAlignment="1">
      <alignment horizontal="right"/>
    </xf>
    <xf numFmtId="168" fontId="32" fillId="61" borderId="0" xfId="863" applyFont="1" applyFill="1" applyBorder="1" applyAlignment="1">
      <alignment horizontal="right"/>
    </xf>
    <xf numFmtId="168" fontId="32" fillId="0" borderId="0" xfId="0" applyNumberFormat="1" applyFont="1"/>
    <xf numFmtId="0" fontId="38" fillId="0" borderId="178" xfId="0" applyFont="1" applyBorder="1"/>
    <xf numFmtId="0" fontId="207" fillId="0" borderId="178" xfId="0" applyFont="1" applyBorder="1"/>
    <xf numFmtId="0" fontId="295" fillId="117" borderId="156" xfId="907" applyFont="1" applyFill="1" applyBorder="1"/>
    <xf numFmtId="0" fontId="296" fillId="59" borderId="0" xfId="0" applyFont="1" applyFill="1" applyAlignment="1">
      <alignment horizontal="left"/>
    </xf>
    <xf numFmtId="43" fontId="295" fillId="115" borderId="0" xfId="43408" applyFont="1" applyFill="1"/>
    <xf numFmtId="205" fontId="0" fillId="0" borderId="0" xfId="0" applyNumberFormat="1"/>
    <xf numFmtId="168" fontId="207" fillId="42" borderId="0" xfId="863" applyFont="1" applyFill="1"/>
    <xf numFmtId="167" fontId="207" fillId="109" borderId="0" xfId="815" applyFont="1" applyFill="1"/>
    <xf numFmtId="168" fontId="210" fillId="59" borderId="0" xfId="863" applyFont="1" applyFill="1"/>
    <xf numFmtId="0" fontId="295" fillId="0" borderId="0" xfId="907" applyFont="1"/>
    <xf numFmtId="43" fontId="296" fillId="0" borderId="0" xfId="43408" applyFont="1" applyFill="1" applyBorder="1"/>
    <xf numFmtId="43" fontId="295" fillId="0" borderId="0" xfId="43408" applyFont="1" applyFill="1" applyBorder="1"/>
    <xf numFmtId="167" fontId="296" fillId="0" borderId="0" xfId="815" applyFont="1" applyFill="1" applyBorder="1"/>
    <xf numFmtId="0" fontId="296" fillId="0" borderId="0" xfId="0" applyFont="1"/>
    <xf numFmtId="0" fontId="296" fillId="0" borderId="0" xfId="0" applyFont="1" applyAlignment="1">
      <alignment horizontal="left"/>
    </xf>
    <xf numFmtId="275" fontId="296" fillId="0" borderId="0" xfId="815" applyNumberFormat="1" applyFont="1" applyFill="1" applyBorder="1"/>
    <xf numFmtId="168" fontId="207" fillId="109" borderId="0" xfId="863" applyFont="1" applyFill="1"/>
    <xf numFmtId="0" fontId="295" fillId="0" borderId="20" xfId="907" applyFont="1" applyBorder="1"/>
    <xf numFmtId="217" fontId="296" fillId="0" borderId="0" xfId="847" applyNumberFormat="1" applyFont="1" applyFill="1"/>
    <xf numFmtId="43" fontId="295" fillId="0" borderId="0" xfId="43408" applyFont="1" applyFill="1"/>
    <xf numFmtId="43" fontId="295" fillId="0" borderId="29" xfId="43408" applyFont="1" applyFill="1" applyBorder="1"/>
    <xf numFmtId="0" fontId="295" fillId="0" borderId="156" xfId="907" applyFont="1" applyBorder="1"/>
    <xf numFmtId="43" fontId="207" fillId="42" borderId="0" xfId="863" applyNumberFormat="1" applyFont="1" applyFill="1" applyAlignment="1">
      <alignment horizontal="right"/>
    </xf>
    <xf numFmtId="275" fontId="296" fillId="42" borderId="0" xfId="815" applyNumberFormat="1" applyFont="1" applyFill="1"/>
    <xf numFmtId="168" fontId="210" fillId="0" borderId="0" xfId="863" applyFont="1"/>
    <xf numFmtId="167" fontId="207" fillId="42" borderId="0" xfId="815" applyFont="1" applyFill="1" applyBorder="1"/>
    <xf numFmtId="40" fontId="122" fillId="0" borderId="152" xfId="0" applyNumberFormat="1" applyFont="1" applyBorder="1" applyAlignment="1">
      <alignment horizontal="center" vertical="center"/>
    </xf>
    <xf numFmtId="0" fontId="32" fillId="0" borderId="156" xfId="0" applyFont="1" applyBorder="1" applyAlignment="1">
      <alignment horizontal="right"/>
    </xf>
    <xf numFmtId="0" fontId="45" fillId="0" borderId="152" xfId="43433" quotePrefix="1" applyFont="1" applyBorder="1"/>
    <xf numFmtId="43" fontId="246" fillId="0" borderId="152" xfId="43431" applyFont="1" applyBorder="1"/>
    <xf numFmtId="43" fontId="246" fillId="111" borderId="152" xfId="43431" applyFont="1" applyFill="1" applyBorder="1"/>
    <xf numFmtId="4" fontId="45" fillId="42" borderId="152" xfId="815" applyNumberFormat="1" applyFont="1" applyFill="1" applyBorder="1"/>
    <xf numFmtId="167" fontId="207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2" fillId="0" borderId="0" xfId="0" applyFont="1"/>
    <xf numFmtId="168" fontId="32" fillId="109" borderId="178" xfId="863" applyFont="1" applyFill="1" applyBorder="1"/>
    <xf numFmtId="168" fontId="32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2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6" fillId="0" borderId="152" xfId="43431" applyFont="1" applyFill="1" applyBorder="1"/>
    <xf numFmtId="167" fontId="32" fillId="109" borderId="183" xfId="815" applyFont="1" applyFill="1" applyBorder="1" applyAlignment="1">
      <alignment horizontal="center" vertical="center"/>
    </xf>
    <xf numFmtId="197" fontId="207" fillId="61" borderId="0" xfId="0" applyNumberFormat="1" applyFont="1" applyFill="1"/>
    <xf numFmtId="171" fontId="207" fillId="61" borderId="0" xfId="0" applyNumberFormat="1" applyFont="1" applyFill="1"/>
    <xf numFmtId="167" fontId="207" fillId="61" borderId="10" xfId="815" applyFont="1" applyFill="1" applyBorder="1"/>
    <xf numFmtId="167" fontId="207" fillId="61" borderId="29" xfId="815" applyFont="1" applyFill="1" applyBorder="1"/>
    <xf numFmtId="167" fontId="207" fillId="61" borderId="20" xfId="815" applyFont="1" applyFill="1" applyBorder="1"/>
    <xf numFmtId="167" fontId="207" fillId="61" borderId="0" xfId="815" applyFont="1" applyFill="1" applyBorder="1"/>
    <xf numFmtId="0" fontId="207" fillId="61" borderId="0" xfId="0" applyFont="1" applyFill="1"/>
    <xf numFmtId="167" fontId="32" fillId="59" borderId="183" xfId="815" applyFont="1" applyFill="1" applyBorder="1" applyAlignment="1">
      <alignment horizontal="center" vertical="center"/>
    </xf>
    <xf numFmtId="0" fontId="32" fillId="0" borderId="152" xfId="0" applyFont="1" applyBorder="1"/>
    <xf numFmtId="255" fontId="45" fillId="41" borderId="0" xfId="863" applyNumberFormat="1" applyFont="1" applyFill="1" applyBorder="1"/>
    <xf numFmtId="4" fontId="207" fillId="0" borderId="0" xfId="0" applyNumberFormat="1" applyFont="1"/>
    <xf numFmtId="171" fontId="119" fillId="0" borderId="0" xfId="2697" applyNumberFormat="1" applyFont="1" applyAlignment="1">
      <alignment horizontal="center" vertical="center" wrapText="1"/>
    </xf>
    <xf numFmtId="0" fontId="304" fillId="0" borderId="0" xfId="0" applyFont="1"/>
    <xf numFmtId="270" fontId="45" fillId="115" borderId="178" xfId="2697" applyNumberFormat="1" applyFont="1" applyFill="1" applyBorder="1" applyAlignment="1">
      <alignment vertical="center"/>
    </xf>
    <xf numFmtId="0" fontId="303" fillId="0" borderId="0" xfId="2697" applyFont="1" applyAlignment="1">
      <alignment horizontal="center" vertical="center" wrapText="1"/>
    </xf>
    <xf numFmtId="168" fontId="45" fillId="0" borderId="0" xfId="863" applyFont="1" applyFill="1" applyBorder="1"/>
    <xf numFmtId="269" fontId="45" fillId="0" borderId="0" xfId="2697" applyNumberFormat="1" applyFont="1" applyAlignment="1">
      <alignment vertical="center"/>
    </xf>
    <xf numFmtId="271" fontId="45" fillId="0" borderId="0" xfId="2697" applyNumberFormat="1" applyFont="1" applyAlignment="1">
      <alignment vertical="center"/>
    </xf>
    <xf numFmtId="270" fontId="112" fillId="0" borderId="0" xfId="43183" applyNumberFormat="1" applyFont="1" applyFill="1" applyBorder="1" applyAlignment="1">
      <alignment vertical="center"/>
    </xf>
    <xf numFmtId="0" fontId="252" fillId="0" borderId="0" xfId="0" applyFont="1"/>
    <xf numFmtId="0" fontId="252" fillId="0" borderId="0" xfId="0" applyFont="1" applyAlignment="1">
      <alignment vertical="center"/>
    </xf>
    <xf numFmtId="0" fontId="252" fillId="115" borderId="0" xfId="0" applyFont="1" applyFill="1" applyAlignment="1">
      <alignment vertical="center"/>
    </xf>
    <xf numFmtId="174" fontId="252" fillId="115" borderId="0" xfId="0" applyNumberFormat="1" applyFont="1" applyFill="1" applyAlignment="1">
      <alignment vertical="center"/>
    </xf>
    <xf numFmtId="0" fontId="252" fillId="0" borderId="0" xfId="907" applyFont="1"/>
    <xf numFmtId="168" fontId="252" fillId="0" borderId="0" xfId="863" applyFont="1"/>
    <xf numFmtId="0" fontId="253" fillId="0" borderId="0" xfId="907" applyFont="1"/>
    <xf numFmtId="0" fontId="207" fillId="0" borderId="0" xfId="0" applyFont="1" applyAlignment="1">
      <alignment vertical="center"/>
    </xf>
    <xf numFmtId="14" fontId="252" fillId="115" borderId="0" xfId="0" applyNumberFormat="1" applyFont="1" applyFill="1" applyAlignment="1">
      <alignment vertical="center"/>
    </xf>
    <xf numFmtId="0" fontId="45" fillId="33" borderId="0" xfId="43437" applyFont="1" applyFill="1" applyAlignment="1">
      <alignment vertical="center"/>
    </xf>
    <xf numFmtId="0" fontId="45" fillId="33" borderId="0" xfId="43437" applyFont="1" applyFill="1" applyAlignment="1">
      <alignment vertical="center" wrapText="1"/>
    </xf>
    <xf numFmtId="0" fontId="305" fillId="33" borderId="178" xfId="43437" applyFont="1" applyFill="1" applyBorder="1" applyAlignment="1">
      <alignment horizontal="left" vertical="center"/>
    </xf>
    <xf numFmtId="0" fontId="252" fillId="33" borderId="178" xfId="43437" applyFont="1" applyFill="1" applyBorder="1" applyAlignment="1">
      <alignment vertical="center" wrapText="1"/>
    </xf>
    <xf numFmtId="0" fontId="45" fillId="33" borderId="178" xfId="43437" applyFont="1" applyFill="1" applyBorder="1" applyAlignment="1">
      <alignment vertical="center"/>
    </xf>
    <xf numFmtId="0" fontId="252" fillId="33" borderId="178" xfId="43437" applyFont="1" applyFill="1" applyBorder="1" applyAlignment="1">
      <alignment horizontal="right" vertical="center"/>
    </xf>
    <xf numFmtId="10" fontId="252" fillId="33" borderId="178" xfId="847" applyNumberFormat="1" applyFont="1" applyFill="1" applyBorder="1" applyAlignment="1">
      <alignment vertical="center"/>
    </xf>
    <xf numFmtId="0" fontId="252" fillId="33" borderId="0" xfId="43437" applyFont="1" applyFill="1" applyAlignment="1">
      <alignment vertical="center"/>
    </xf>
    <xf numFmtId="0" fontId="306" fillId="0" borderId="0" xfId="2697" applyFont="1" applyAlignment="1">
      <alignment vertical="center"/>
    </xf>
    <xf numFmtId="0" fontId="252" fillId="33" borderId="0" xfId="43437" applyFont="1" applyFill="1" applyAlignment="1">
      <alignment vertical="center" wrapText="1"/>
    </xf>
    <xf numFmtId="0" fontId="252" fillId="33" borderId="0" xfId="43437" applyFont="1" applyFill="1" applyAlignment="1">
      <alignment horizontal="right" vertical="center"/>
    </xf>
    <xf numFmtId="10" fontId="252" fillId="33" borderId="0" xfId="847" applyNumberFormat="1" applyFont="1" applyFill="1" applyAlignment="1">
      <alignment vertical="center"/>
    </xf>
    <xf numFmtId="0" fontId="307" fillId="33" borderId="0" xfId="43437" applyFont="1" applyFill="1" applyAlignment="1">
      <alignment horizontal="right" vertical="center"/>
    </xf>
    <xf numFmtId="168" fontId="252" fillId="33" borderId="0" xfId="43437" applyNumberFormat="1" applyFont="1" applyFill="1" applyAlignment="1">
      <alignment vertical="center" wrapText="1"/>
    </xf>
    <xf numFmtId="0" fontId="308" fillId="33" borderId="0" xfId="43437" applyFont="1" applyFill="1" applyAlignment="1">
      <alignment horizontal="right" vertical="center"/>
    </xf>
    <xf numFmtId="0" fontId="309" fillId="33" borderId="0" xfId="43437" applyFont="1" applyFill="1" applyAlignment="1">
      <alignment vertical="center"/>
    </xf>
    <xf numFmtId="0" fontId="309" fillId="33" borderId="0" xfId="43437" applyFont="1" applyFill="1" applyAlignment="1">
      <alignment vertical="center" wrapText="1"/>
    </xf>
    <xf numFmtId="0" fontId="310" fillId="33" borderId="0" xfId="43437" applyFont="1" applyFill="1" applyAlignment="1">
      <alignment vertical="center"/>
    </xf>
    <xf numFmtId="0" fontId="311" fillId="33" borderId="0" xfId="43437" applyFont="1" applyFill="1" applyAlignment="1">
      <alignment vertical="center"/>
    </xf>
    <xf numFmtId="0" fontId="309" fillId="33" borderId="0" xfId="43437" applyFont="1" applyFill="1" applyAlignment="1">
      <alignment horizontal="center" vertical="center" wrapText="1"/>
    </xf>
    <xf numFmtId="0" fontId="309" fillId="33" borderId="0" xfId="43437" applyFont="1" applyFill="1" applyAlignment="1">
      <alignment horizontal="right" vertical="center"/>
    </xf>
    <xf numFmtId="0" fontId="262" fillId="100" borderId="178" xfId="43438" applyFont="1" applyFill="1" applyBorder="1" applyAlignment="1">
      <alignment horizontal="center" vertical="center" wrapText="1"/>
    </xf>
    <xf numFmtId="170" fontId="252" fillId="33" borderId="0" xfId="863" applyNumberFormat="1" applyFont="1" applyFill="1" applyAlignment="1">
      <alignment vertical="center"/>
    </xf>
    <xf numFmtId="0" fontId="252" fillId="0" borderId="0" xfId="43437" quotePrefix="1" applyFont="1" applyAlignment="1">
      <alignment horizontal="left" vertical="center"/>
    </xf>
    <xf numFmtId="277" fontId="252" fillId="41" borderId="0" xfId="43439" applyNumberFormat="1" applyFont="1" applyFill="1" applyBorder="1" applyAlignment="1">
      <alignment vertical="center" wrapText="1"/>
    </xf>
    <xf numFmtId="0" fontId="252" fillId="0" borderId="10" xfId="43437" quotePrefix="1" applyFont="1" applyBorder="1" applyAlignment="1">
      <alignment horizontal="left" vertical="center"/>
    </xf>
    <xf numFmtId="170" fontId="252" fillId="41" borderId="10" xfId="863" applyNumberFormat="1" applyFont="1" applyFill="1" applyBorder="1" applyAlignment="1">
      <alignment vertical="center"/>
    </xf>
    <xf numFmtId="0" fontId="253" fillId="60" borderId="178" xfId="43437" quotePrefix="1" applyFont="1" applyFill="1" applyBorder="1" applyAlignment="1">
      <alignment horizontal="left" vertical="center"/>
    </xf>
    <xf numFmtId="277" fontId="253" fillId="60" borderId="178" xfId="43439" applyNumberFormat="1" applyFont="1" applyFill="1" applyBorder="1" applyAlignment="1">
      <alignment vertical="center" wrapText="1"/>
    </xf>
    <xf numFmtId="170" fontId="252" fillId="41" borderId="0" xfId="863" applyNumberFormat="1" applyFont="1" applyFill="1" applyBorder="1" applyAlignment="1">
      <alignment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0" fontId="252" fillId="0" borderId="0" xfId="2697" applyFont="1" applyAlignment="1">
      <alignment vertical="center" wrapText="1"/>
    </xf>
    <xf numFmtId="0" fontId="45" fillId="0" borderId="0" xfId="2697" applyFont="1" applyAlignment="1">
      <alignment vertical="center" wrapText="1"/>
    </xf>
    <xf numFmtId="0" fontId="313" fillId="0" borderId="0" xfId="0" applyFont="1"/>
    <xf numFmtId="14" fontId="253" fillId="56" borderId="156" xfId="834" applyNumberFormat="1" applyFont="1" applyFill="1" applyBorder="1" applyAlignment="1" applyProtection="1">
      <alignment horizontal="left" vertical="center"/>
    </xf>
    <xf numFmtId="170" fontId="253" fillId="41" borderId="0" xfId="863" applyNumberFormat="1" applyFont="1" applyFill="1" applyBorder="1" applyAlignment="1">
      <alignment vertical="center"/>
    </xf>
    <xf numFmtId="170" fontId="252" fillId="33" borderId="0" xfId="863" applyNumberFormat="1" applyFont="1" applyFill="1" applyBorder="1" applyAlignment="1">
      <alignment vertical="center"/>
    </xf>
    <xf numFmtId="0" fontId="252" fillId="0" borderId="0" xfId="863" applyNumberFormat="1" applyFont="1" applyFill="1" applyBorder="1" applyAlignment="1">
      <alignment vertical="center"/>
    </xf>
    <xf numFmtId="272" fontId="252" fillId="0" borderId="0" xfId="863" applyNumberFormat="1" applyFont="1" applyBorder="1" applyAlignment="1">
      <alignment vertical="center"/>
    </xf>
    <xf numFmtId="14" fontId="313" fillId="115" borderId="0" xfId="0" applyNumberFormat="1" applyFont="1" applyFill="1" applyAlignment="1">
      <alignment vertical="center"/>
    </xf>
    <xf numFmtId="174" fontId="313" fillId="115" borderId="0" xfId="0" applyNumberFormat="1" applyFont="1" applyFill="1" applyAlignment="1">
      <alignment vertical="center"/>
    </xf>
    <xf numFmtId="0" fontId="251" fillId="0" borderId="0" xfId="0" applyFont="1"/>
    <xf numFmtId="14" fontId="251" fillId="115" borderId="0" xfId="0" applyNumberFormat="1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43" fontId="296" fillId="59" borderId="0" xfId="0" applyNumberFormat="1" applyFont="1" applyFill="1"/>
    <xf numFmtId="0" fontId="214" fillId="118" borderId="0" xfId="0" applyFont="1" applyFill="1"/>
    <xf numFmtId="0" fontId="32" fillId="0" borderId="152" xfId="0" applyFont="1" applyBorder="1" applyAlignment="1">
      <alignment horizontal="center" vertical="center"/>
    </xf>
    <xf numFmtId="0" fontId="285" fillId="33" borderId="0" xfId="829" applyFont="1" applyFill="1" applyAlignment="1">
      <alignment horizontal="center"/>
    </xf>
    <xf numFmtId="168" fontId="285" fillId="0" borderId="0" xfId="863" applyFont="1" applyAlignment="1">
      <alignment horizontal="center"/>
    </xf>
    <xf numFmtId="10" fontId="285" fillId="0" borderId="0" xfId="847" applyNumberFormat="1" applyFont="1" applyAlignment="1">
      <alignment horizontal="center"/>
    </xf>
    <xf numFmtId="0" fontId="285" fillId="0" borderId="0" xfId="0" applyFont="1" applyAlignment="1">
      <alignment horizontal="center"/>
    </xf>
    <xf numFmtId="10" fontId="207" fillId="0" borderId="0" xfId="847" applyNumberFormat="1" applyFont="1" applyAlignment="1">
      <alignment horizontal="center"/>
    </xf>
    <xf numFmtId="3" fontId="252" fillId="0" borderId="0" xfId="43169" applyFont="1"/>
    <xf numFmtId="174" fontId="252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5" fillId="41" borderId="0" xfId="36379" applyFont="1" applyFill="1" applyAlignment="1">
      <alignment horizontal="center"/>
    </xf>
    <xf numFmtId="9" fontId="45" fillId="0" borderId="0" xfId="847" applyFont="1" applyFill="1"/>
    <xf numFmtId="0" fontId="316" fillId="41" borderId="0" xfId="36379" applyFont="1" applyFill="1"/>
    <xf numFmtId="0" fontId="316" fillId="41" borderId="0" xfId="36379" applyFont="1" applyFill="1" applyAlignment="1">
      <alignment horizontal="center"/>
    </xf>
    <xf numFmtId="9" fontId="262" fillId="38" borderId="0" xfId="1823" applyFont="1" applyFill="1" applyBorder="1" applyAlignment="1">
      <alignment horizontal="center" vertical="center" wrapText="1"/>
    </xf>
    <xf numFmtId="9" fontId="252" fillId="41" borderId="0" xfId="1823" applyFont="1" applyFill="1" applyBorder="1" applyAlignment="1">
      <alignment horizontal="left" vertical="center" wrapText="1"/>
    </xf>
    <xf numFmtId="43" fontId="252" fillId="41" borderId="0" xfId="43199" applyFont="1" applyFill="1" applyBorder="1" applyAlignment="1">
      <alignment horizontal="center" vertical="center" wrapText="1"/>
    </xf>
    <xf numFmtId="262" fontId="252" fillId="41" borderId="0" xfId="1823" applyNumberFormat="1" applyFont="1" applyFill="1" applyBorder="1" applyAlignment="1">
      <alignment horizontal="center" vertical="center" wrapText="1"/>
    </xf>
    <xf numFmtId="0" fontId="252" fillId="33" borderId="0" xfId="905" applyFont="1" applyFill="1"/>
    <xf numFmtId="262" fontId="252" fillId="41" borderId="0" xfId="907" applyNumberFormat="1" applyFont="1" applyFill="1"/>
    <xf numFmtId="262" fontId="252" fillId="33" borderId="0" xfId="905" applyNumberFormat="1" applyFont="1" applyFill="1"/>
    <xf numFmtId="37" fontId="252" fillId="41" borderId="0" xfId="905" applyNumberFormat="1" applyFont="1" applyFill="1" applyAlignment="1">
      <alignment horizontal="left"/>
    </xf>
    <xf numFmtId="168" fontId="252" fillId="41" borderId="0" xfId="863" applyFont="1" applyFill="1" applyBorder="1" applyAlignment="1">
      <alignment horizontal="center" vertical="center" wrapText="1"/>
    </xf>
    <xf numFmtId="262" fontId="252" fillId="41" borderId="0" xfId="847" applyNumberFormat="1" applyFont="1" applyFill="1" applyBorder="1" applyAlignment="1">
      <alignment horizontal="center" vertical="center" wrapText="1"/>
    </xf>
    <xf numFmtId="0" fontId="252" fillId="41" borderId="0" xfId="907" applyFont="1" applyFill="1"/>
    <xf numFmtId="168" fontId="252" fillId="41" borderId="0" xfId="863" applyFont="1" applyFill="1" applyBorder="1"/>
    <xf numFmtId="9" fontId="262" fillId="38" borderId="0" xfId="1095" applyFont="1" applyFill="1" applyBorder="1" applyAlignment="1">
      <alignment horizontal="center" vertical="center" wrapText="1"/>
    </xf>
    <xf numFmtId="43" fontId="252" fillId="0" borderId="0" xfId="43199" applyFont="1" applyAlignment="1">
      <alignment vertical="center"/>
    </xf>
    <xf numFmtId="168" fontId="252" fillId="0" borderId="0" xfId="863" applyFont="1" applyAlignment="1">
      <alignment vertical="center"/>
    </xf>
    <xf numFmtId="0" fontId="224" fillId="0" borderId="178" xfId="907" applyFont="1" applyBorder="1" applyAlignment="1">
      <alignment horizontal="left"/>
    </xf>
    <xf numFmtId="0" fontId="207" fillId="33" borderId="178" xfId="829" applyFont="1" applyFill="1" applyBorder="1"/>
    <xf numFmtId="174" fontId="213" fillId="0" borderId="178" xfId="0" applyNumberFormat="1" applyFont="1" applyBorder="1" applyAlignment="1">
      <alignment horizontal="left"/>
    </xf>
    <xf numFmtId="10" fontId="213" fillId="0" borderId="178" xfId="0" applyNumberFormat="1" applyFont="1" applyBorder="1" applyAlignment="1">
      <alignment horizontal="right"/>
    </xf>
    <xf numFmtId="0" fontId="210" fillId="0" borderId="178" xfId="0" applyFont="1" applyBorder="1"/>
    <xf numFmtId="0" fontId="214" fillId="43" borderId="144" xfId="0" applyFont="1" applyFill="1" applyBorder="1" applyAlignment="1">
      <alignment horizontal="left"/>
    </xf>
    <xf numFmtId="168" fontId="210" fillId="45" borderId="144" xfId="863" applyFont="1" applyFill="1" applyBorder="1"/>
    <xf numFmtId="0" fontId="32" fillId="109" borderId="166" xfId="0" applyFont="1" applyFill="1" applyBorder="1" applyAlignment="1">
      <alignment horizontal="center"/>
    </xf>
    <xf numFmtId="0" fontId="32" fillId="109" borderId="166" xfId="0" applyFont="1" applyFill="1" applyBorder="1"/>
    <xf numFmtId="14" fontId="32" fillId="109" borderId="166" xfId="0" applyNumberFormat="1" applyFont="1" applyFill="1" applyBorder="1"/>
    <xf numFmtId="0" fontId="207" fillId="41" borderId="166" xfId="0" applyFont="1" applyFill="1" applyBorder="1" applyAlignment="1" applyProtection="1">
      <alignment horizontal="left"/>
      <protection hidden="1"/>
    </xf>
    <xf numFmtId="165" fontId="207" fillId="45" borderId="166" xfId="863" applyNumberFormat="1" applyFont="1" applyFill="1" applyBorder="1"/>
    <xf numFmtId="0" fontId="207" fillId="41" borderId="178" xfId="0" applyFont="1" applyFill="1" applyBorder="1" applyAlignment="1" applyProtection="1">
      <alignment horizontal="left"/>
      <protection hidden="1"/>
    </xf>
    <xf numFmtId="165" fontId="207" fillId="45" borderId="178" xfId="863" applyNumberFormat="1" applyFont="1" applyFill="1" applyBorder="1"/>
    <xf numFmtId="165" fontId="214" fillId="43" borderId="144" xfId="863" applyNumberFormat="1" applyFont="1" applyFill="1" applyBorder="1"/>
    <xf numFmtId="165" fontId="210" fillId="45" borderId="144" xfId="863" applyNumberFormat="1" applyFont="1" applyFill="1" applyBorder="1"/>
    <xf numFmtId="168" fontId="210" fillId="0" borderId="178" xfId="863" applyFont="1" applyBorder="1"/>
    <xf numFmtId="0" fontId="214" fillId="43" borderId="166" xfId="0" applyFont="1" applyFill="1" applyBorder="1" applyAlignment="1">
      <alignment horizontal="left"/>
    </xf>
    <xf numFmtId="10" fontId="207" fillId="45" borderId="166" xfId="847" applyNumberFormat="1" applyFont="1" applyFill="1" applyBorder="1"/>
    <xf numFmtId="0" fontId="214" fillId="43" borderId="178" xfId="0" applyFont="1" applyFill="1" applyBorder="1" applyAlignment="1">
      <alignment horizontal="left"/>
    </xf>
    <xf numFmtId="10" fontId="207" fillId="61" borderId="178" xfId="847" applyNumberFormat="1" applyFont="1" applyFill="1" applyBorder="1"/>
    <xf numFmtId="168" fontId="207" fillId="45" borderId="166" xfId="863" applyFont="1" applyFill="1" applyBorder="1"/>
    <xf numFmtId="168" fontId="207" fillId="45" borderId="178" xfId="863" applyFont="1" applyFill="1" applyBorder="1"/>
    <xf numFmtId="14" fontId="32" fillId="0" borderId="166" xfId="0" applyNumberFormat="1" applyFont="1" applyBorder="1"/>
    <xf numFmtId="14" fontId="32" fillId="109" borderId="178" xfId="0" applyNumberFormat="1" applyFont="1" applyFill="1" applyBorder="1"/>
    <xf numFmtId="0" fontId="32" fillId="109" borderId="178" xfId="0" applyFont="1" applyFill="1" applyBorder="1" applyAlignment="1">
      <alignment horizontal="center"/>
    </xf>
    <xf numFmtId="0" fontId="32" fillId="109" borderId="178" xfId="0" applyFont="1" applyFill="1" applyBorder="1"/>
    <xf numFmtId="14" fontId="32" fillId="109" borderId="166" xfId="0" applyNumberFormat="1" applyFont="1" applyFill="1" applyBorder="1" applyAlignment="1">
      <alignment horizontal="right"/>
    </xf>
    <xf numFmtId="14" fontId="32" fillId="109" borderId="178" xfId="0" applyNumberFormat="1" applyFont="1" applyFill="1" applyBorder="1" applyAlignment="1">
      <alignment horizontal="right"/>
    </xf>
    <xf numFmtId="0" fontId="275" fillId="0" borderId="178" xfId="907" applyFont="1" applyBorder="1" applyAlignment="1">
      <alignment horizontal="left"/>
    </xf>
    <xf numFmtId="0" fontId="45" fillId="33" borderId="178" xfId="829" applyFont="1" applyFill="1" applyBorder="1"/>
    <xf numFmtId="0" fontId="38" fillId="33" borderId="152" xfId="834" applyFont="1" applyFill="1" applyBorder="1" applyAlignment="1" applyProtection="1">
      <alignment horizontal="center" vertical="center" wrapText="1"/>
    </xf>
    <xf numFmtId="171" fontId="32" fillId="0" borderId="152" xfId="863" applyNumberFormat="1" applyFont="1" applyFill="1" applyBorder="1" applyAlignment="1">
      <alignment horizontal="center"/>
    </xf>
    <xf numFmtId="171" fontId="32" fillId="0" borderId="152" xfId="863" applyNumberFormat="1" applyFont="1" applyBorder="1" applyAlignment="1">
      <alignment horizontal="center"/>
    </xf>
    <xf numFmtId="171" fontId="32" fillId="102" borderId="152" xfId="863" applyNumberFormat="1" applyFont="1" applyFill="1" applyBorder="1" applyAlignment="1">
      <alignment horizontal="center"/>
    </xf>
    <xf numFmtId="0" fontId="38" fillId="61" borderId="152" xfId="907" applyFont="1" applyFill="1" applyBorder="1" applyAlignment="1">
      <alignment horizontal="center" vertical="center"/>
    </xf>
    <xf numFmtId="0" fontId="38" fillId="61" borderId="152" xfId="907" applyFont="1" applyFill="1" applyBorder="1" applyAlignment="1">
      <alignment horizontal="center" vertical="center" wrapText="1"/>
    </xf>
    <xf numFmtId="0" fontId="32" fillId="60" borderId="166" xfId="0" applyFont="1" applyFill="1" applyBorder="1" applyAlignment="1">
      <alignment horizontal="right"/>
    </xf>
    <xf numFmtId="0" fontId="281" fillId="96" borderId="155" xfId="0" applyFont="1" applyFill="1" applyBorder="1" applyAlignment="1">
      <alignment vertical="center"/>
    </xf>
    <xf numFmtId="14" fontId="32" fillId="0" borderId="178" xfId="0" applyNumberFormat="1" applyFont="1" applyBorder="1" applyAlignment="1">
      <alignment horizontal="right"/>
    </xf>
    <xf numFmtId="0" fontId="32" fillId="0" borderId="146" xfId="0" applyFont="1" applyBorder="1" applyAlignment="1">
      <alignment horizontal="center"/>
    </xf>
    <xf numFmtId="1" fontId="32" fillId="0" borderId="166" xfId="815" applyNumberFormat="1" applyFont="1" applyFill="1" applyBorder="1" applyAlignment="1"/>
    <xf numFmtId="170" fontId="32" fillId="0" borderId="166" xfId="863" applyNumberFormat="1" applyFont="1" applyFill="1" applyBorder="1" applyAlignment="1">
      <alignment horizontal="left"/>
    </xf>
    <xf numFmtId="0" fontId="32" fillId="0" borderId="154" xfId="0" applyFont="1" applyBorder="1"/>
    <xf numFmtId="10" fontId="32" fillId="0" borderId="178" xfId="847" applyNumberFormat="1" applyFont="1" applyFill="1" applyBorder="1" applyAlignment="1"/>
    <xf numFmtId="0" fontId="278" fillId="0" borderId="178" xfId="0" applyFont="1" applyBorder="1"/>
    <xf numFmtId="0" fontId="45" fillId="0" borderId="178" xfId="0" applyFont="1" applyBorder="1"/>
    <xf numFmtId="43" fontId="45" fillId="0" borderId="178" xfId="0" applyNumberFormat="1" applyFont="1" applyBorder="1"/>
    <xf numFmtId="43" fontId="279" fillId="0" borderId="178" xfId="0" applyNumberFormat="1" applyFont="1" applyBorder="1"/>
    <xf numFmtId="2" fontId="278" fillId="0" borderId="178" xfId="0" applyNumberFormat="1" applyFont="1" applyBorder="1"/>
    <xf numFmtId="14" fontId="278" fillId="0" borderId="178" xfId="0" applyNumberFormat="1" applyFont="1" applyBorder="1"/>
    <xf numFmtId="10" fontId="32" fillId="61" borderId="166" xfId="847" applyNumberFormat="1" applyFont="1" applyFill="1" applyBorder="1" applyAlignment="1">
      <alignment horizontal="right"/>
    </xf>
    <xf numFmtId="10" fontId="32" fillId="44" borderId="178" xfId="847" applyNumberFormat="1" applyFont="1" applyFill="1" applyBorder="1" applyAlignment="1">
      <alignment horizontal="right"/>
    </xf>
    <xf numFmtId="0" fontId="32" fillId="42" borderId="166" xfId="907" applyFill="1" applyBorder="1"/>
    <xf numFmtId="10" fontId="32" fillId="42" borderId="166" xfId="847" applyNumberFormat="1" applyFont="1" applyFill="1" applyBorder="1" applyAlignment="1">
      <alignment horizontal="right"/>
    </xf>
    <xf numFmtId="0" fontId="32" fillId="0" borderId="166" xfId="0" applyFont="1" applyBorder="1" applyAlignment="1">
      <alignment horizontal="left"/>
    </xf>
    <xf numFmtId="0" fontId="38" fillId="42" borderId="178" xfId="0" applyFont="1" applyFill="1" applyBorder="1"/>
    <xf numFmtId="0" fontId="32" fillId="42" borderId="178" xfId="0" applyFont="1" applyFill="1" applyBorder="1"/>
    <xf numFmtId="0" fontId="32" fillId="0" borderId="178" xfId="0" applyFont="1" applyBorder="1" applyAlignment="1">
      <alignment horizontal="left"/>
    </xf>
    <xf numFmtId="168" fontId="32" fillId="0" borderId="178" xfId="863" applyFont="1" applyFill="1" applyBorder="1" applyAlignment="1"/>
    <xf numFmtId="168" fontId="32" fillId="44" borderId="178" xfId="863" applyFont="1" applyFill="1" applyBorder="1" applyAlignment="1">
      <alignment horizontal="right"/>
    </xf>
    <xf numFmtId="170" fontId="32" fillId="0" borderId="166" xfId="0" applyNumberFormat="1" applyFont="1" applyBorder="1"/>
    <xf numFmtId="168" fontId="32" fillId="0" borderId="166" xfId="863" applyFont="1" applyFill="1" applyBorder="1" applyAlignment="1"/>
    <xf numFmtId="168" fontId="32" fillId="0" borderId="144" xfId="863" applyFont="1" applyFill="1" applyBorder="1" applyAlignment="1">
      <alignment horizontal="left"/>
    </xf>
    <xf numFmtId="10" fontId="32" fillId="0" borderId="166" xfId="847" applyNumberFormat="1" applyFont="1" applyFill="1" applyBorder="1" applyAlignment="1"/>
    <xf numFmtId="167" fontId="32" fillId="0" borderId="166" xfId="815" applyFont="1" applyFill="1" applyBorder="1" applyAlignment="1">
      <alignment horizontal="left"/>
    </xf>
    <xf numFmtId="167" fontId="32" fillId="0" borderId="178" xfId="815" applyFont="1" applyFill="1" applyBorder="1" applyAlignment="1">
      <alignment horizontal="left"/>
    </xf>
    <xf numFmtId="165" fontId="32" fillId="0" borderId="144" xfId="863" applyNumberFormat="1" applyFont="1" applyFill="1" applyBorder="1"/>
    <xf numFmtId="0" fontId="274" fillId="43" borderId="152" xfId="0" applyFont="1" applyFill="1" applyBorder="1" applyAlignment="1">
      <alignment horizontal="center" vertical="center" wrapText="1"/>
    </xf>
    <xf numFmtId="0" fontId="38" fillId="59" borderId="144" xfId="907" applyFont="1" applyFill="1" applyBorder="1"/>
    <xf numFmtId="0" fontId="32" fillId="59" borderId="144" xfId="907" applyFill="1" applyBorder="1" applyAlignment="1">
      <alignment horizontal="center"/>
    </xf>
    <xf numFmtId="171" fontId="32" fillId="109" borderId="144" xfId="907" applyNumberFormat="1" applyFill="1" applyBorder="1" applyAlignment="1">
      <alignment horizontal="left"/>
    </xf>
    <xf numFmtId="168" fontId="38" fillId="59" borderId="149" xfId="863" applyFont="1" applyFill="1" applyBorder="1"/>
    <xf numFmtId="14" fontId="32" fillId="59" borderId="152" xfId="863" applyNumberFormat="1" applyFont="1" applyFill="1" applyBorder="1"/>
    <xf numFmtId="14" fontId="32" fillId="59" borderId="152" xfId="847" applyNumberFormat="1" applyFont="1" applyFill="1" applyBorder="1" applyAlignment="1">
      <alignment horizontal="center"/>
    </xf>
    <xf numFmtId="168" fontId="32" fillId="109" borderId="144" xfId="863" applyFont="1" applyFill="1" applyBorder="1" applyAlignment="1">
      <alignment horizontal="left"/>
    </xf>
    <xf numFmtId="230" fontId="32" fillId="109" borderId="144" xfId="863" applyNumberFormat="1" applyFont="1" applyFill="1" applyBorder="1" applyAlignment="1">
      <alignment horizontal="left"/>
    </xf>
    <xf numFmtId="3" fontId="32" fillId="109" borderId="166" xfId="863" applyNumberFormat="1" applyFont="1" applyFill="1" applyBorder="1" applyAlignment="1">
      <alignment horizontal="left"/>
    </xf>
    <xf numFmtId="230" fontId="32" fillId="109" borderId="166" xfId="0" applyNumberFormat="1" applyFont="1" applyFill="1" applyBorder="1"/>
    <xf numFmtId="10" fontId="32" fillId="42" borderId="166" xfId="847" applyNumberFormat="1" applyFont="1" applyFill="1" applyBorder="1" applyAlignment="1">
      <alignment horizontal="left"/>
    </xf>
    <xf numFmtId="230" fontId="32" fillId="42" borderId="166" xfId="863" applyNumberFormat="1" applyFont="1" applyFill="1" applyBorder="1" applyAlignment="1">
      <alignment horizontal="left"/>
    </xf>
    <xf numFmtId="10" fontId="32" fillId="42" borderId="178" xfId="847" applyNumberFormat="1" applyFont="1" applyFill="1" applyBorder="1" applyAlignment="1">
      <alignment horizontal="left"/>
    </xf>
    <xf numFmtId="230" fontId="32" fillId="42" borderId="178" xfId="863" applyNumberFormat="1" applyFont="1" applyFill="1" applyBorder="1" applyAlignment="1">
      <alignment horizontal="left"/>
    </xf>
    <xf numFmtId="0" fontId="32" fillId="109" borderId="178" xfId="0" applyFont="1" applyFill="1" applyBorder="1" applyAlignment="1">
      <alignment horizontal="left"/>
    </xf>
    <xf numFmtId="230" fontId="32" fillId="109" borderId="178" xfId="0" applyNumberFormat="1" applyFont="1" applyFill="1" applyBorder="1"/>
    <xf numFmtId="0" fontId="112" fillId="58" borderId="149" xfId="834" applyFont="1" applyFill="1" applyBorder="1" applyAlignment="1" applyProtection="1">
      <alignment horizontal="left" vertical="center"/>
    </xf>
    <xf numFmtId="0" fontId="112" fillId="56" borderId="149" xfId="834" applyFont="1" applyFill="1" applyBorder="1" applyAlignment="1" applyProtection="1">
      <alignment horizontal="left" vertical="center"/>
    </xf>
    <xf numFmtId="14" fontId="112" fillId="56" borderId="148" xfId="834" applyNumberFormat="1" applyFont="1" applyFill="1" applyBorder="1" applyAlignment="1" applyProtection="1">
      <alignment horizontal="left" vertical="center"/>
    </xf>
    <xf numFmtId="0" fontId="283" fillId="0" borderId="178" xfId="907" applyFont="1" applyBorder="1" applyAlignment="1">
      <alignment horizontal="left"/>
    </xf>
    <xf numFmtId="0" fontId="231" fillId="33" borderId="178" xfId="829" applyFont="1" applyFill="1" applyBorder="1"/>
    <xf numFmtId="0" fontId="207" fillId="60" borderId="166" xfId="0" applyFont="1" applyFill="1" applyBorder="1" applyAlignment="1" applyProtection="1">
      <alignment horizontal="left" wrapText="1"/>
      <protection hidden="1"/>
    </xf>
    <xf numFmtId="167" fontId="207" fillId="0" borderId="166" xfId="815" applyFont="1" applyBorder="1"/>
    <xf numFmtId="0" fontId="210" fillId="112" borderId="178" xfId="0" applyFont="1" applyFill="1" applyBorder="1" applyAlignment="1" applyProtection="1">
      <alignment horizontal="left" wrapText="1"/>
      <protection hidden="1"/>
    </xf>
    <xf numFmtId="262" fontId="210" fillId="0" borderId="178" xfId="847" applyNumberFormat="1" applyFont="1" applyBorder="1"/>
    <xf numFmtId="0" fontId="210" fillId="112" borderId="144" xfId="0" applyFont="1" applyFill="1" applyBorder="1" applyAlignment="1" applyProtection="1">
      <alignment horizontal="left" wrapText="1"/>
      <protection hidden="1"/>
    </xf>
    <xf numFmtId="262" fontId="210" fillId="0" borderId="144" xfId="847" applyNumberFormat="1" applyFont="1" applyBorder="1"/>
    <xf numFmtId="0" fontId="213" fillId="0" borderId="178" xfId="0" applyFont="1" applyBorder="1" applyAlignment="1">
      <alignment horizontal="right" vertical="center"/>
    </xf>
    <xf numFmtId="0" fontId="213" fillId="0" borderId="166" xfId="0" applyFont="1" applyBorder="1" applyAlignment="1">
      <alignment horizontal="right" vertical="center"/>
    </xf>
    <xf numFmtId="0" fontId="214" fillId="43" borderId="166" xfId="0" applyFont="1" applyFill="1" applyBorder="1" applyAlignment="1">
      <alignment horizontal="center"/>
    </xf>
    <xf numFmtId="0" fontId="214" fillId="43" borderId="145" xfId="0" applyFont="1" applyFill="1" applyBorder="1" applyAlignment="1">
      <alignment horizontal="center"/>
    </xf>
    <xf numFmtId="0" fontId="214" fillId="43" borderId="147" xfId="0" applyFont="1" applyFill="1" applyBorder="1" applyAlignment="1">
      <alignment horizontal="center"/>
    </xf>
    <xf numFmtId="0" fontId="215" fillId="59" borderId="144" xfId="907" applyFont="1" applyFill="1" applyBorder="1"/>
    <xf numFmtId="167" fontId="210" fillId="59" borderId="149" xfId="0" applyNumberFormat="1" applyFont="1" applyFill="1" applyBorder="1" applyProtection="1">
      <protection hidden="1"/>
    </xf>
    <xf numFmtId="167" fontId="210" fillId="59" borderId="148" xfId="0" applyNumberFormat="1" applyFont="1" applyFill="1" applyBorder="1" applyProtection="1">
      <protection hidden="1"/>
    </xf>
    <xf numFmtId="10" fontId="210" fillId="59" borderId="149" xfId="847" applyNumberFormat="1" applyFont="1" applyFill="1" applyBorder="1" applyAlignment="1" applyProtection="1">
      <alignment horizontal="right"/>
      <protection hidden="1"/>
    </xf>
    <xf numFmtId="262" fontId="210" fillId="59" borderId="144" xfId="847" applyNumberFormat="1" applyFont="1" applyFill="1" applyBorder="1" applyAlignment="1" applyProtection="1">
      <alignment horizontal="right"/>
      <protection hidden="1"/>
    </xf>
    <xf numFmtId="0" fontId="210" fillId="59" borderId="144" xfId="0" applyFont="1" applyFill="1" applyBorder="1" applyAlignment="1" applyProtection="1">
      <alignment horizontal="left"/>
      <protection hidden="1"/>
    </xf>
    <xf numFmtId="0" fontId="210" fillId="59" borderId="178" xfId="0" applyFont="1" applyFill="1" applyBorder="1" applyAlignment="1">
      <alignment horizontal="left"/>
    </xf>
    <xf numFmtId="167" fontId="210" fillId="59" borderId="156" xfId="0" applyNumberFormat="1" applyFont="1" applyFill="1" applyBorder="1" applyProtection="1">
      <protection hidden="1"/>
    </xf>
    <xf numFmtId="167" fontId="210" fillId="59" borderId="155" xfId="0" applyNumberFormat="1" applyFont="1" applyFill="1" applyBorder="1" applyProtection="1">
      <protection hidden="1"/>
    </xf>
    <xf numFmtId="10" fontId="210" fillId="59" borderId="156" xfId="847" applyNumberFormat="1" applyFont="1" applyFill="1" applyBorder="1" applyAlignment="1" applyProtection="1">
      <alignment horizontal="right"/>
      <protection hidden="1"/>
    </xf>
    <xf numFmtId="262" fontId="210" fillId="59" borderId="178" xfId="847" applyNumberFormat="1" applyFont="1" applyFill="1" applyBorder="1" applyAlignment="1" applyProtection="1">
      <alignment horizontal="right"/>
      <protection hidden="1"/>
    </xf>
    <xf numFmtId="0" fontId="214" fillId="43" borderId="149" xfId="0" applyFont="1" applyFill="1" applyBorder="1" applyAlignment="1">
      <alignment horizontal="center"/>
    </xf>
    <xf numFmtId="0" fontId="210" fillId="59" borderId="178" xfId="0" applyFont="1" applyFill="1" applyBorder="1" applyAlignment="1" applyProtection="1">
      <alignment horizontal="left"/>
      <protection hidden="1"/>
    </xf>
    <xf numFmtId="167" fontId="210" fillId="59" borderId="178" xfId="0" applyNumberFormat="1" applyFont="1" applyFill="1" applyBorder="1" applyProtection="1">
      <protection hidden="1"/>
    </xf>
    <xf numFmtId="167" fontId="210" fillId="112" borderId="178" xfId="0" applyNumberFormat="1" applyFont="1" applyFill="1" applyBorder="1" applyProtection="1">
      <protection hidden="1"/>
    </xf>
    <xf numFmtId="262" fontId="210" fillId="59" borderId="156" xfId="847" applyNumberFormat="1" applyFont="1" applyFill="1" applyBorder="1" applyAlignment="1" applyProtection="1">
      <alignment horizontal="center"/>
      <protection hidden="1"/>
    </xf>
    <xf numFmtId="262" fontId="210" fillId="59" borderId="178" xfId="847" applyNumberFormat="1" applyFont="1" applyFill="1" applyBorder="1" applyAlignment="1" applyProtection="1">
      <alignment horizontal="center"/>
      <protection hidden="1"/>
    </xf>
    <xf numFmtId="0" fontId="210" fillId="59" borderId="166" xfId="0" applyFont="1" applyFill="1" applyBorder="1" applyProtection="1">
      <protection hidden="1"/>
    </xf>
    <xf numFmtId="167" fontId="210" fillId="59" borderId="166" xfId="815" applyFont="1" applyFill="1" applyBorder="1" applyAlignment="1" applyProtection="1">
      <protection hidden="1"/>
    </xf>
    <xf numFmtId="9" fontId="40" fillId="38" borderId="149" xfId="1823" applyFont="1" applyFill="1" applyBorder="1" applyAlignment="1">
      <alignment horizontal="center" vertical="center" wrapText="1"/>
    </xf>
    <xf numFmtId="9" fontId="112" fillId="94" borderId="144" xfId="1823" applyFont="1" applyFill="1" applyBorder="1" applyAlignment="1">
      <alignment horizontal="center" vertical="center" wrapText="1"/>
    </xf>
    <xf numFmtId="10" fontId="112" fillId="94" borderId="144" xfId="1823" applyNumberFormat="1" applyFont="1" applyFill="1" applyBorder="1" applyAlignment="1">
      <alignment horizontal="center" vertical="center" wrapText="1"/>
    </xf>
    <xf numFmtId="0" fontId="45" fillId="33" borderId="178" xfId="776" applyFont="1" applyFill="1" applyBorder="1" applyAlignment="1">
      <alignment wrapText="1"/>
    </xf>
    <xf numFmtId="217" fontId="45" fillId="33" borderId="178" xfId="2697" applyNumberFormat="1" applyFont="1" applyFill="1" applyBorder="1" applyAlignment="1">
      <alignment horizontal="center"/>
    </xf>
    <xf numFmtId="167" fontId="45" fillId="33" borderId="178" xfId="815" applyFont="1" applyFill="1" applyBorder="1"/>
    <xf numFmtId="217" fontId="112" fillId="94" borderId="144" xfId="1823" applyNumberFormat="1" applyFont="1" applyFill="1" applyBorder="1" applyAlignment="1">
      <alignment horizontal="center" vertical="center" wrapText="1"/>
    </xf>
    <xf numFmtId="167" fontId="112" fillId="94" borderId="144" xfId="815" applyFont="1" applyFill="1" applyBorder="1" applyAlignment="1">
      <alignment horizontal="center" vertical="center" wrapText="1"/>
    </xf>
    <xf numFmtId="0" fontId="45" fillId="94" borderId="144" xfId="776" applyFont="1" applyFill="1" applyBorder="1" applyAlignment="1">
      <alignment wrapText="1"/>
    </xf>
    <xf numFmtId="217" fontId="45" fillId="94" borderId="144" xfId="2697" applyNumberFormat="1" applyFont="1" applyFill="1" applyBorder="1" applyAlignment="1">
      <alignment horizontal="center"/>
    </xf>
    <xf numFmtId="171" fontId="32" fillId="0" borderId="152" xfId="907" applyNumberFormat="1" applyBorder="1" applyAlignment="1">
      <alignment horizontal="center"/>
    </xf>
    <xf numFmtId="14" fontId="32" fillId="41" borderId="152" xfId="907" applyNumberFormat="1" applyFill="1" applyBorder="1"/>
    <xf numFmtId="9" fontId="40" fillId="38" borderId="144" xfId="1823" applyFont="1" applyFill="1" applyBorder="1" applyAlignment="1">
      <alignment horizontal="center" vertical="center" wrapText="1"/>
    </xf>
    <xf numFmtId="171" fontId="40" fillId="38" borderId="144" xfId="847" applyNumberFormat="1" applyFont="1" applyFill="1" applyBorder="1" applyAlignment="1">
      <alignment horizontal="center" vertical="center" wrapText="1"/>
    </xf>
    <xf numFmtId="0" fontId="45" fillId="0" borderId="178" xfId="2697" applyFont="1" applyBorder="1" applyAlignment="1">
      <alignment vertical="center"/>
    </xf>
    <xf numFmtId="43" fontId="45" fillId="41" borderId="178" xfId="43199" applyFont="1" applyFill="1" applyBorder="1" applyAlignment="1">
      <alignment vertical="center"/>
    </xf>
    <xf numFmtId="43" fontId="45" fillId="41" borderId="178" xfId="43199" applyFont="1" applyFill="1" applyBorder="1" applyAlignment="1">
      <alignment horizontal="center" vertical="center"/>
    </xf>
    <xf numFmtId="0" fontId="112" fillId="59" borderId="144" xfId="2697" applyFont="1" applyFill="1" applyBorder="1" applyAlignment="1">
      <alignment vertical="center"/>
    </xf>
    <xf numFmtId="10" fontId="112" fillId="59" borderId="144" xfId="847" applyNumberFormat="1" applyFont="1" applyFill="1" applyBorder="1" applyAlignment="1">
      <alignment vertical="center"/>
    </xf>
    <xf numFmtId="43" fontId="112" fillId="59" borderId="144" xfId="43199" applyFont="1" applyFill="1" applyBorder="1" applyAlignment="1">
      <alignment vertical="center"/>
    </xf>
    <xf numFmtId="0" fontId="112" fillId="42" borderId="144" xfId="2697" applyFont="1" applyFill="1" applyBorder="1" applyAlignment="1">
      <alignment vertical="center"/>
    </xf>
    <xf numFmtId="43" fontId="112" fillId="42" borderId="144" xfId="43199" applyFont="1" applyFill="1" applyBorder="1" applyAlignment="1">
      <alignment vertical="center"/>
    </xf>
    <xf numFmtId="10" fontId="112" fillId="42" borderId="144" xfId="847" applyNumberFormat="1" applyFont="1" applyFill="1" applyBorder="1" applyAlignment="1">
      <alignment horizontal="center" vertical="center"/>
    </xf>
    <xf numFmtId="10" fontId="112" fillId="59" borderId="144" xfId="847" applyNumberFormat="1" applyFont="1" applyFill="1" applyBorder="1" applyAlignment="1">
      <alignment horizontal="center" vertical="center"/>
    </xf>
    <xf numFmtId="10" fontId="45" fillId="41" borderId="178" xfId="847" applyNumberFormat="1" applyFont="1" applyFill="1" applyBorder="1" applyAlignment="1">
      <alignment horizontal="center"/>
    </xf>
    <xf numFmtId="0" fontId="45" fillId="42" borderId="144" xfId="776" applyFont="1" applyFill="1" applyBorder="1" applyAlignment="1">
      <alignment wrapText="1"/>
    </xf>
    <xf numFmtId="170" fontId="45" fillId="42" borderId="144" xfId="43199" applyNumberFormat="1" applyFont="1" applyFill="1" applyBorder="1" applyAlignment="1">
      <alignment horizontal="center" wrapText="1"/>
    </xf>
    <xf numFmtId="170" fontId="45" fillId="42" borderId="144" xfId="847" applyNumberFormat="1" applyFont="1" applyFill="1" applyBorder="1" applyAlignment="1">
      <alignment horizontal="center" wrapText="1"/>
    </xf>
    <xf numFmtId="170" fontId="112" fillId="59" borderId="144" xfId="863" applyNumberFormat="1" applyFont="1" applyFill="1" applyBorder="1" applyAlignment="1">
      <alignment vertical="center"/>
    </xf>
    <xf numFmtId="0" fontId="245" fillId="41" borderId="178" xfId="907" applyFont="1" applyFill="1" applyBorder="1" applyAlignment="1">
      <alignment horizontal="left"/>
    </xf>
    <xf numFmtId="9" fontId="40" fillId="38" borderId="144" xfId="1823" applyFont="1" applyFill="1" applyBorder="1" applyAlignment="1">
      <alignment horizontal="left" vertical="center" wrapText="1"/>
    </xf>
    <xf numFmtId="0" fontId="45" fillId="41" borderId="178" xfId="2697" applyFont="1" applyFill="1" applyBorder="1" applyAlignment="1">
      <alignment horizontal="center" vertical="center"/>
    </xf>
    <xf numFmtId="0" fontId="45" fillId="41" borderId="166" xfId="2697" applyFont="1" applyFill="1" applyBorder="1" applyAlignment="1">
      <alignment horizontal="center"/>
    </xf>
    <xf numFmtId="0" fontId="45" fillId="41" borderId="166" xfId="2697" applyFont="1" applyFill="1" applyBorder="1" applyAlignment="1">
      <alignment horizontal="left"/>
    </xf>
    <xf numFmtId="2" fontId="45" fillId="41" borderId="166" xfId="2697" applyNumberFormat="1" applyFont="1" applyFill="1" applyBorder="1" applyAlignment="1">
      <alignment horizontal="center"/>
    </xf>
    <xf numFmtId="3" fontId="45" fillId="41" borderId="178" xfId="43199" applyNumberFormat="1" applyFont="1" applyFill="1" applyBorder="1" applyAlignment="1">
      <alignment horizontal="right"/>
    </xf>
    <xf numFmtId="43" fontId="45" fillId="41" borderId="178" xfId="43199" applyFont="1" applyFill="1" applyBorder="1" applyAlignment="1">
      <alignment horizontal="right"/>
    </xf>
    <xf numFmtId="43" fontId="45" fillId="41" borderId="178" xfId="43199" applyFont="1" applyFill="1" applyBorder="1" applyAlignment="1">
      <alignment horizontal="left"/>
    </xf>
    <xf numFmtId="3" fontId="45" fillId="42" borderId="144" xfId="847" applyNumberFormat="1" applyFont="1" applyFill="1" applyBorder="1" applyAlignment="1">
      <alignment horizontal="right" wrapText="1"/>
    </xf>
    <xf numFmtId="43" fontId="45" fillId="42" borderId="178" xfId="43199" applyFont="1" applyFill="1" applyBorder="1" applyAlignment="1">
      <alignment horizontal="right"/>
    </xf>
    <xf numFmtId="3" fontId="112" fillId="59" borderId="144" xfId="2697" applyNumberFormat="1" applyFont="1" applyFill="1" applyBorder="1" applyAlignment="1">
      <alignment horizontal="right" vertical="center"/>
    </xf>
    <xf numFmtId="43" fontId="112" fillId="59" borderId="144" xfId="43199" applyFont="1" applyFill="1" applyBorder="1" applyAlignment="1">
      <alignment horizontal="right" vertical="center"/>
    </xf>
    <xf numFmtId="0" fontId="245" fillId="0" borderId="178" xfId="907" applyFont="1" applyBorder="1" applyAlignment="1">
      <alignment horizontal="left"/>
    </xf>
    <xf numFmtId="170" fontId="112" fillId="59" borderId="144" xfId="43199" applyNumberFormat="1" applyFont="1" applyFill="1" applyBorder="1" applyAlignment="1">
      <alignment horizontal="right"/>
    </xf>
    <xf numFmtId="9" fontId="252" fillId="42" borderId="144" xfId="1823" applyFont="1" applyFill="1" applyBorder="1" applyAlignment="1">
      <alignment horizontal="left" vertical="center" wrapText="1"/>
    </xf>
    <xf numFmtId="43" fontId="252" fillId="42" borderId="144" xfId="43199" applyFont="1" applyFill="1" applyBorder="1" applyAlignment="1">
      <alignment horizontal="center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262" fontId="252" fillId="42" borderId="144" xfId="1823" applyNumberFormat="1" applyFont="1" applyFill="1" applyBorder="1" applyAlignment="1">
      <alignment horizontal="left" vertical="center" wrapText="1"/>
    </xf>
    <xf numFmtId="37" fontId="252" fillId="42" borderId="144" xfId="905" quotePrefix="1" applyNumberFormat="1" applyFont="1" applyFill="1" applyBorder="1" applyAlignment="1">
      <alignment horizontal="left"/>
    </xf>
    <xf numFmtId="43" fontId="252" fillId="42" borderId="144" xfId="43199" applyFont="1" applyFill="1" applyBorder="1" applyAlignment="1">
      <alignment horizontal="center"/>
    </xf>
    <xf numFmtId="262" fontId="252" fillId="42" borderId="144" xfId="1823" applyNumberFormat="1" applyFont="1" applyFill="1" applyBorder="1" applyAlignment="1">
      <alignment horizontal="center"/>
    </xf>
    <xf numFmtId="0" fontId="253" fillId="59" borderId="144" xfId="905" applyFont="1" applyFill="1" applyBorder="1" applyAlignment="1">
      <alignment horizontal="left"/>
    </xf>
    <xf numFmtId="262" fontId="253" fillId="59" borderId="144" xfId="905" applyNumberFormat="1" applyFont="1" applyFill="1" applyBorder="1" applyAlignment="1">
      <alignment horizontal="left"/>
    </xf>
    <xf numFmtId="262" fontId="253" fillId="59" borderId="144" xfId="847" applyNumberFormat="1" applyFont="1" applyFill="1" applyBorder="1" applyAlignment="1">
      <alignment horizontal="center"/>
    </xf>
    <xf numFmtId="9" fontId="253" fillId="42" borderId="144" xfId="1823" applyFont="1" applyFill="1" applyBorder="1" applyAlignment="1">
      <alignment horizontal="left" vertical="center" wrapText="1"/>
    </xf>
    <xf numFmtId="262" fontId="253" fillId="42" borderId="144" xfId="1823" applyNumberFormat="1" applyFont="1" applyFill="1" applyBorder="1" applyAlignment="1">
      <alignment horizontal="center" vertical="center" wrapText="1"/>
    </xf>
    <xf numFmtId="43" fontId="253" fillId="59" borderId="144" xfId="905" applyNumberFormat="1" applyFont="1" applyFill="1" applyBorder="1" applyAlignment="1">
      <alignment horizontal="left"/>
    </xf>
    <xf numFmtId="262" fontId="253" fillId="59" borderId="144" xfId="43200" applyNumberFormat="1" applyFont="1" applyFill="1" applyBorder="1" applyAlignment="1">
      <alignment horizontal="center"/>
    </xf>
    <xf numFmtId="9" fontId="317" fillId="55" borderId="144" xfId="1823" applyFont="1" applyFill="1" applyBorder="1" applyAlignment="1">
      <alignment horizontal="left" vertical="center" wrapText="1"/>
    </xf>
    <xf numFmtId="262" fontId="317" fillId="55" borderId="144" xfId="1823" applyNumberFormat="1" applyFont="1" applyFill="1" applyBorder="1" applyAlignment="1">
      <alignment horizontal="center" vertical="center" wrapText="1"/>
    </xf>
    <xf numFmtId="262" fontId="253" fillId="59" borderId="144" xfId="905" applyNumberFormat="1" applyFont="1" applyFill="1" applyBorder="1" applyAlignment="1">
      <alignment horizontal="center" vertical="center" wrapText="1"/>
    </xf>
    <xf numFmtId="0" fontId="253" fillId="59" borderId="144" xfId="905" applyFont="1" applyFill="1" applyBorder="1" applyAlignment="1">
      <alignment wrapText="1"/>
    </xf>
    <xf numFmtId="10" fontId="253" fillId="59" borderId="144" xfId="847" applyNumberFormat="1" applyFont="1" applyFill="1" applyBorder="1" applyAlignment="1">
      <alignment horizontal="center" vertical="center" wrapText="1"/>
    </xf>
    <xf numFmtId="261" fontId="253" fillId="59" borderId="144" xfId="905" applyNumberFormat="1" applyFont="1" applyFill="1" applyBorder="1" applyAlignment="1">
      <alignment horizontal="center" vertical="center" wrapText="1"/>
    </xf>
    <xf numFmtId="172" fontId="253" fillId="59" borderId="144" xfId="43199" applyNumberFormat="1" applyFont="1" applyFill="1" applyBorder="1" applyAlignment="1">
      <alignment vertical="center"/>
    </xf>
    <xf numFmtId="168" fontId="253" fillId="59" borderId="144" xfId="863" applyFont="1" applyFill="1" applyBorder="1" applyAlignment="1">
      <alignment vertical="center"/>
    </xf>
    <xf numFmtId="172" fontId="112" fillId="59" borderId="144" xfId="43199" applyNumberFormat="1" applyFont="1" applyFill="1" applyBorder="1" applyAlignment="1">
      <alignment vertical="center"/>
    </xf>
    <xf numFmtId="0" fontId="119" fillId="100" borderId="185" xfId="2697" applyFont="1" applyFill="1" applyBorder="1" applyAlignment="1">
      <alignment horizontal="center" vertical="center" wrapText="1"/>
    </xf>
    <xf numFmtId="0" fontId="112" fillId="59" borderId="186" xfId="905" applyFont="1" applyFill="1" applyBorder="1" applyAlignment="1">
      <alignment horizontal="left"/>
    </xf>
    <xf numFmtId="0" fontId="148" fillId="0" borderId="187" xfId="2697" applyFont="1" applyBorder="1" applyAlignment="1">
      <alignment horizontal="center" vertical="center" wrapText="1"/>
    </xf>
    <xf numFmtId="0" fontId="148" fillId="0" borderId="188" xfId="2697" applyFont="1" applyBorder="1" applyAlignment="1">
      <alignment horizontal="center" vertical="center" wrapText="1"/>
    </xf>
    <xf numFmtId="0" fontId="148" fillId="0" borderId="187" xfId="2697" applyFont="1" applyBorder="1" applyAlignment="1">
      <alignment vertical="center"/>
    </xf>
    <xf numFmtId="4" fontId="148" fillId="0" borderId="187" xfId="43199" applyNumberFormat="1" applyFont="1" applyBorder="1" applyAlignment="1">
      <alignment horizontal="right" vertical="center" wrapText="1"/>
    </xf>
    <xf numFmtId="4" fontId="148" fillId="0" borderId="188" xfId="43199" applyNumberFormat="1" applyFont="1" applyBorder="1" applyAlignment="1">
      <alignment horizontal="right" vertical="center" wrapText="1"/>
    </xf>
    <xf numFmtId="0" fontId="148" fillId="41" borderId="187" xfId="907" applyFont="1" applyFill="1" applyBorder="1"/>
    <xf numFmtId="0" fontId="145" fillId="43" borderId="166" xfId="43405" applyFont="1" applyFill="1" applyBorder="1" applyAlignment="1">
      <alignment horizontal="left" wrapText="1"/>
    </xf>
    <xf numFmtId="10" fontId="145" fillId="43" borderId="166" xfId="847" applyNumberFormat="1" applyFont="1" applyFill="1" applyBorder="1" applyAlignment="1">
      <alignment horizontal="right"/>
    </xf>
    <xf numFmtId="0" fontId="246" fillId="0" borderId="178" xfId="43405" applyFont="1" applyBorder="1"/>
    <xf numFmtId="10" fontId="246" fillId="0" borderId="178" xfId="847" applyNumberFormat="1" applyFont="1" applyFill="1" applyBorder="1"/>
    <xf numFmtId="174" fontId="213" fillId="0" borderId="178" xfId="0" applyNumberFormat="1" applyFont="1" applyBorder="1" applyAlignment="1">
      <alignment horizontal="right"/>
    </xf>
    <xf numFmtId="10" fontId="213" fillId="0" borderId="178" xfId="0" applyNumberFormat="1" applyFont="1" applyBorder="1" applyAlignment="1">
      <alignment horizontal="left"/>
    </xf>
    <xf numFmtId="0" fontId="210" fillId="58" borderId="189" xfId="834" applyFont="1" applyFill="1" applyBorder="1" applyAlignment="1" applyProtection="1">
      <alignment horizontal="left" vertical="center"/>
    </xf>
    <xf numFmtId="0" fontId="210" fillId="58" borderId="190" xfId="834" applyFont="1" applyFill="1" applyBorder="1" applyAlignment="1" applyProtection="1">
      <alignment horizontal="left" vertical="center"/>
    </xf>
    <xf numFmtId="4" fontId="210" fillId="58" borderId="189" xfId="834" applyNumberFormat="1" applyFont="1" applyFill="1" applyBorder="1" applyAlignment="1" applyProtection="1">
      <alignment horizontal="left" vertical="center"/>
    </xf>
    <xf numFmtId="14" fontId="210" fillId="56" borderId="156" xfId="834" applyNumberFormat="1" applyFont="1" applyFill="1" applyBorder="1" applyAlignment="1" applyProtection="1">
      <alignment horizontal="left" vertical="center"/>
    </xf>
    <xf numFmtId="0" fontId="214" fillId="43" borderId="186" xfId="0" applyFont="1" applyFill="1" applyBorder="1" applyAlignment="1">
      <alignment horizontal="center"/>
    </xf>
    <xf numFmtId="0" fontId="214" fillId="43" borderId="191" xfId="0" applyFont="1" applyFill="1" applyBorder="1" applyAlignment="1">
      <alignment horizontal="center"/>
    </xf>
    <xf numFmtId="0" fontId="210" fillId="41" borderId="186" xfId="0" applyFont="1" applyFill="1" applyBorder="1" applyAlignment="1" applyProtection="1">
      <alignment horizontal="left"/>
      <protection hidden="1"/>
    </xf>
    <xf numFmtId="170" fontId="210" fillId="41" borderId="186" xfId="43183" applyNumberFormat="1" applyFont="1" applyFill="1" applyBorder="1" applyAlignment="1" applyProtection="1">
      <alignment horizontal="center" vertical="center"/>
    </xf>
    <xf numFmtId="165" fontId="210" fillId="41" borderId="186" xfId="43184" applyFont="1" applyFill="1" applyBorder="1" applyAlignment="1" applyProtection="1">
      <alignment horizontal="center" vertical="center"/>
    </xf>
    <xf numFmtId="0" fontId="207" fillId="41" borderId="191" xfId="2697" applyFont="1" applyFill="1" applyBorder="1"/>
    <xf numFmtId="43" fontId="112" fillId="0" borderId="191" xfId="43185" applyFont="1" applyFill="1" applyBorder="1" applyAlignment="1" applyProtection="1">
      <alignment vertical="center"/>
    </xf>
    <xf numFmtId="167" fontId="207" fillId="41" borderId="191" xfId="815" applyFont="1" applyFill="1" applyBorder="1"/>
    <xf numFmtId="0" fontId="231" fillId="0" borderId="178" xfId="2697" applyFont="1" applyBorder="1"/>
    <xf numFmtId="10" fontId="207" fillId="0" borderId="178" xfId="847" applyNumberFormat="1" applyFont="1" applyFill="1" applyBorder="1"/>
    <xf numFmtId="0" fontId="231" fillId="41" borderId="191" xfId="2697" applyFont="1" applyFill="1" applyBorder="1" applyAlignment="1">
      <alignment vertical="center" wrapText="1"/>
    </xf>
    <xf numFmtId="170" fontId="207" fillId="0" borderId="191" xfId="43183" applyNumberFormat="1" applyFont="1" applyFill="1" applyBorder="1" applyAlignment="1">
      <alignment vertical="center" wrapText="1"/>
    </xf>
    <xf numFmtId="0" fontId="232" fillId="0" borderId="178" xfId="2697" applyFont="1" applyBorder="1"/>
    <xf numFmtId="10" fontId="210" fillId="0" borderId="178" xfId="2697" applyNumberFormat="1" applyFont="1" applyBorder="1"/>
    <xf numFmtId="0" fontId="207" fillId="41" borderId="178" xfId="2697" applyFont="1" applyFill="1" applyBorder="1"/>
    <xf numFmtId="43" fontId="45" fillId="0" borderId="178" xfId="43185" applyFont="1" applyFill="1" applyBorder="1" applyAlignment="1" applyProtection="1">
      <alignment horizontal="right"/>
      <protection locked="0"/>
    </xf>
    <xf numFmtId="167" fontId="207" fillId="41" borderId="178" xfId="815" applyFont="1" applyFill="1" applyBorder="1"/>
    <xf numFmtId="168" fontId="210" fillId="41" borderId="186" xfId="43185" applyNumberFormat="1" applyFont="1" applyFill="1" applyBorder="1" applyAlignment="1" applyProtection="1">
      <alignment horizontal="right"/>
      <protection locked="0"/>
    </xf>
    <xf numFmtId="165" fontId="210" fillId="41" borderId="186" xfId="43184" applyFont="1" applyFill="1" applyBorder="1" applyAlignment="1" applyProtection="1">
      <alignment horizontal="right"/>
      <protection locked="0"/>
    </xf>
    <xf numFmtId="0" fontId="210" fillId="97" borderId="186" xfId="2697" applyFont="1" applyFill="1" applyBorder="1"/>
    <xf numFmtId="167" fontId="210" fillId="97" borderId="186" xfId="2697" applyNumberFormat="1" applyFont="1" applyFill="1" applyBorder="1"/>
    <xf numFmtId="0" fontId="232" fillId="0" borderId="186" xfId="2697" applyFont="1" applyBorder="1"/>
    <xf numFmtId="170" fontId="207" fillId="0" borderId="186" xfId="43183" applyNumberFormat="1" applyFont="1" applyFill="1" applyBorder="1" applyAlignment="1">
      <alignment vertical="center" wrapText="1"/>
    </xf>
    <xf numFmtId="170" fontId="210" fillId="41" borderId="186" xfId="43183" applyNumberFormat="1" applyFont="1" applyFill="1" applyBorder="1" applyAlignment="1" applyProtection="1">
      <alignment vertical="center"/>
    </xf>
    <xf numFmtId="165" fontId="210" fillId="0" borderId="186" xfId="43184" applyFont="1" applyFill="1" applyBorder="1" applyAlignment="1" applyProtection="1">
      <alignment vertical="center"/>
    </xf>
    <xf numFmtId="0" fontId="210" fillId="97" borderId="186" xfId="0" applyFont="1" applyFill="1" applyBorder="1" applyAlignment="1" applyProtection="1">
      <alignment horizontal="left"/>
      <protection hidden="1"/>
    </xf>
    <xf numFmtId="43" fontId="210" fillId="97" borderId="186" xfId="43183" applyFont="1" applyFill="1" applyBorder="1" applyAlignment="1" applyProtection="1">
      <alignment vertical="center"/>
    </xf>
    <xf numFmtId="165" fontId="210" fillId="97" borderId="186" xfId="43184" applyFont="1" applyFill="1" applyBorder="1" applyAlignment="1" applyProtection="1">
      <alignment vertical="center"/>
    </xf>
    <xf numFmtId="0" fontId="112" fillId="58" borderId="188" xfId="834" applyFont="1" applyFill="1" applyBorder="1" applyAlignment="1" applyProtection="1">
      <alignment horizontal="left" vertical="center"/>
    </xf>
    <xf numFmtId="0" fontId="112" fillId="58" borderId="192" xfId="834" applyFont="1" applyFill="1" applyBorder="1" applyAlignment="1" applyProtection="1">
      <alignment horizontal="left" vertical="center"/>
    </xf>
    <xf numFmtId="0" fontId="112" fillId="56" borderId="188" xfId="834" applyFont="1" applyFill="1" applyBorder="1" applyAlignment="1" applyProtection="1">
      <alignment horizontal="left" vertical="center"/>
    </xf>
    <xf numFmtId="0" fontId="112" fillId="56" borderId="192" xfId="834" applyFont="1" applyFill="1" applyBorder="1" applyAlignment="1" applyProtection="1">
      <alignment horizontal="left" vertical="center"/>
    </xf>
    <xf numFmtId="0" fontId="210" fillId="97" borderId="191" xfId="0" applyFont="1" applyFill="1" applyBorder="1" applyAlignment="1" applyProtection="1">
      <alignment horizontal="left"/>
      <protection hidden="1"/>
    </xf>
    <xf numFmtId="0" fontId="210" fillId="0" borderId="186" xfId="2697" applyFont="1" applyBorder="1" applyAlignment="1">
      <alignment horizontal="left"/>
    </xf>
    <xf numFmtId="165" fontId="210" fillId="0" borderId="186" xfId="2697" applyNumberFormat="1" applyFont="1" applyBorder="1"/>
    <xf numFmtId="168" fontId="207" fillId="0" borderId="193" xfId="863" applyFont="1" applyBorder="1"/>
    <xf numFmtId="0" fontId="207" fillId="97" borderId="191" xfId="0" applyFont="1" applyFill="1" applyBorder="1" applyAlignment="1" applyProtection="1">
      <alignment horizontal="left"/>
      <protection hidden="1"/>
    </xf>
    <xf numFmtId="165" fontId="207" fillId="0" borderId="191" xfId="43184" applyFont="1" applyBorder="1"/>
    <xf numFmtId="168" fontId="207" fillId="0" borderId="187" xfId="863" applyFont="1" applyBorder="1"/>
    <xf numFmtId="0" fontId="207" fillId="97" borderId="178" xfId="0" applyFont="1" applyFill="1" applyBorder="1" applyAlignment="1" applyProtection="1">
      <alignment horizontal="left"/>
      <protection hidden="1"/>
    </xf>
    <xf numFmtId="165" fontId="207" fillId="0" borderId="178" xfId="43184" applyFont="1" applyBorder="1"/>
    <xf numFmtId="14" fontId="112" fillId="56" borderId="192" xfId="834" applyNumberFormat="1" applyFont="1" applyFill="1" applyBorder="1" applyAlignment="1" applyProtection="1">
      <alignment horizontal="left" vertical="center"/>
    </xf>
    <xf numFmtId="0" fontId="219" fillId="43" borderId="186" xfId="0" applyFont="1" applyFill="1" applyBorder="1" applyAlignment="1">
      <alignment horizontal="center"/>
    </xf>
    <xf numFmtId="0" fontId="215" fillId="59" borderId="186" xfId="907" applyFont="1" applyFill="1" applyBorder="1"/>
    <xf numFmtId="219" fontId="215" fillId="59" borderId="186" xfId="863" applyNumberFormat="1" applyFont="1" applyFill="1" applyBorder="1"/>
    <xf numFmtId="0" fontId="207" fillId="0" borderId="186" xfId="907" applyFont="1" applyBorder="1" applyAlignment="1">
      <alignment horizontal="left" indent="1"/>
    </xf>
    <xf numFmtId="219" fontId="220" fillId="41" borderId="186" xfId="863" applyNumberFormat="1" applyFont="1" applyFill="1" applyBorder="1"/>
    <xf numFmtId="168" fontId="207" fillId="0" borderId="178" xfId="863" applyFont="1" applyBorder="1"/>
    <xf numFmtId="0" fontId="212" fillId="43" borderId="178" xfId="0" applyFont="1" applyFill="1" applyBorder="1"/>
    <xf numFmtId="0" fontId="212" fillId="43" borderId="178" xfId="0" applyFont="1" applyFill="1" applyBorder="1" applyAlignment="1">
      <alignment horizontal="center"/>
    </xf>
    <xf numFmtId="0" fontId="207" fillId="0" borderId="191" xfId="0" applyFont="1" applyBorder="1"/>
    <xf numFmtId="44" fontId="207" fillId="0" borderId="191" xfId="863" applyNumberFormat="1" applyFont="1" applyBorder="1"/>
    <xf numFmtId="0" fontId="210" fillId="0" borderId="178" xfId="907" applyFont="1" applyBorder="1"/>
    <xf numFmtId="214" fontId="210" fillId="0" borderId="178" xfId="0" applyNumberFormat="1" applyFont="1" applyBorder="1"/>
    <xf numFmtId="168" fontId="207" fillId="0" borderId="191" xfId="863" applyFont="1" applyBorder="1"/>
    <xf numFmtId="0" fontId="210" fillId="59" borderId="186" xfId="907" applyFont="1" applyFill="1" applyBorder="1"/>
    <xf numFmtId="170" fontId="210" fillId="59" borderId="186" xfId="907" applyNumberFormat="1" applyFont="1" applyFill="1" applyBorder="1"/>
    <xf numFmtId="168" fontId="210" fillId="59" borderId="186" xfId="863" applyFont="1" applyFill="1" applyBorder="1"/>
    <xf numFmtId="167" fontId="210" fillId="59" borderId="186" xfId="907" applyNumberFormat="1" applyFont="1" applyFill="1" applyBorder="1"/>
    <xf numFmtId="168" fontId="207" fillId="0" borderId="191" xfId="863" applyFont="1" applyFill="1" applyBorder="1"/>
    <xf numFmtId="0" fontId="219" fillId="43" borderId="191" xfId="0" applyFont="1" applyFill="1" applyBorder="1" applyAlignment="1">
      <alignment horizontal="center" vertical="center" wrapText="1"/>
    </xf>
    <xf numFmtId="0" fontId="219" fillId="43" borderId="186" xfId="0" applyFont="1" applyFill="1" applyBorder="1" applyAlignment="1">
      <alignment horizontal="center" vertical="center" wrapText="1"/>
    </xf>
    <xf numFmtId="0" fontId="297" fillId="43" borderId="189" xfId="907" applyFont="1" applyFill="1" applyBorder="1"/>
    <xf numFmtId="0" fontId="297" fillId="43" borderId="191" xfId="907" applyFont="1" applyFill="1" applyBorder="1"/>
    <xf numFmtId="0" fontId="297" fillId="43" borderId="190" xfId="907" applyFont="1" applyFill="1" applyBorder="1"/>
    <xf numFmtId="0" fontId="294" fillId="43" borderId="188" xfId="907" applyFont="1" applyFill="1" applyBorder="1"/>
    <xf numFmtId="0" fontId="294" fillId="43" borderId="186" xfId="907" applyFont="1" applyFill="1" applyBorder="1"/>
    <xf numFmtId="0" fontId="294" fillId="43" borderId="187" xfId="907" applyFont="1" applyFill="1" applyBorder="1"/>
    <xf numFmtId="0" fontId="210" fillId="97" borderId="186" xfId="0" applyFont="1" applyFill="1" applyBorder="1"/>
    <xf numFmtId="0" fontId="298" fillId="97" borderId="186" xfId="0" applyFont="1" applyFill="1" applyBorder="1"/>
    <xf numFmtId="0" fontId="218" fillId="97" borderId="186" xfId="0" applyFont="1" applyFill="1" applyBorder="1"/>
    <xf numFmtId="168" fontId="210" fillId="97" borderId="186" xfId="0" applyNumberFormat="1" applyFont="1" applyFill="1" applyBorder="1"/>
    <xf numFmtId="272" fontId="210" fillId="97" borderId="186" xfId="863" applyNumberFormat="1" applyFont="1" applyFill="1" applyBorder="1"/>
    <xf numFmtId="43" fontId="210" fillId="97" borderId="186" xfId="0" applyNumberFormat="1" applyFont="1" applyFill="1" applyBorder="1"/>
    <xf numFmtId="0" fontId="294" fillId="43" borderId="188" xfId="907" applyFont="1" applyFill="1" applyBorder="1" applyAlignment="1">
      <alignment vertical="center"/>
    </xf>
    <xf numFmtId="0" fontId="294" fillId="43" borderId="186" xfId="907" applyFont="1" applyFill="1" applyBorder="1" applyAlignment="1">
      <alignment horizontal="center" vertical="center"/>
    </xf>
    <xf numFmtId="0" fontId="294" fillId="43" borderId="187" xfId="907" applyFont="1" applyFill="1" applyBorder="1" applyAlignment="1">
      <alignment vertical="center"/>
    </xf>
    <xf numFmtId="0" fontId="294" fillId="43" borderId="186" xfId="907" applyFont="1" applyFill="1" applyBorder="1" applyAlignment="1">
      <alignment vertical="center"/>
    </xf>
    <xf numFmtId="0" fontId="294" fillId="116" borderId="189" xfId="907" applyFont="1" applyFill="1" applyBorder="1"/>
    <xf numFmtId="0" fontId="294" fillId="116" borderId="191" xfId="907" applyFont="1" applyFill="1" applyBorder="1" applyAlignment="1">
      <alignment horizontal="center" wrapText="1"/>
    </xf>
    <xf numFmtId="0" fontId="294" fillId="116" borderId="191" xfId="907" applyFont="1" applyFill="1" applyBorder="1" applyAlignment="1">
      <alignment horizontal="center"/>
    </xf>
    <xf numFmtId="0" fontId="294" fillId="116" borderId="190" xfId="907" applyFont="1" applyFill="1" applyBorder="1" applyAlignment="1">
      <alignment horizontal="center"/>
    </xf>
    <xf numFmtId="0" fontId="295" fillId="0" borderId="189" xfId="907" applyFont="1" applyBorder="1"/>
    <xf numFmtId="217" fontId="296" fillId="0" borderId="191" xfId="847" applyNumberFormat="1" applyFont="1" applyFill="1" applyBorder="1"/>
    <xf numFmtId="43" fontId="296" fillId="0" borderId="191" xfId="43408" applyFont="1" applyFill="1" applyBorder="1"/>
    <xf numFmtId="43" fontId="295" fillId="0" borderId="190" xfId="43408" applyFont="1" applyFill="1" applyBorder="1"/>
    <xf numFmtId="219" fontId="295" fillId="117" borderId="186" xfId="43408" applyNumberFormat="1" applyFont="1" applyFill="1" applyBorder="1"/>
    <xf numFmtId="43" fontId="296" fillId="117" borderId="186" xfId="43408" applyFont="1" applyFill="1" applyBorder="1"/>
    <xf numFmtId="167" fontId="296" fillId="117" borderId="192" xfId="815" applyFont="1" applyFill="1" applyBorder="1"/>
    <xf numFmtId="0" fontId="296" fillId="0" borderId="191" xfId="0" applyFont="1" applyBorder="1"/>
    <xf numFmtId="0" fontId="240" fillId="0" borderId="178" xfId="907" applyFont="1" applyBorder="1" applyAlignment="1">
      <alignment horizontal="left"/>
    </xf>
    <xf numFmtId="0" fontId="235" fillId="33" borderId="178" xfId="829" applyFont="1" applyFill="1" applyBorder="1"/>
    <xf numFmtId="0" fontId="207" fillId="33" borderId="178" xfId="831" applyFont="1" applyFill="1" applyBorder="1" applyAlignment="1">
      <alignment vertical="center"/>
    </xf>
    <xf numFmtId="170" fontId="207" fillId="33" borderId="178" xfId="863" applyNumberFormat="1" applyFont="1" applyFill="1" applyBorder="1" applyAlignment="1">
      <alignment vertical="center"/>
    </xf>
    <xf numFmtId="10" fontId="213" fillId="0" borderId="178" xfId="0" applyNumberFormat="1" applyFont="1" applyBorder="1" applyAlignment="1">
      <alignment horizontal="center"/>
    </xf>
    <xf numFmtId="0" fontId="225" fillId="33" borderId="194" xfId="831" applyFont="1" applyFill="1" applyBorder="1" applyAlignment="1">
      <alignment horizontal="left" vertical="center"/>
    </xf>
    <xf numFmtId="0" fontId="214" fillId="43" borderId="186" xfId="0" applyFont="1" applyFill="1" applyBorder="1" applyAlignment="1">
      <alignment horizontal="center" vertical="center" wrapText="1"/>
    </xf>
    <xf numFmtId="0" fontId="207" fillId="0" borderId="178" xfId="831" applyFont="1" applyBorder="1" applyAlignment="1">
      <alignment vertical="center"/>
    </xf>
    <xf numFmtId="168" fontId="207" fillId="33" borderId="178" xfId="863" applyFont="1" applyFill="1" applyBorder="1" applyAlignment="1" applyProtection="1">
      <alignment horizontal="center" vertical="center"/>
      <protection locked="0"/>
    </xf>
    <xf numFmtId="0" fontId="209" fillId="38" borderId="188" xfId="905" applyFont="1" applyFill="1" applyBorder="1" applyAlignment="1">
      <alignment horizontal="center" vertical="center"/>
    </xf>
    <xf numFmtId="0" fontId="209" fillId="38" borderId="186" xfId="905" applyFont="1" applyFill="1" applyBorder="1" applyAlignment="1">
      <alignment vertical="center"/>
    </xf>
    <xf numFmtId="0" fontId="209" fillId="38" borderId="192" xfId="905" applyFont="1" applyFill="1" applyBorder="1" applyAlignment="1">
      <alignment vertical="center"/>
    </xf>
    <xf numFmtId="176" fontId="45" fillId="41" borderId="196" xfId="863" applyNumberFormat="1" applyFont="1" applyFill="1" applyBorder="1" applyAlignment="1">
      <alignment vertical="center"/>
    </xf>
    <xf numFmtId="176" fontId="207" fillId="0" borderId="187" xfId="863" applyNumberFormat="1" applyFont="1" applyFill="1" applyBorder="1" applyAlignment="1">
      <alignment vertical="center"/>
    </xf>
    <xf numFmtId="168" fontId="210" fillId="33" borderId="187" xfId="831" applyNumberFormat="1" applyFont="1" applyFill="1" applyBorder="1" applyAlignment="1">
      <alignment vertical="center"/>
    </xf>
    <xf numFmtId="168" fontId="210" fillId="33" borderId="187" xfId="863" applyFont="1" applyFill="1" applyBorder="1" applyAlignment="1">
      <alignment vertical="center"/>
    </xf>
    <xf numFmtId="168" fontId="214" fillId="0" borderId="178" xfId="863" applyFont="1" applyFill="1" applyBorder="1" applyAlignment="1">
      <alignment horizontal="center" vertical="center"/>
    </xf>
    <xf numFmtId="17" fontId="209" fillId="38" borderId="187" xfId="905" applyNumberFormat="1" applyFont="1" applyFill="1" applyBorder="1" applyAlignment="1">
      <alignment horizontal="center" vertical="center"/>
    </xf>
    <xf numFmtId="0" fontId="35" fillId="33" borderId="187" xfId="907" applyFont="1" applyFill="1" applyBorder="1" applyAlignment="1">
      <alignment horizontal="center" vertical="center"/>
    </xf>
    <xf numFmtId="4" fontId="210" fillId="33" borderId="187" xfId="831" applyNumberFormat="1" applyFont="1" applyFill="1" applyBorder="1" applyAlignment="1">
      <alignment horizontal="right" vertical="center"/>
    </xf>
    <xf numFmtId="4" fontId="207" fillId="33" borderId="187" xfId="863" applyNumberFormat="1" applyFont="1" applyFill="1" applyBorder="1" applyAlignment="1">
      <alignment horizontal="right" vertical="center"/>
    </xf>
    <xf numFmtId="17" fontId="41" fillId="38" borderId="187" xfId="905" applyNumberFormat="1" applyFont="1" applyFill="1" applyBorder="1" applyAlignment="1">
      <alignment horizontal="center" vertical="center"/>
    </xf>
    <xf numFmtId="17" fontId="41" fillId="38" borderId="187" xfId="905" applyNumberFormat="1" applyFont="1" applyFill="1" applyBorder="1" applyAlignment="1">
      <alignment horizontal="center" vertical="center" wrapText="1"/>
    </xf>
    <xf numFmtId="17" fontId="41" fillId="38" borderId="196" xfId="905" applyNumberFormat="1" applyFont="1" applyFill="1" applyBorder="1" applyAlignment="1">
      <alignment horizontal="center" vertical="center" wrapText="1"/>
    </xf>
    <xf numFmtId="176" fontId="35" fillId="0" borderId="187" xfId="907" applyNumberFormat="1" applyFont="1" applyBorder="1" applyAlignment="1">
      <alignment horizontal="center" vertical="center"/>
    </xf>
    <xf numFmtId="171" fontId="32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2" fillId="0" borderId="193" xfId="863" applyBorder="1"/>
    <xf numFmtId="17" fontId="40" fillId="38" borderId="192" xfId="905" applyNumberFormat="1" applyFont="1" applyFill="1" applyBorder="1" applyAlignment="1">
      <alignment horizontal="center" vertical="center" wrapText="1"/>
    </xf>
    <xf numFmtId="17" fontId="40" fillId="38" borderId="187" xfId="905" applyNumberFormat="1" applyFont="1" applyFill="1" applyBorder="1" applyAlignment="1">
      <alignment horizontal="center" vertical="center" wrapText="1"/>
    </xf>
    <xf numFmtId="0" fontId="32" fillId="0" borderId="187" xfId="907" applyBorder="1"/>
    <xf numFmtId="168" fontId="32" fillId="0" borderId="187" xfId="863" applyFont="1" applyFill="1" applyBorder="1" applyAlignment="1"/>
    <xf numFmtId="171" fontId="32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2" fillId="0" borderId="196" xfId="863" applyBorder="1"/>
    <xf numFmtId="0" fontId="35" fillId="0" borderId="187" xfId="907" applyFont="1" applyBorder="1" applyAlignment="1">
      <alignment horizontal="center" vertical="center"/>
    </xf>
    <xf numFmtId="0" fontId="210" fillId="97" borderId="186" xfId="831" applyFont="1" applyFill="1" applyBorder="1" applyAlignment="1">
      <alignment horizontal="center"/>
    </xf>
    <xf numFmtId="4" fontId="210" fillId="97" borderId="186" xfId="831" applyNumberFormat="1" applyFont="1" applyFill="1" applyBorder="1" applyAlignment="1">
      <alignment horizontal="right"/>
    </xf>
    <xf numFmtId="170" fontId="210" fillId="97" borderId="186" xfId="863" applyNumberFormat="1" applyFont="1" applyFill="1" applyBorder="1" applyAlignment="1">
      <alignment horizontal="right"/>
    </xf>
    <xf numFmtId="0" fontId="207" fillId="33" borderId="186" xfId="831" applyFont="1" applyFill="1" applyBorder="1" applyAlignment="1">
      <alignment vertical="center"/>
    </xf>
    <xf numFmtId="170" fontId="210" fillId="97" borderId="186" xfId="863" applyNumberFormat="1" applyFont="1" applyFill="1" applyBorder="1" applyAlignment="1">
      <alignment horizontal="center"/>
    </xf>
    <xf numFmtId="4" fontId="210" fillId="0" borderId="186" xfId="831" applyNumberFormat="1" applyFont="1" applyBorder="1" applyAlignment="1">
      <alignment vertical="center"/>
    </xf>
    <xf numFmtId="14" fontId="210" fillId="42" borderId="186" xfId="863" applyNumberFormat="1" applyFont="1" applyFill="1" applyBorder="1" applyAlignment="1">
      <alignment horizontal="center" vertical="top" wrapText="1"/>
    </xf>
    <xf numFmtId="216" fontId="210" fillId="97" borderId="186" xfId="863" applyNumberFormat="1" applyFont="1" applyFill="1" applyBorder="1" applyAlignment="1">
      <alignment horizontal="center"/>
    </xf>
    <xf numFmtId="0" fontId="241" fillId="33" borderId="178" xfId="829" applyFont="1" applyFill="1" applyBorder="1"/>
    <xf numFmtId="0" fontId="0" fillId="0" borderId="178" xfId="0" applyBorder="1"/>
    <xf numFmtId="0" fontId="214" fillId="43" borderId="186" xfId="0" applyFont="1" applyFill="1" applyBorder="1"/>
    <xf numFmtId="167" fontId="210" fillId="0" borderId="186" xfId="815" applyFont="1" applyBorder="1"/>
    <xf numFmtId="10" fontId="207" fillId="44" borderId="186" xfId="847" applyNumberFormat="1" applyFont="1" applyFill="1" applyBorder="1" applyAlignment="1">
      <alignment horizontal="right"/>
    </xf>
    <xf numFmtId="10" fontId="207" fillId="45" borderId="186" xfId="847" applyNumberFormat="1" applyFont="1" applyFill="1" applyBorder="1" applyAlignment="1">
      <alignment horizontal="right"/>
    </xf>
    <xf numFmtId="0" fontId="238" fillId="43" borderId="186" xfId="0" applyFont="1" applyFill="1" applyBorder="1" applyAlignment="1">
      <alignment horizontal="center" vertical="center" wrapText="1"/>
    </xf>
    <xf numFmtId="168" fontId="207" fillId="54" borderId="178" xfId="903" applyFont="1" applyFill="1" applyBorder="1" applyAlignment="1">
      <alignment horizontal="left" vertical="top" wrapText="1"/>
    </xf>
    <xf numFmtId="276" fontId="207" fillId="109" borderId="178" xfId="863" applyNumberFormat="1" applyFont="1" applyFill="1" applyBorder="1" applyAlignment="1">
      <alignment horizontal="right"/>
    </xf>
    <xf numFmtId="168" fontId="207" fillId="54" borderId="191" xfId="903" applyFont="1" applyFill="1" applyBorder="1" applyAlignment="1">
      <alignment horizontal="left" vertical="top"/>
    </xf>
    <xf numFmtId="168" fontId="207" fillId="54" borderId="191" xfId="903" applyFont="1" applyFill="1" applyBorder="1" applyAlignment="1">
      <alignment horizontal="right"/>
    </xf>
    <xf numFmtId="0" fontId="210" fillId="0" borderId="186" xfId="0" applyFont="1" applyBorder="1"/>
    <xf numFmtId="167" fontId="210" fillId="0" borderId="186" xfId="0" applyNumberFormat="1" applyFont="1" applyBorder="1"/>
    <xf numFmtId="0" fontId="207" fillId="0" borderId="191" xfId="0" applyFont="1" applyBorder="1" applyAlignment="1">
      <alignment horizontal="left"/>
    </xf>
    <xf numFmtId="167" fontId="207" fillId="109" borderId="191" xfId="815" applyFont="1" applyFill="1" applyBorder="1"/>
    <xf numFmtId="168" fontId="45" fillId="41" borderId="178" xfId="903" applyFont="1" applyFill="1" applyBorder="1" applyAlignment="1">
      <alignment horizontal="left" vertical="top" wrapText="1"/>
    </xf>
    <xf numFmtId="168" fontId="45" fillId="41" borderId="178" xfId="863" applyFont="1" applyFill="1" applyBorder="1" applyAlignment="1">
      <alignment horizontal="right"/>
    </xf>
    <xf numFmtId="168" fontId="207" fillId="41" borderId="178" xfId="903" applyFont="1" applyFill="1" applyBorder="1" applyAlignment="1">
      <alignment horizontal="left" vertical="top" wrapText="1"/>
    </xf>
    <xf numFmtId="167" fontId="207" fillId="41" borderId="178" xfId="815" applyFont="1" applyFill="1" applyBorder="1" applyAlignment="1">
      <alignment horizontal="right"/>
    </xf>
    <xf numFmtId="167" fontId="207" fillId="0" borderId="191" xfId="815" applyFont="1" applyFill="1" applyBorder="1"/>
    <xf numFmtId="168" fontId="112" fillId="41" borderId="178" xfId="903" applyFont="1" applyFill="1" applyBorder="1" applyAlignment="1">
      <alignment horizontal="left" vertical="top" wrapText="1"/>
    </xf>
    <xf numFmtId="167" fontId="112" fillId="41" borderId="178" xfId="815" applyFont="1" applyFill="1" applyBorder="1" applyAlignment="1">
      <alignment horizontal="right"/>
    </xf>
    <xf numFmtId="0" fontId="207" fillId="0" borderId="178" xfId="0" applyFont="1" applyBorder="1" applyAlignment="1">
      <alignment horizontal="left"/>
    </xf>
    <xf numFmtId="167" fontId="207" fillId="109" borderId="178" xfId="815" applyFont="1" applyFill="1" applyBorder="1"/>
    <xf numFmtId="167" fontId="207" fillId="0" borderId="178" xfId="815" applyFont="1" applyFill="1" applyBorder="1"/>
    <xf numFmtId="0" fontId="207" fillId="0" borderId="186" xfId="0" applyFont="1" applyBorder="1"/>
    <xf numFmtId="4" fontId="207" fillId="0" borderId="186" xfId="0" applyNumberFormat="1" applyFont="1" applyBorder="1"/>
    <xf numFmtId="43" fontId="207" fillId="0" borderId="191" xfId="0" applyNumberFormat="1" applyFont="1" applyBorder="1"/>
    <xf numFmtId="167" fontId="207" fillId="0" borderId="191" xfId="0" applyNumberFormat="1" applyFont="1" applyBorder="1"/>
    <xf numFmtId="43" fontId="207" fillId="0" borderId="178" xfId="0" applyNumberFormat="1" applyFont="1" applyBorder="1"/>
    <xf numFmtId="167" fontId="207" fillId="0" borderId="178" xfId="0" applyNumberFormat="1" applyFont="1" applyBorder="1"/>
    <xf numFmtId="165" fontId="207" fillId="0" borderId="191" xfId="0" applyNumberFormat="1" applyFont="1" applyBorder="1"/>
    <xf numFmtId="165" fontId="207" fillId="0" borderId="178" xfId="0" applyNumberFormat="1" applyFont="1" applyBorder="1"/>
    <xf numFmtId="10" fontId="235" fillId="0" borderId="178" xfId="0" applyNumberFormat="1" applyFont="1" applyBorder="1" applyAlignment="1">
      <alignment horizontal="left"/>
    </xf>
    <xf numFmtId="0" fontId="207" fillId="33" borderId="178" xfId="829" applyFont="1" applyFill="1" applyBorder="1" applyAlignment="1">
      <alignment horizontal="center"/>
    </xf>
    <xf numFmtId="0" fontId="288" fillId="43" borderId="191" xfId="832" applyFont="1" applyFill="1" applyBorder="1" applyAlignment="1">
      <alignment horizontal="center"/>
    </xf>
    <xf numFmtId="167" fontId="284" fillId="0" borderId="191" xfId="815" applyFont="1" applyBorder="1"/>
    <xf numFmtId="0" fontId="288" fillId="43" borderId="178" xfId="832" applyFont="1" applyFill="1" applyBorder="1" applyAlignment="1">
      <alignment horizontal="center"/>
    </xf>
    <xf numFmtId="167" fontId="284" fillId="0" borderId="178" xfId="815" applyFont="1" applyFill="1" applyBorder="1"/>
    <xf numFmtId="4" fontId="112" fillId="0" borderId="186" xfId="43199" applyNumberFormat="1" applyFont="1" applyFill="1" applyBorder="1" applyAlignment="1">
      <alignment vertical="center"/>
    </xf>
    <xf numFmtId="0" fontId="289" fillId="43" borderId="189" xfId="0" applyFont="1" applyFill="1" applyBorder="1"/>
    <xf numFmtId="167" fontId="284" fillId="0" borderId="191" xfId="815" applyFont="1" applyFill="1" applyBorder="1"/>
    <xf numFmtId="10" fontId="284" fillId="0" borderId="190" xfId="847" applyNumberFormat="1" applyFont="1" applyFill="1" applyBorder="1" applyAlignment="1">
      <alignment horizontal="center"/>
    </xf>
    <xf numFmtId="0" fontId="289" fillId="43" borderId="186" xfId="0" applyFont="1" applyFill="1" applyBorder="1"/>
    <xf numFmtId="40" fontId="290" fillId="43" borderId="186" xfId="0" applyNumberFormat="1" applyFont="1" applyFill="1" applyBorder="1"/>
    <xf numFmtId="10" fontId="290" fillId="43" borderId="186" xfId="0" applyNumberFormat="1" applyFont="1" applyFill="1" applyBorder="1" applyAlignment="1">
      <alignment horizontal="center"/>
    </xf>
    <xf numFmtId="0" fontId="207" fillId="0" borderId="187" xfId="0" applyFont="1" applyBorder="1"/>
    <xf numFmtId="0" fontId="253" fillId="58" borderId="189" xfId="834" applyFont="1" applyFill="1" applyBorder="1" applyAlignment="1" applyProtection="1">
      <alignment horizontal="left" vertical="center"/>
    </xf>
    <xf numFmtId="0" fontId="252" fillId="0" borderId="191" xfId="43437" quotePrefix="1" applyFont="1" applyBorder="1" applyAlignment="1">
      <alignment horizontal="left" vertical="center"/>
    </xf>
    <xf numFmtId="277" fontId="252" fillId="41" borderId="191" xfId="43439" applyNumberFormat="1" applyFont="1" applyFill="1" applyBorder="1" applyAlignment="1">
      <alignment vertical="center" wrapText="1"/>
    </xf>
    <xf numFmtId="0" fontId="252" fillId="0" borderId="193" xfId="43437" quotePrefix="1" applyFont="1" applyBorder="1" applyAlignment="1">
      <alignment horizontal="left" vertical="center"/>
    </xf>
    <xf numFmtId="170" fontId="309" fillId="42" borderId="196" xfId="863" applyNumberFormat="1" applyFont="1" applyFill="1" applyBorder="1" applyAlignment="1">
      <alignment vertical="center"/>
    </xf>
    <xf numFmtId="0" fontId="252" fillId="0" borderId="196" xfId="43437" quotePrefix="1" applyFont="1" applyBorder="1" applyAlignment="1">
      <alignment horizontal="left" vertical="center"/>
    </xf>
    <xf numFmtId="170" fontId="252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9" fillId="55" borderId="186" xfId="2697" applyFont="1" applyFill="1" applyBorder="1" applyAlignment="1">
      <alignment horizontal="left" vertical="center" wrapText="1"/>
    </xf>
    <xf numFmtId="0" fontId="119" fillId="55" borderId="197" xfId="2697" applyFont="1" applyFill="1" applyBorder="1" applyAlignment="1">
      <alignment horizontal="center" vertical="center" wrapText="1"/>
    </xf>
    <xf numFmtId="0" fontId="45" fillId="0" borderId="191" xfId="2697" applyFont="1" applyBorder="1" applyAlignment="1">
      <alignment vertical="center"/>
    </xf>
    <xf numFmtId="0" fontId="45" fillId="0" borderId="190" xfId="2697" applyFont="1" applyBorder="1" applyAlignment="1">
      <alignment vertical="center"/>
    </xf>
    <xf numFmtId="269" fontId="45" fillId="0" borderId="189" xfId="2697" applyNumberFormat="1" applyFont="1" applyBorder="1" applyAlignment="1">
      <alignment vertical="center"/>
    </xf>
    <xf numFmtId="168" fontId="45" fillId="0" borderId="193" xfId="863" applyFont="1" applyBorder="1" applyAlignment="1">
      <alignment vertical="center"/>
    </xf>
    <xf numFmtId="269" fontId="45" fillId="0" borderId="193" xfId="2697" applyNumberFormat="1" applyFont="1" applyBorder="1" applyAlignment="1">
      <alignment vertical="center"/>
    </xf>
    <xf numFmtId="168" fontId="45" fillId="0" borderId="196" xfId="863" applyFont="1" applyBorder="1" applyAlignment="1">
      <alignment vertical="center"/>
    </xf>
    <xf numFmtId="269" fontId="45" fillId="0" borderId="196" xfId="2697" applyNumberFormat="1" applyFont="1" applyBorder="1" applyAlignment="1">
      <alignment vertical="center"/>
    </xf>
    <xf numFmtId="0" fontId="112" fillId="59" borderId="178" xfId="2697" applyFont="1" applyFill="1" applyBorder="1" applyAlignment="1">
      <alignment vertical="center"/>
    </xf>
    <xf numFmtId="270" fontId="112" fillId="59" borderId="187" xfId="43183" applyNumberFormat="1" applyFont="1" applyFill="1" applyBorder="1" applyAlignment="1">
      <alignment vertical="center"/>
    </xf>
    <xf numFmtId="270" fontId="112" fillId="59" borderId="188" xfId="43183" applyNumberFormat="1" applyFont="1" applyFill="1" applyBorder="1" applyAlignment="1">
      <alignment vertical="center"/>
    </xf>
    <xf numFmtId="0" fontId="45" fillId="60" borderId="192" xfId="905" applyFont="1" applyFill="1" applyBorder="1" applyAlignment="1">
      <alignment horizontal="left" vertical="center"/>
    </xf>
    <xf numFmtId="0" fontId="45" fillId="98" borderId="187" xfId="2697" applyFont="1" applyFill="1" applyBorder="1" applyAlignment="1">
      <alignment vertical="center"/>
    </xf>
    <xf numFmtId="271" fontId="45" fillId="60" borderId="186" xfId="2697" applyNumberFormat="1" applyFont="1" applyFill="1" applyBorder="1" applyAlignment="1">
      <alignment vertical="center"/>
    </xf>
    <xf numFmtId="0" fontId="112" fillId="60" borderId="192" xfId="905" applyFont="1" applyFill="1" applyBorder="1" applyAlignment="1">
      <alignment horizontal="left" vertical="center"/>
    </xf>
    <xf numFmtId="0" fontId="45" fillId="98" borderId="187" xfId="2697" applyFont="1" applyFill="1" applyBorder="1"/>
    <xf numFmtId="270" fontId="112" fillId="98" borderId="186" xfId="2697" applyNumberFormat="1" applyFont="1" applyFill="1" applyBorder="1" applyAlignment="1">
      <alignment vertical="center"/>
    </xf>
    <xf numFmtId="270" fontId="112" fillId="60" borderId="186" xfId="2697" applyNumberFormat="1" applyFont="1" applyFill="1" applyBorder="1" applyAlignment="1">
      <alignment vertical="center"/>
    </xf>
    <xf numFmtId="271" fontId="45" fillId="98" borderId="186" xfId="2697" applyNumberFormat="1" applyFont="1" applyFill="1" applyBorder="1" applyAlignment="1">
      <alignment vertical="center"/>
    </xf>
    <xf numFmtId="0" fontId="45" fillId="0" borderId="191" xfId="2697" applyFont="1" applyBorder="1"/>
    <xf numFmtId="171" fontId="119" fillId="43" borderId="189" xfId="2697" applyNumberFormat="1" applyFont="1" applyFill="1" applyBorder="1" applyAlignment="1">
      <alignment horizontal="center" vertical="center" wrapText="1"/>
    </xf>
    <xf numFmtId="0" fontId="32" fillId="0" borderId="187" xfId="0" applyFont="1" applyBorder="1"/>
    <xf numFmtId="0" fontId="0" fillId="0" borderId="187" xfId="0" applyBorder="1"/>
    <xf numFmtId="171" fontId="119" fillId="55" borderId="189" xfId="2697" applyNumberFormat="1" applyFont="1" applyFill="1" applyBorder="1" applyAlignment="1">
      <alignment horizontal="center" vertical="center" wrapText="1"/>
    </xf>
    <xf numFmtId="171" fontId="119" fillId="55" borderId="191" xfId="2697" applyNumberFormat="1" applyFont="1" applyFill="1" applyBorder="1" applyAlignment="1">
      <alignment horizontal="center" vertical="center" wrapText="1"/>
    </xf>
    <xf numFmtId="171" fontId="119" fillId="55" borderId="190" xfId="2697" applyNumberFormat="1" applyFont="1" applyFill="1" applyBorder="1" applyAlignment="1">
      <alignment horizontal="center" vertical="center" wrapText="1"/>
    </xf>
    <xf numFmtId="0" fontId="223" fillId="0" borderId="178" xfId="0" applyFont="1" applyBorder="1" applyAlignment="1">
      <alignment horizontal="right"/>
    </xf>
    <xf numFmtId="0" fontId="207" fillId="0" borderId="198" xfId="832" applyFont="1" applyBorder="1"/>
    <xf numFmtId="0" fontId="207" fillId="33" borderId="198" xfId="0" applyFont="1" applyFill="1" applyBorder="1"/>
    <xf numFmtId="0" fontId="210" fillId="33" borderId="188" xfId="831" applyFont="1" applyFill="1" applyBorder="1" applyAlignment="1">
      <alignment vertical="center"/>
    </xf>
    <xf numFmtId="0" fontId="210" fillId="33" borderId="192" xfId="831" applyFont="1" applyFill="1" applyBorder="1" applyAlignment="1">
      <alignment vertical="center"/>
    </xf>
    <xf numFmtId="0" fontId="210" fillId="0" borderId="187" xfId="832" applyFont="1" applyBorder="1" applyAlignment="1">
      <alignment horizontal="center"/>
    </xf>
    <xf numFmtId="0" fontId="210" fillId="44" borderId="187" xfId="832" applyFont="1" applyFill="1" applyBorder="1" applyAlignment="1">
      <alignment horizontal="center"/>
    </xf>
    <xf numFmtId="0" fontId="210" fillId="44" borderId="187" xfId="0" applyFont="1" applyFill="1" applyBorder="1"/>
    <xf numFmtId="0" fontId="207" fillId="0" borderId="187" xfId="832" applyFont="1" applyBorder="1" applyAlignment="1">
      <alignment horizontal="center"/>
    </xf>
    <xf numFmtId="0" fontId="207" fillId="33" borderId="189" xfId="789" applyFont="1" applyFill="1" applyBorder="1"/>
    <xf numFmtId="17" fontId="207" fillId="0" borderId="190" xfId="0" applyNumberFormat="1" applyFont="1" applyBorder="1"/>
    <xf numFmtId="195" fontId="207" fillId="0" borderId="187" xfId="832" applyNumberFormat="1" applyFont="1" applyBorder="1"/>
    <xf numFmtId="0" fontId="207" fillId="0" borderId="156" xfId="0" applyFont="1" applyBorder="1"/>
    <xf numFmtId="17" fontId="207" fillId="0" borderId="155" xfId="0" applyNumberFormat="1" applyFont="1" applyBorder="1"/>
    <xf numFmtId="172" fontId="217" fillId="0" borderId="187" xfId="863" applyNumberFormat="1" applyFont="1" applyFill="1" applyBorder="1" applyAlignment="1">
      <alignment vertical="top"/>
    </xf>
    <xf numFmtId="165" fontId="229" fillId="44" borderId="187" xfId="863" applyNumberFormat="1" applyFont="1" applyFill="1" applyBorder="1" applyAlignment="1">
      <alignment vertical="top"/>
    </xf>
    <xf numFmtId="165" fontId="217" fillId="0" borderId="187" xfId="863" applyNumberFormat="1" applyFont="1" applyFill="1" applyBorder="1" applyAlignment="1">
      <alignment vertical="top"/>
    </xf>
    <xf numFmtId="0" fontId="209" fillId="0" borderId="186" xfId="832" applyFont="1" applyBorder="1"/>
    <xf numFmtId="0" fontId="207" fillId="0" borderId="186" xfId="832" applyFont="1" applyBorder="1"/>
    <xf numFmtId="0" fontId="207" fillId="0" borderId="188" xfId="0" applyFont="1" applyBorder="1" applyAlignment="1">
      <alignment horizontal="right"/>
    </xf>
    <xf numFmtId="0" fontId="207" fillId="0" borderId="192" xfId="832" applyFont="1" applyBorder="1" applyAlignment="1">
      <alignment horizontal="left"/>
    </xf>
    <xf numFmtId="0" fontId="207" fillId="41" borderId="188" xfId="0" applyFont="1" applyFill="1" applyBorder="1" applyAlignment="1">
      <alignment horizontal="right"/>
    </xf>
    <xf numFmtId="0" fontId="207" fillId="41" borderId="192" xfId="832" applyFont="1" applyFill="1" applyBorder="1" applyAlignment="1">
      <alignment horizontal="left"/>
    </xf>
    <xf numFmtId="171" fontId="207" fillId="0" borderId="191" xfId="0" applyNumberFormat="1" applyFont="1" applyBorder="1"/>
    <xf numFmtId="171" fontId="207" fillId="0" borderId="178" xfId="0" applyNumberFormat="1" applyFont="1" applyBorder="1"/>
    <xf numFmtId="167" fontId="210" fillId="0" borderId="188" xfId="815" applyFont="1" applyFill="1" applyBorder="1"/>
    <xf numFmtId="167" fontId="210" fillId="0" borderId="192" xfId="815" applyFont="1" applyFill="1" applyBorder="1"/>
    <xf numFmtId="167" fontId="210" fillId="0" borderId="186" xfId="815" applyFont="1" applyFill="1" applyBorder="1"/>
    <xf numFmtId="167" fontId="207" fillId="0" borderId="188" xfId="815" applyFont="1" applyFill="1" applyBorder="1"/>
    <xf numFmtId="167" fontId="207" fillId="0" borderId="192" xfId="815" applyFont="1" applyFill="1" applyBorder="1"/>
    <xf numFmtId="167" fontId="210" fillId="0" borderId="188" xfId="815" applyFont="1" applyBorder="1"/>
    <xf numFmtId="167" fontId="210" fillId="0" borderId="192" xfId="815" applyFont="1" applyBorder="1"/>
    <xf numFmtId="0" fontId="207" fillId="41" borderId="192" xfId="832" applyFont="1" applyFill="1" applyBorder="1" applyAlignment="1">
      <alignment horizontal="center"/>
    </xf>
    <xf numFmtId="167" fontId="210" fillId="0" borderId="187" xfId="815" applyFont="1" applyBorder="1"/>
    <xf numFmtId="0" fontId="36" fillId="33" borderId="194" xfId="831" applyFont="1" applyFill="1" applyBorder="1" applyAlignment="1">
      <alignment horizontal="left"/>
    </xf>
    <xf numFmtId="0" fontId="41" fillId="39" borderId="187" xfId="831" applyFont="1" applyFill="1" applyBorder="1" applyAlignment="1">
      <alignment horizontal="center" vertical="center"/>
    </xf>
    <xf numFmtId="14" fontId="35" fillId="0" borderId="0" xfId="831" applyNumberFormat="1" applyFont="1"/>
    <xf numFmtId="17" fontId="45" fillId="0" borderId="187" xfId="831" applyNumberFormat="1" applyFont="1" applyBorder="1" applyAlignment="1">
      <alignment horizontal="center"/>
    </xf>
    <xf numFmtId="172" fontId="45" fillId="0" borderId="187" xfId="863" applyNumberFormat="1" applyFont="1" applyBorder="1" applyAlignment="1">
      <alignment horizontal="center"/>
    </xf>
    <xf numFmtId="196" fontId="45" fillId="0" borderId="187" xfId="863" applyNumberFormat="1" applyFont="1" applyBorder="1" applyAlignment="1">
      <alignment horizontal="center"/>
    </xf>
    <xf numFmtId="0" fontId="4" fillId="0" borderId="0" xfId="43418" applyFont="1"/>
    <xf numFmtId="0" fontId="4" fillId="0" borderId="0" xfId="43418" quotePrefix="1" applyFont="1"/>
    <xf numFmtId="0" fontId="4" fillId="0" borderId="0" xfId="43418" applyFont="1" applyAlignment="1">
      <alignment horizontal="center" vertical="center"/>
    </xf>
    <xf numFmtId="40" fontId="122" fillId="0" borderId="187" xfId="43410" applyNumberFormat="1" applyFont="1" applyBorder="1" applyAlignment="1">
      <alignment vertical="center"/>
    </xf>
    <xf numFmtId="40" fontId="122" fillId="42" borderId="187" xfId="43410" applyNumberFormat="1" applyFont="1" applyFill="1" applyBorder="1" applyAlignment="1">
      <alignment vertical="center"/>
    </xf>
    <xf numFmtId="0" fontId="52" fillId="107" borderId="199" xfId="43411" applyFont="1" applyFill="1" applyBorder="1" applyAlignment="1">
      <alignment horizontal="center"/>
    </xf>
    <xf numFmtId="0" fontId="52" fillId="0" borderId="200" xfId="43411" applyFont="1" applyBorder="1" applyAlignment="1">
      <alignment horizontal="right" wrapText="1"/>
    </xf>
    <xf numFmtId="0" fontId="52" fillId="0" borderId="200" xfId="43411" applyFont="1" applyBorder="1" applyAlignment="1">
      <alignment wrapText="1"/>
    </xf>
    <xf numFmtId="14" fontId="52" fillId="0" borderId="200" xfId="43411" applyNumberFormat="1" applyFont="1" applyBorder="1" applyAlignment="1">
      <alignment horizontal="right" wrapText="1"/>
    </xf>
    <xf numFmtId="267" fontId="52" fillId="0" borderId="200" xfId="43411" applyNumberFormat="1" applyFont="1" applyBorder="1" applyAlignment="1">
      <alignment horizontal="right" wrapText="1"/>
    </xf>
    <xf numFmtId="0" fontId="253" fillId="0" borderId="187" xfId="7308" applyFont="1" applyBorder="1"/>
    <xf numFmtId="214" fontId="252" fillId="0" borderId="187" xfId="7308" applyNumberFormat="1" applyFont="1" applyBorder="1"/>
    <xf numFmtId="0" fontId="263" fillId="0" borderId="187" xfId="7308" applyFont="1" applyBorder="1" applyAlignment="1">
      <alignment vertical="center"/>
    </xf>
    <xf numFmtId="0" fontId="252" fillId="42" borderId="187" xfId="7308" applyFont="1" applyFill="1" applyBorder="1" applyAlignment="1">
      <alignment horizontal="center"/>
    </xf>
    <xf numFmtId="0" fontId="252" fillId="0" borderId="187" xfId="7308" applyFont="1" applyBorder="1"/>
    <xf numFmtId="174" fontId="252" fillId="0" borderId="187" xfId="7308" applyNumberFormat="1" applyFont="1" applyBorder="1"/>
    <xf numFmtId="266" fontId="252" fillId="0" borderId="187" xfId="7308" applyNumberFormat="1" applyFont="1" applyBorder="1"/>
    <xf numFmtId="10" fontId="257" fillId="0" borderId="187" xfId="7308" applyNumberFormat="1" applyFont="1" applyBorder="1" applyAlignment="1">
      <alignment horizontal="right" vertical="center"/>
    </xf>
    <xf numFmtId="214" fontId="252" fillId="0" borderId="187" xfId="43165" applyNumberFormat="1" applyFont="1" applyBorder="1"/>
    <xf numFmtId="167" fontId="260" fillId="41" borderId="187" xfId="902" applyFont="1" applyFill="1" applyBorder="1" applyAlignment="1">
      <alignment horizontal="center"/>
    </xf>
    <xf numFmtId="0" fontId="252" fillId="0" borderId="187" xfId="7308" applyFont="1" applyBorder="1" applyAlignment="1">
      <alignment horizontal="right"/>
    </xf>
    <xf numFmtId="0" fontId="252" fillId="0" borderId="187" xfId="7308" applyFont="1" applyBorder="1" applyAlignment="1">
      <alignment horizontal="center"/>
    </xf>
    <xf numFmtId="10" fontId="259" fillId="0" borderId="187" xfId="7308" applyNumberFormat="1" applyFont="1" applyBorder="1" applyAlignment="1">
      <alignment horizontal="center"/>
    </xf>
    <xf numFmtId="167" fontId="263" fillId="0" borderId="187" xfId="7308" applyNumberFormat="1" applyFont="1" applyBorder="1" applyAlignment="1">
      <alignment vertical="center"/>
    </xf>
    <xf numFmtId="0" fontId="263" fillId="0" borderId="193" xfId="7308" applyFont="1" applyBorder="1" applyAlignment="1">
      <alignment vertical="center"/>
    </xf>
    <xf numFmtId="43" fontId="263" fillId="0" borderId="187" xfId="7308" applyNumberFormat="1" applyFont="1" applyBorder="1" applyAlignment="1">
      <alignment vertical="center"/>
    </xf>
    <xf numFmtId="43" fontId="263" fillId="0" borderId="188" xfId="7308" applyNumberFormat="1" applyFont="1" applyBorder="1" applyAlignment="1">
      <alignment vertical="center"/>
    </xf>
    <xf numFmtId="10" fontId="264" fillId="0" borderId="196" xfId="1095" applyNumberFormat="1" applyFont="1" applyFill="1" applyBorder="1" applyAlignment="1">
      <alignment vertical="center"/>
    </xf>
    <xf numFmtId="10" fontId="264" fillId="0" borderId="187" xfId="1095" applyNumberFormat="1" applyFont="1" applyFill="1" applyBorder="1" applyAlignment="1">
      <alignment vertical="center"/>
    </xf>
    <xf numFmtId="10" fontId="264" fillId="0" borderId="187" xfId="1095" applyNumberFormat="1" applyFont="1" applyBorder="1" applyAlignment="1">
      <alignment vertical="center"/>
    </xf>
    <xf numFmtId="10" fontId="263" fillId="0" borderId="187" xfId="7308" applyNumberFormat="1" applyFont="1" applyBorder="1" applyAlignment="1">
      <alignment vertical="center"/>
    </xf>
    <xf numFmtId="0" fontId="253" fillId="105" borderId="188" xfId="7308" applyFont="1" applyFill="1" applyBorder="1"/>
    <xf numFmtId="167" fontId="253" fillId="41" borderId="187" xfId="902" applyFont="1" applyFill="1" applyBorder="1"/>
    <xf numFmtId="0" fontId="252" fillId="0" borderId="201" xfId="7308" applyFont="1" applyBorder="1"/>
    <xf numFmtId="167" fontId="252" fillId="41" borderId="196" xfId="902" applyFont="1" applyFill="1" applyBorder="1"/>
    <xf numFmtId="0" fontId="256" fillId="0" borderId="187" xfId="7308" applyFont="1" applyBorder="1" applyAlignment="1">
      <alignment horizontal="center" vertical="center"/>
    </xf>
    <xf numFmtId="0" fontId="253" fillId="0" borderId="187" xfId="7308" applyFont="1" applyBorder="1" applyAlignment="1">
      <alignment horizontal="center"/>
    </xf>
    <xf numFmtId="0" fontId="256" fillId="0" borderId="187" xfId="7308" applyFont="1" applyBorder="1" applyAlignment="1">
      <alignment vertical="center"/>
    </xf>
    <xf numFmtId="2" fontId="257" fillId="0" borderId="187" xfId="7308" applyNumberFormat="1" applyFont="1" applyBorder="1" applyAlignment="1">
      <alignment horizontal="center" vertical="center"/>
    </xf>
    <xf numFmtId="0" fontId="258" fillId="42" borderId="187" xfId="7308" applyFont="1" applyFill="1" applyBorder="1" applyAlignment="1">
      <alignment horizontal="center" vertical="center"/>
    </xf>
    <xf numFmtId="10" fontId="257" fillId="42" borderId="187" xfId="7308" applyNumberFormat="1" applyFont="1" applyFill="1" applyBorder="1" applyAlignment="1">
      <alignment horizontal="center" vertical="center"/>
    </xf>
    <xf numFmtId="0" fontId="259" fillId="61" borderId="187" xfId="7308" applyFont="1" applyFill="1" applyBorder="1"/>
    <xf numFmtId="2" fontId="252" fillId="42" borderId="187" xfId="7308" applyNumberFormat="1" applyFont="1" applyFill="1" applyBorder="1" applyAlignment="1">
      <alignment horizontal="center"/>
    </xf>
    <xf numFmtId="2" fontId="257" fillId="42" borderId="187" xfId="7308" applyNumberFormat="1" applyFont="1" applyFill="1" applyBorder="1" applyAlignment="1">
      <alignment horizontal="center" vertical="center"/>
    </xf>
    <xf numFmtId="167" fontId="260" fillId="42" borderId="187" xfId="902" applyFont="1" applyFill="1" applyBorder="1"/>
    <xf numFmtId="0" fontId="252" fillId="46" borderId="187" xfId="7308" applyFont="1" applyFill="1" applyBorder="1"/>
    <xf numFmtId="265" fontId="252" fillId="0" borderId="187" xfId="7308" applyNumberFormat="1" applyFont="1" applyBorder="1"/>
    <xf numFmtId="2" fontId="252" fillId="0" borderId="187" xfId="7308" applyNumberFormat="1" applyFont="1" applyBorder="1"/>
    <xf numFmtId="10" fontId="252" fillId="0" borderId="187" xfId="7308" applyNumberFormat="1" applyFont="1" applyBorder="1"/>
    <xf numFmtId="173" fontId="252" fillId="0" borderId="187" xfId="7308" applyNumberFormat="1" applyFont="1" applyBorder="1"/>
    <xf numFmtId="167" fontId="253" fillId="101" borderId="187" xfId="902" applyFont="1" applyFill="1" applyBorder="1"/>
    <xf numFmtId="0" fontId="253" fillId="59" borderId="186" xfId="2697" applyFont="1" applyFill="1" applyBorder="1" applyAlignment="1">
      <alignment vertical="center"/>
    </xf>
    <xf numFmtId="4" fontId="253" fillId="59" borderId="186" xfId="2697" applyNumberFormat="1" applyFont="1" applyFill="1" applyBorder="1" applyAlignment="1">
      <alignment vertical="center"/>
    </xf>
    <xf numFmtId="167" fontId="252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5" fillId="42" borderId="0" xfId="863" applyFont="1" applyFill="1" applyBorder="1"/>
    <xf numFmtId="167" fontId="207" fillId="41" borderId="166" xfId="815" applyFont="1" applyFill="1" applyBorder="1"/>
    <xf numFmtId="0" fontId="214" fillId="43" borderId="166" xfId="0" applyFont="1" applyFill="1" applyBorder="1" applyAlignment="1">
      <alignment horizontal="center" vertical="center" wrapText="1"/>
    </xf>
    <xf numFmtId="0" fontId="207" fillId="0" borderId="0" xfId="847" applyNumberFormat="1" applyFont="1"/>
    <xf numFmtId="10" fontId="207" fillId="106" borderId="178" xfId="0" applyNumberFormat="1" applyFont="1" applyFill="1" applyBorder="1"/>
    <xf numFmtId="168" fontId="207" fillId="106" borderId="178" xfId="863" applyFont="1" applyFill="1" applyBorder="1"/>
    <xf numFmtId="168" fontId="32" fillId="0" borderId="0" xfId="863" applyFont="1" applyFill="1" applyAlignment="1">
      <alignment horizontal="center" vertical="distributed"/>
    </xf>
    <xf numFmtId="49" fontId="32" fillId="0" borderId="0" xfId="0" applyNumberFormat="1" applyFont="1" applyAlignment="1">
      <alignment horizontal="center" vertical="distributed"/>
    </xf>
    <xf numFmtId="168" fontId="214" fillId="43" borderId="186" xfId="0" applyNumberFormat="1" applyFont="1" applyFill="1" applyBorder="1" applyAlignment="1">
      <alignment horizontal="center" vertical="center" wrapText="1"/>
    </xf>
    <xf numFmtId="0" fontId="252" fillId="0" borderId="0" xfId="0" applyFont="1" applyAlignment="1">
      <alignment horizontal="left" vertical="center"/>
    </xf>
    <xf numFmtId="0" fontId="252" fillId="0" borderId="0" xfId="0" applyFont="1" applyAlignment="1">
      <alignment horizontal="right" vertical="center"/>
    </xf>
    <xf numFmtId="168" fontId="252" fillId="115" borderId="0" xfId="863" applyFont="1" applyFill="1" applyBorder="1" applyAlignment="1">
      <alignment vertical="center"/>
    </xf>
    <xf numFmtId="168" fontId="207" fillId="121" borderId="0" xfId="863" applyFont="1" applyFill="1"/>
    <xf numFmtId="0" fontId="207" fillId="121" borderId="0" xfId="0" applyFont="1" applyFill="1" applyAlignment="1">
      <alignment horizontal="left"/>
    </xf>
    <xf numFmtId="0" fontId="214" fillId="43" borderId="144" xfId="0" applyFont="1" applyFill="1" applyBorder="1" applyAlignment="1">
      <alignment horizontal="center" vertical="center" wrapText="1"/>
    </xf>
    <xf numFmtId="167" fontId="207" fillId="0" borderId="166" xfId="815" applyFont="1" applyFill="1" applyBorder="1"/>
    <xf numFmtId="0" fontId="252" fillId="42" borderId="202" xfId="0" applyFont="1" applyFill="1" applyBorder="1" applyAlignment="1">
      <alignment vertical="center"/>
    </xf>
    <xf numFmtId="0" fontId="262" fillId="39" borderId="149" xfId="831" applyFont="1" applyFill="1" applyBorder="1" applyAlignment="1">
      <alignment horizontal="left" vertical="center"/>
    </xf>
    <xf numFmtId="0" fontId="262" fillId="39" borderId="184" xfId="831" applyFont="1" applyFill="1" applyBorder="1" applyAlignment="1">
      <alignment horizontal="left" vertical="center"/>
    </xf>
    <xf numFmtId="168" fontId="262" fillId="39" borderId="184" xfId="863" applyFont="1" applyFill="1" applyBorder="1" applyAlignment="1">
      <alignment horizontal="left" vertical="center"/>
    </xf>
    <xf numFmtId="0" fontId="262" fillId="39" borderId="148" xfId="831" applyFont="1" applyFill="1" applyBorder="1" applyAlignment="1">
      <alignment horizontal="left" vertical="center"/>
    </xf>
    <xf numFmtId="14" fontId="252" fillId="0" borderId="152" xfId="831" applyNumberFormat="1" applyFont="1" applyBorder="1" applyAlignment="1">
      <alignment horizontal="center" vertical="center"/>
    </xf>
    <xf numFmtId="0" fontId="252" fillId="0" borderId="152" xfId="831" applyFont="1" applyBorder="1" applyAlignment="1">
      <alignment vertical="center"/>
    </xf>
    <xf numFmtId="168" fontId="252" fillId="0" borderId="152" xfId="863" applyFont="1" applyBorder="1" applyAlignment="1">
      <alignment vertical="center"/>
    </xf>
    <xf numFmtId="272" fontId="252" fillId="0" borderId="152" xfId="863" applyNumberFormat="1" applyFont="1" applyBorder="1" applyAlignment="1">
      <alignment vertical="center"/>
    </xf>
    <xf numFmtId="0" fontId="252" fillId="0" borderId="0" xfId="831" applyFont="1"/>
    <xf numFmtId="0" fontId="318" fillId="0" borderId="0" xfId="0" applyFont="1"/>
    <xf numFmtId="0" fontId="317" fillId="0" borderId="0" xfId="43418" applyFont="1" applyAlignment="1">
      <alignment horizontal="center" vertical="center" wrapText="1"/>
    </xf>
    <xf numFmtId="214" fontId="252" fillId="0" borderId="0" xfId="0" applyNumberFormat="1" applyFont="1" applyAlignment="1">
      <alignment horizontal="center"/>
    </xf>
    <xf numFmtId="214" fontId="253" fillId="0" borderId="0" xfId="0" applyNumberFormat="1" applyFont="1" applyAlignment="1">
      <alignment horizontal="center"/>
    </xf>
    <xf numFmtId="43" fontId="207" fillId="106" borderId="0" xfId="863" applyNumberFormat="1" applyFont="1" applyFill="1" applyBorder="1"/>
    <xf numFmtId="43" fontId="207" fillId="106" borderId="178" xfId="863" applyNumberFormat="1" applyFont="1" applyFill="1" applyBorder="1"/>
    <xf numFmtId="0" fontId="317" fillId="124" borderId="144" xfId="0" applyFont="1" applyFill="1" applyBorder="1"/>
    <xf numFmtId="0" fontId="317" fillId="100" borderId="144" xfId="0" applyFont="1" applyFill="1" applyBorder="1" applyAlignment="1">
      <alignment horizontal="center"/>
    </xf>
    <xf numFmtId="0" fontId="317" fillId="100" borderId="178" xfId="0" applyFont="1" applyFill="1" applyBorder="1" applyAlignment="1">
      <alignment horizontal="center"/>
    </xf>
    <xf numFmtId="0" fontId="253" fillId="123" borderId="144" xfId="0" applyFont="1" applyFill="1" applyBorder="1"/>
    <xf numFmtId="17" fontId="315" fillId="122" borderId="144" xfId="0" applyNumberFormat="1" applyFont="1" applyFill="1" applyBorder="1" applyAlignment="1">
      <alignment horizontal="center"/>
    </xf>
    <xf numFmtId="214" fontId="264" fillId="0" borderId="0" xfId="863" applyNumberFormat="1" applyFont="1" applyFill="1" applyBorder="1" applyAlignment="1">
      <alignment horizontal="center"/>
    </xf>
    <xf numFmtId="0" fontId="317" fillId="0" borderId="0" xfId="0" applyFont="1" applyAlignment="1">
      <alignment horizontal="center"/>
    </xf>
    <xf numFmtId="17" fontId="315" fillId="0" borderId="0" xfId="0" applyNumberFormat="1" applyFont="1" applyAlignment="1">
      <alignment horizontal="center"/>
    </xf>
    <xf numFmtId="0" fontId="321" fillId="0" borderId="0" xfId="0" applyFont="1"/>
    <xf numFmtId="167" fontId="252" fillId="0" borderId="0" xfId="815" applyFont="1"/>
    <xf numFmtId="167" fontId="252" fillId="59" borderId="144" xfId="815" applyFont="1" applyFill="1" applyBorder="1"/>
    <xf numFmtId="0" fontId="253" fillId="0" borderId="149" xfId="0" applyFont="1" applyBorder="1"/>
    <xf numFmtId="214" fontId="320" fillId="125" borderId="148" xfId="863" applyNumberFormat="1" applyFont="1" applyFill="1" applyBorder="1" applyAlignment="1">
      <alignment horizontal="center"/>
    </xf>
    <xf numFmtId="0" fontId="317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4" fontId="319" fillId="0" borderId="0" xfId="43418" applyNumberFormat="1" applyFont="1" applyAlignment="1">
      <alignment horizontal="center"/>
    </xf>
    <xf numFmtId="17" fontId="259" fillId="0" borderId="0" xfId="43418" applyNumberFormat="1" applyFont="1" applyAlignment="1">
      <alignment horizontal="center"/>
    </xf>
    <xf numFmtId="0" fontId="259" fillId="0" borderId="0" xfId="43418" applyFont="1" applyAlignment="1">
      <alignment horizontal="center"/>
    </xf>
    <xf numFmtId="0" fontId="253" fillId="0" borderId="0" xfId="0" applyFont="1" applyAlignment="1">
      <alignment horizontal="center"/>
    </xf>
    <xf numFmtId="170" fontId="259" fillId="0" borderId="0" xfId="863" applyNumberFormat="1" applyFont="1" applyFill="1" applyBorder="1" applyAlignment="1">
      <alignment vertical="center" wrapText="1"/>
    </xf>
    <xf numFmtId="170" fontId="312" fillId="0" borderId="0" xfId="863" applyNumberFormat="1" applyFont="1" applyFill="1" applyBorder="1" applyAlignment="1">
      <alignment vertical="center" wrapText="1"/>
    </xf>
    <xf numFmtId="43" fontId="252" fillId="0" borderId="0" xfId="43408" applyFont="1" applyFill="1" applyBorder="1" applyAlignment="1">
      <alignment vertical="center" wrapText="1"/>
    </xf>
    <xf numFmtId="168" fontId="252" fillId="0" borderId="0" xfId="863" applyFont="1" applyFill="1" applyBorder="1" applyAlignment="1">
      <alignment vertical="center" wrapText="1"/>
    </xf>
    <xf numFmtId="0" fontId="308" fillId="0" borderId="0" xfId="43437" applyFont="1" applyAlignment="1">
      <alignment horizontal="right" vertical="center"/>
    </xf>
    <xf numFmtId="0" fontId="309" fillId="0" borderId="0" xfId="43437" applyFont="1" applyAlignment="1">
      <alignment vertical="center"/>
    </xf>
    <xf numFmtId="0" fontId="309" fillId="0" borderId="0" xfId="43437" applyFont="1" applyAlignment="1">
      <alignment vertical="center" wrapText="1"/>
    </xf>
    <xf numFmtId="0" fontId="310" fillId="0" borderId="0" xfId="43437" applyFont="1" applyAlignment="1">
      <alignment vertical="center"/>
    </xf>
    <xf numFmtId="0" fontId="45" fillId="0" borderId="0" xfId="43437" applyFont="1" applyAlignment="1">
      <alignment vertical="center"/>
    </xf>
    <xf numFmtId="0" fontId="311" fillId="0" borderId="0" xfId="43437" applyFont="1" applyAlignment="1">
      <alignment vertical="center"/>
    </xf>
    <xf numFmtId="0" fontId="252" fillId="0" borderId="0" xfId="43437" applyFont="1" applyAlignment="1">
      <alignment vertical="center" wrapText="1"/>
    </xf>
    <xf numFmtId="0" fontId="252" fillId="0" borderId="0" xfId="43437" applyFont="1" applyAlignment="1">
      <alignment vertical="center"/>
    </xf>
    <xf numFmtId="0" fontId="262" fillId="0" borderId="0" xfId="43438" applyFont="1" applyAlignment="1">
      <alignment horizontal="center" vertical="center" wrapText="1"/>
    </xf>
    <xf numFmtId="0" fontId="252" fillId="0" borderId="0" xfId="43437" applyFont="1" applyAlignment="1">
      <alignment horizontal="right" vertical="center"/>
    </xf>
    <xf numFmtId="0" fontId="253" fillId="0" borderId="0" xfId="43437" quotePrefix="1" applyFont="1" applyAlignment="1">
      <alignment horizontal="left" vertical="center"/>
    </xf>
    <xf numFmtId="170" fontId="253" fillId="0" borderId="0" xfId="863" applyNumberFormat="1" applyFont="1" applyFill="1" applyBorder="1" applyAlignment="1">
      <alignment vertical="center" wrapText="1"/>
    </xf>
    <xf numFmtId="170" fontId="253" fillId="0" borderId="0" xfId="863" applyNumberFormat="1" applyFont="1" applyFill="1" applyBorder="1" applyAlignment="1">
      <alignment vertical="center"/>
    </xf>
    <xf numFmtId="168" fontId="252" fillId="0" borderId="0" xfId="43186" applyFont="1" applyFill="1" applyBorder="1" applyAlignment="1">
      <alignment vertical="center" wrapText="1"/>
    </xf>
    <xf numFmtId="39" fontId="252" fillId="0" borderId="0" xfId="43437" applyNumberFormat="1" applyFont="1" applyAlignment="1">
      <alignment vertical="center"/>
    </xf>
    <xf numFmtId="277" fontId="252" fillId="0" borderId="0" xfId="43439" applyNumberFormat="1" applyFont="1" applyFill="1" applyBorder="1" applyAlignment="1">
      <alignment vertical="center" wrapText="1"/>
    </xf>
    <xf numFmtId="277" fontId="253" fillId="0" borderId="0" xfId="43439" applyNumberFormat="1" applyFont="1" applyFill="1" applyBorder="1" applyAlignment="1">
      <alignment vertical="center" wrapText="1"/>
    </xf>
    <xf numFmtId="0" fontId="315" fillId="0" borderId="0" xfId="43440" applyFont="1" applyAlignment="1">
      <alignment vertical="center"/>
    </xf>
    <xf numFmtId="0" fontId="317" fillId="118" borderId="188" xfId="43440" applyFont="1" applyFill="1" applyBorder="1" applyAlignment="1">
      <alignment horizontal="center" vertical="center" wrapText="1"/>
    </xf>
    <xf numFmtId="0" fontId="317" fillId="118" borderId="203" xfId="43440" applyFont="1" applyFill="1" applyBorder="1" applyAlignment="1">
      <alignment horizontal="center" vertical="center" wrapText="1"/>
    </xf>
    <xf numFmtId="4" fontId="317" fillId="118" borderId="184" xfId="43440" applyNumberFormat="1" applyFont="1" applyFill="1" applyBorder="1" applyAlignment="1">
      <alignment horizontal="center" vertical="center" wrapText="1"/>
    </xf>
    <xf numFmtId="0" fontId="317" fillId="118" borderId="204" xfId="43440" applyFont="1" applyFill="1" applyBorder="1" applyAlignment="1">
      <alignment horizontal="center" vertical="center" wrapText="1"/>
    </xf>
    <xf numFmtId="4" fontId="317" fillId="118" borderId="205" xfId="43440" applyNumberFormat="1" applyFont="1" applyFill="1" applyBorder="1" applyAlignment="1">
      <alignment horizontal="center" vertical="center" wrapText="1"/>
    </xf>
    <xf numFmtId="168" fontId="315" fillId="126" borderId="196" xfId="863" applyFont="1" applyFill="1" applyBorder="1" applyAlignment="1">
      <alignment vertical="center"/>
    </xf>
    <xf numFmtId="168" fontId="315" fillId="126" borderId="188" xfId="863" applyFont="1" applyFill="1" applyBorder="1" applyAlignment="1">
      <alignment vertical="center"/>
    </xf>
    <xf numFmtId="168" fontId="315" fillId="126" borderId="192" xfId="863" applyFont="1" applyFill="1" applyBorder="1" applyAlignment="1">
      <alignment vertical="center"/>
    </xf>
    <xf numFmtId="168" fontId="252" fillId="0" borderId="196" xfId="863" applyFont="1" applyFill="1" applyBorder="1" applyAlignment="1">
      <alignment horizontal="right" vertical="center"/>
    </xf>
    <xf numFmtId="168" fontId="315" fillId="0" borderId="196" xfId="863" applyFont="1" applyFill="1" applyBorder="1" applyAlignment="1">
      <alignment vertical="center"/>
    </xf>
    <xf numFmtId="4" fontId="315" fillId="126" borderId="196" xfId="43440" applyNumberFormat="1" applyFont="1" applyFill="1" applyBorder="1" applyAlignment="1">
      <alignment vertical="center"/>
    </xf>
    <xf numFmtId="4" fontId="315" fillId="0" borderId="196" xfId="43440" applyNumberFormat="1" applyFont="1" applyBorder="1" applyAlignment="1">
      <alignment vertical="center"/>
    </xf>
    <xf numFmtId="168" fontId="322" fillId="127" borderId="196" xfId="863" applyFont="1" applyFill="1" applyBorder="1" applyAlignment="1">
      <alignment vertical="center"/>
    </xf>
    <xf numFmtId="0" fontId="315" fillId="0" borderId="188" xfId="43440" applyFont="1" applyBorder="1" applyAlignment="1">
      <alignment vertical="center"/>
    </xf>
    <xf numFmtId="0" fontId="315" fillId="0" borderId="192" xfId="43440" applyFont="1" applyBorder="1" applyAlignment="1">
      <alignment vertical="center"/>
    </xf>
    <xf numFmtId="43" fontId="252" fillId="42" borderId="187" xfId="43441" applyFont="1" applyFill="1" applyBorder="1" applyAlignment="1">
      <alignment horizontal="right" vertical="center"/>
    </xf>
    <xf numFmtId="168" fontId="315" fillId="0" borderId="0" xfId="863" applyFont="1" applyAlignment="1">
      <alignment vertical="center"/>
    </xf>
    <xf numFmtId="280" fontId="315" fillId="0" borderId="206" xfId="43440" applyNumberFormat="1" applyFont="1" applyBorder="1" applyAlignment="1">
      <alignment horizontal="center" vertical="center"/>
    </xf>
    <xf numFmtId="43" fontId="252" fillId="126" borderId="193" xfId="43441" applyFont="1" applyFill="1" applyBorder="1" applyAlignment="1">
      <alignment vertical="center"/>
    </xf>
    <xf numFmtId="43" fontId="252" fillId="126" borderId="0" xfId="43441" applyFont="1" applyFill="1" applyAlignment="1">
      <alignment vertical="center"/>
    </xf>
    <xf numFmtId="0" fontId="315" fillId="126" borderId="193" xfId="43440" applyFont="1" applyFill="1" applyBorder="1" applyAlignment="1">
      <alignment vertical="center"/>
    </xf>
    <xf numFmtId="168" fontId="252" fillId="0" borderId="193" xfId="863" applyFont="1" applyBorder="1" applyAlignment="1">
      <alignment vertical="center"/>
    </xf>
    <xf numFmtId="43" fontId="252" fillId="126" borderId="10" xfId="43441" applyFont="1" applyFill="1" applyBorder="1" applyAlignment="1">
      <alignment vertical="center"/>
    </xf>
    <xf numFmtId="0" fontId="315" fillId="126" borderId="10" xfId="43440" applyFont="1" applyFill="1" applyBorder="1" applyAlignment="1">
      <alignment vertical="center"/>
    </xf>
    <xf numFmtId="43" fontId="252" fillId="0" borderId="10" xfId="43441" applyFont="1" applyBorder="1" applyAlignment="1">
      <alignment vertical="center"/>
    </xf>
    <xf numFmtId="43" fontId="252" fillId="0" borderId="0" xfId="43441" applyFont="1" applyAlignment="1">
      <alignment vertical="center"/>
    </xf>
    <xf numFmtId="0" fontId="315" fillId="126" borderId="0" xfId="43440" applyFont="1" applyFill="1" applyAlignment="1">
      <alignment vertical="center"/>
    </xf>
    <xf numFmtId="4" fontId="264" fillId="126" borderId="10" xfId="43440" applyNumberFormat="1" applyFont="1" applyFill="1" applyBorder="1" applyAlignment="1">
      <alignment vertical="center"/>
    </xf>
    <xf numFmtId="280" fontId="322" fillId="0" borderId="188" xfId="43440" applyNumberFormat="1" applyFont="1" applyBorder="1" applyAlignment="1">
      <alignment horizontal="center" vertical="center"/>
    </xf>
    <xf numFmtId="168" fontId="322" fillId="0" borderId="187" xfId="863" applyFont="1" applyBorder="1" applyAlignment="1">
      <alignment vertical="center"/>
    </xf>
    <xf numFmtId="0" fontId="45" fillId="128" borderId="0" xfId="0" applyFont="1" applyFill="1"/>
    <xf numFmtId="0" fontId="324" fillId="41" borderId="0" xfId="36379" applyFont="1" applyFill="1"/>
    <xf numFmtId="0" fontId="323" fillId="41" borderId="123" xfId="2697" applyFont="1" applyFill="1" applyBorder="1" applyAlignment="1">
      <alignment horizontal="center"/>
    </xf>
    <xf numFmtId="168" fontId="207" fillId="0" borderId="178" xfId="0" applyNumberFormat="1" applyFont="1" applyBorder="1"/>
    <xf numFmtId="10" fontId="207" fillId="106" borderId="178" xfId="847" applyNumberFormat="1" applyFont="1" applyFill="1" applyBorder="1"/>
    <xf numFmtId="0" fontId="253" fillId="0" borderId="0" xfId="907" applyFont="1" applyAlignment="1">
      <alignment vertical="center"/>
    </xf>
    <xf numFmtId="0" fontId="252" fillId="0" borderId="0" xfId="907" applyFont="1" applyAlignment="1">
      <alignment vertical="center"/>
    </xf>
    <xf numFmtId="0" fontId="314" fillId="43" borderId="187" xfId="907" applyFont="1" applyFill="1" applyBorder="1" applyAlignment="1">
      <alignment vertical="center"/>
    </xf>
    <xf numFmtId="10" fontId="252" fillId="0" borderId="187" xfId="847" applyNumberFormat="1" applyFont="1" applyBorder="1" applyAlignment="1">
      <alignment vertical="center"/>
    </xf>
    <xf numFmtId="170" fontId="252" fillId="0" borderId="10" xfId="863" applyNumberFormat="1" applyFont="1" applyFill="1" applyBorder="1" applyAlignment="1">
      <alignment vertical="center"/>
    </xf>
    <xf numFmtId="170" fontId="312" fillId="0" borderId="193" xfId="863" applyNumberFormat="1" applyFont="1" applyFill="1" applyBorder="1" applyAlignment="1">
      <alignment vertical="center"/>
    </xf>
    <xf numFmtId="170" fontId="252" fillId="0" borderId="193" xfId="863" applyNumberFormat="1" applyFont="1" applyFill="1" applyBorder="1" applyAlignment="1">
      <alignment vertical="center"/>
    </xf>
    <xf numFmtId="167" fontId="252" fillId="0" borderId="0" xfId="815" applyFont="1" applyFill="1" applyBorder="1" applyAlignment="1">
      <alignment vertical="center"/>
    </xf>
    <xf numFmtId="0" fontId="314" fillId="0" borderId="0" xfId="0" applyFont="1" applyAlignment="1">
      <alignment vertical="center"/>
    </xf>
    <xf numFmtId="14" fontId="252" fillId="0" borderId="0" xfId="0" applyNumberFormat="1" applyFont="1" applyAlignment="1">
      <alignment horizontal="left" vertical="center"/>
    </xf>
    <xf numFmtId="272" fontId="252" fillId="0" borderId="0" xfId="863" applyNumberFormat="1" applyFont="1" applyFill="1" applyBorder="1" applyAlignment="1">
      <alignment vertical="center"/>
    </xf>
    <xf numFmtId="278" fontId="252" fillId="0" borderId="0" xfId="0" applyNumberFormat="1" applyFont="1" applyAlignment="1">
      <alignment vertical="center"/>
    </xf>
    <xf numFmtId="0" fontId="253" fillId="0" borderId="0" xfId="0" applyFont="1" applyAlignment="1">
      <alignment vertical="center"/>
    </xf>
    <xf numFmtId="0" fontId="45" fillId="0" borderId="0" xfId="43437" applyFont="1" applyAlignment="1">
      <alignment vertical="center" wrapText="1"/>
    </xf>
    <xf numFmtId="15" fontId="207" fillId="0" borderId="0" xfId="0" applyNumberFormat="1" applyFont="1"/>
    <xf numFmtId="3" fontId="207" fillId="0" borderId="0" xfId="0" applyNumberFormat="1" applyFont="1"/>
    <xf numFmtId="170" fontId="207" fillId="0" borderId="0" xfId="863" applyNumberFormat="1" applyFont="1"/>
    <xf numFmtId="0" fontId="207" fillId="0" borderId="0" xfId="0" applyFont="1" applyAlignment="1">
      <alignment wrapText="1"/>
    </xf>
    <xf numFmtId="168" fontId="207" fillId="0" borderId="0" xfId="863" applyFont="1" applyAlignment="1">
      <alignment wrapText="1"/>
    </xf>
    <xf numFmtId="14" fontId="207" fillId="0" borderId="0" xfId="0" applyNumberFormat="1" applyFont="1" applyAlignment="1">
      <alignment wrapText="1"/>
    </xf>
    <xf numFmtId="0" fontId="207" fillId="0" borderId="191" xfId="907" applyFont="1" applyBorder="1"/>
    <xf numFmtId="273" fontId="207" fillId="0" borderId="0" xfId="847" applyNumberFormat="1" applyFont="1" applyFill="1"/>
    <xf numFmtId="43" fontId="207" fillId="0" borderId="0" xfId="907" applyNumberFormat="1" applyFont="1"/>
    <xf numFmtId="0" fontId="325" fillId="0" borderId="187" xfId="0" applyFont="1" applyBorder="1" applyAlignment="1">
      <alignment horizontal="center" vertical="center"/>
    </xf>
    <xf numFmtId="0" fontId="122" fillId="0" borderId="187" xfId="0" applyFont="1" applyBorder="1" applyAlignment="1">
      <alignment vertical="center"/>
    </xf>
    <xf numFmtId="0" fontId="317" fillId="118" borderId="0" xfId="0" applyFont="1" applyFill="1" applyAlignment="1">
      <alignment vertical="center"/>
    </xf>
    <xf numFmtId="0" fontId="317" fillId="118" borderId="210" xfId="0" applyFont="1" applyFill="1" applyBorder="1" applyAlignment="1">
      <alignment vertical="center"/>
    </xf>
    <xf numFmtId="0" fontId="317" fillId="118" borderId="174" xfId="0" applyFont="1" applyFill="1" applyBorder="1" applyAlignment="1">
      <alignment vertical="center"/>
    </xf>
    <xf numFmtId="49" fontId="315" fillId="121" borderId="0" xfId="43443" applyNumberFormat="1" applyFont="1" applyFill="1" applyAlignment="1">
      <alignment vertical="center"/>
    </xf>
    <xf numFmtId="0" fontId="252" fillId="121" borderId="0" xfId="0" applyFont="1" applyFill="1" applyAlignment="1">
      <alignment horizontal="right" vertical="center"/>
    </xf>
    <xf numFmtId="0" fontId="315" fillId="121" borderId="0" xfId="0" applyFont="1" applyFill="1" applyAlignment="1">
      <alignment horizontal="right" vertical="center"/>
    </xf>
    <xf numFmtId="170" fontId="251" fillId="121" borderId="0" xfId="863" applyNumberFormat="1" applyFont="1" applyFill="1" applyBorder="1" applyAlignment="1">
      <alignment horizontal="right" vertical="center"/>
    </xf>
    <xf numFmtId="0" fontId="207" fillId="33" borderId="209" xfId="829" applyFont="1" applyFill="1" applyBorder="1" applyAlignment="1">
      <alignment horizontal="center"/>
    </xf>
    <xf numFmtId="10" fontId="284" fillId="0" borderId="0" xfId="847" applyNumberFormat="1" applyFont="1" applyFill="1" applyBorder="1" applyAlignment="1">
      <alignment horizontal="center"/>
    </xf>
    <xf numFmtId="0" fontId="207" fillId="33" borderId="209" xfId="829" applyFont="1" applyFill="1" applyBorder="1" applyAlignment="1">
      <alignment horizontal="left"/>
    </xf>
    <xf numFmtId="0" fontId="285" fillId="33" borderId="0" xfId="829" applyFont="1" applyFill="1" applyAlignment="1">
      <alignment horizontal="left"/>
    </xf>
    <xf numFmtId="168" fontId="285" fillId="0" borderId="0" xfId="863" applyFont="1" applyAlignment="1">
      <alignment horizontal="left"/>
    </xf>
    <xf numFmtId="10" fontId="285" fillId="0" borderId="0" xfId="847" applyNumberFormat="1" applyFont="1" applyAlignment="1">
      <alignment horizontal="left"/>
    </xf>
    <xf numFmtId="0" fontId="285" fillId="0" borderId="0" xfId="0" applyFont="1" applyAlignment="1">
      <alignment horizontal="left"/>
    </xf>
    <xf numFmtId="10" fontId="284" fillId="0" borderId="0" xfId="847" applyNumberFormat="1" applyFont="1" applyFill="1" applyBorder="1" applyAlignment="1">
      <alignment horizontal="left"/>
    </xf>
    <xf numFmtId="10" fontId="317" fillId="43" borderId="0" xfId="0" applyNumberFormat="1" applyFont="1" applyFill="1" applyAlignment="1">
      <alignment horizontal="left" vertical="center"/>
    </xf>
    <xf numFmtId="10" fontId="207" fillId="0" borderId="0" xfId="847" applyNumberFormat="1" applyFont="1" applyAlignment="1">
      <alignment horizontal="left"/>
    </xf>
    <xf numFmtId="0" fontId="285" fillId="42" borderId="0" xfId="863" applyNumberFormat="1" applyFont="1" applyFill="1" applyBorder="1"/>
    <xf numFmtId="174" fontId="213" fillId="0" borderId="178" xfId="0" applyNumberFormat="1" applyFont="1" applyBorder="1" applyAlignment="1">
      <alignment horizontal="center"/>
    </xf>
    <xf numFmtId="0" fontId="286" fillId="33" borderId="0" xfId="829" applyFont="1" applyFill="1" applyAlignment="1">
      <alignment horizontal="center" vertical="top"/>
    </xf>
    <xf numFmtId="10" fontId="287" fillId="0" borderId="0" xfId="0" applyNumberFormat="1" applyFont="1" applyAlignment="1">
      <alignment horizontal="center" vertical="top"/>
    </xf>
    <xf numFmtId="0" fontId="289" fillId="43" borderId="186" xfId="0" applyFont="1" applyFill="1" applyBorder="1" applyAlignment="1">
      <alignment horizontal="center"/>
    </xf>
    <xf numFmtId="0" fontId="285" fillId="42" borderId="0" xfId="863" applyNumberFormat="1" applyFont="1" applyFill="1" applyBorder="1" applyAlignment="1">
      <alignment horizontal="center"/>
    </xf>
    <xf numFmtId="10" fontId="285" fillId="45" borderId="0" xfId="847" applyNumberFormat="1" applyFont="1" applyFill="1" applyBorder="1" applyAlignment="1">
      <alignment horizontal="left"/>
    </xf>
    <xf numFmtId="0" fontId="285" fillId="45" borderId="0" xfId="847" applyNumberFormat="1" applyFont="1" applyFill="1" applyBorder="1" applyAlignment="1">
      <alignment horizontal="center"/>
    </xf>
    <xf numFmtId="0" fontId="285" fillId="45" borderId="0" xfId="863" applyNumberFormat="1" applyFont="1" applyFill="1" applyBorder="1" applyAlignment="1">
      <alignment horizontal="center"/>
    </xf>
    <xf numFmtId="10" fontId="285" fillId="112" borderId="0" xfId="847" applyNumberFormat="1" applyFont="1" applyFill="1" applyBorder="1" applyAlignment="1">
      <alignment horizontal="left"/>
    </xf>
    <xf numFmtId="0" fontId="285" fillId="112" borderId="0" xfId="847" applyNumberFormat="1" applyFont="1" applyFill="1" applyBorder="1" applyAlignment="1">
      <alignment horizontal="center"/>
    </xf>
    <xf numFmtId="0" fontId="285" fillId="112" borderId="0" xfId="863" applyNumberFormat="1" applyFont="1" applyFill="1" applyBorder="1" applyAlignment="1">
      <alignment horizontal="center"/>
    </xf>
    <xf numFmtId="10" fontId="285" fillId="119" borderId="0" xfId="847" applyNumberFormat="1" applyFont="1" applyFill="1" applyBorder="1" applyAlignment="1">
      <alignment horizontal="left"/>
    </xf>
    <xf numFmtId="0" fontId="285" fillId="119" borderId="0" xfId="847" applyNumberFormat="1" applyFont="1" applyFill="1" applyBorder="1" applyAlignment="1">
      <alignment horizontal="center"/>
    </xf>
    <xf numFmtId="0" fontId="285" fillId="119" borderId="0" xfId="863" applyNumberFormat="1" applyFont="1" applyFill="1" applyBorder="1" applyAlignment="1">
      <alignment horizontal="center"/>
    </xf>
    <xf numFmtId="168" fontId="285" fillId="129" borderId="0" xfId="863" applyFont="1" applyFill="1" applyBorder="1"/>
    <xf numFmtId="10" fontId="285" fillId="129" borderId="0" xfId="847" applyNumberFormat="1" applyFont="1" applyFill="1" applyBorder="1" applyAlignment="1">
      <alignment horizontal="left"/>
    </xf>
    <xf numFmtId="0" fontId="285" fillId="129" borderId="0" xfId="847" applyNumberFormat="1" applyFont="1" applyFill="1" applyBorder="1" applyAlignment="1">
      <alignment horizontal="center"/>
    </xf>
    <xf numFmtId="0" fontId="285" fillId="129" borderId="0" xfId="863" applyNumberFormat="1" applyFont="1" applyFill="1" applyBorder="1" applyAlignment="1">
      <alignment horizontal="center"/>
    </xf>
    <xf numFmtId="0" fontId="285" fillId="129" borderId="10" xfId="0" applyFont="1" applyFill="1" applyBorder="1"/>
    <xf numFmtId="0" fontId="115" fillId="42" borderId="10" xfId="0" applyFont="1" applyFill="1" applyBorder="1"/>
    <xf numFmtId="0" fontId="285" fillId="42" borderId="10" xfId="0" applyFont="1" applyFill="1" applyBorder="1"/>
    <xf numFmtId="10" fontId="285" fillId="129" borderId="10" xfId="847" applyNumberFormat="1" applyFont="1" applyFill="1" applyBorder="1" applyAlignment="1">
      <alignment horizontal="center"/>
    </xf>
    <xf numFmtId="10" fontId="285" fillId="42" borderId="10" xfId="847" applyNumberFormat="1" applyFont="1" applyFill="1" applyBorder="1" applyAlignment="1">
      <alignment horizontal="center"/>
    </xf>
    <xf numFmtId="10" fontId="285" fillId="119" borderId="10" xfId="847" applyNumberFormat="1" applyFont="1" applyFill="1" applyBorder="1" applyAlignment="1">
      <alignment horizontal="center"/>
    </xf>
    <xf numFmtId="10" fontId="285" fillId="112" borderId="10" xfId="847" applyNumberFormat="1" applyFont="1" applyFill="1" applyBorder="1" applyAlignment="1">
      <alignment horizontal="center"/>
    </xf>
    <xf numFmtId="10" fontId="285" fillId="45" borderId="10" xfId="847" applyNumberFormat="1" applyFont="1" applyFill="1" applyBorder="1" applyAlignment="1">
      <alignment horizontal="center"/>
    </xf>
    <xf numFmtId="10" fontId="285" fillId="111" borderId="10" xfId="2578" applyNumberFormat="1" applyFont="1" applyFill="1" applyBorder="1" applyAlignment="1">
      <alignment horizontal="center" vertical="center"/>
    </xf>
    <xf numFmtId="10" fontId="285" fillId="111" borderId="10" xfId="2578" applyNumberFormat="1" applyFont="1" applyFill="1" applyBorder="1" applyAlignment="1">
      <alignment horizontal="center"/>
    </xf>
    <xf numFmtId="10" fontId="285" fillId="129" borderId="10" xfId="847" applyNumberFormat="1" applyFont="1" applyFill="1" applyBorder="1" applyAlignment="1">
      <alignment horizontal="left"/>
    </xf>
    <xf numFmtId="0" fontId="285" fillId="42" borderId="10" xfId="863" applyNumberFormat="1" applyFont="1" applyFill="1" applyBorder="1"/>
    <xf numFmtId="10" fontId="285" fillId="119" borderId="10" xfId="847" applyNumberFormat="1" applyFont="1" applyFill="1" applyBorder="1" applyAlignment="1">
      <alignment horizontal="left"/>
    </xf>
    <xf numFmtId="10" fontId="285" fillId="112" borderId="10" xfId="847" applyNumberFormat="1" applyFont="1" applyFill="1" applyBorder="1" applyAlignment="1">
      <alignment horizontal="left"/>
    </xf>
    <xf numFmtId="10" fontId="285" fillId="45" borderId="10" xfId="847" applyNumberFormat="1" applyFont="1" applyFill="1" applyBorder="1" applyAlignment="1">
      <alignment horizontal="left"/>
    </xf>
    <xf numFmtId="10" fontId="285" fillId="111" borderId="10" xfId="847" applyNumberFormat="1" applyFont="1" applyFill="1" applyBorder="1" applyAlignment="1">
      <alignment horizontal="left"/>
    </xf>
    <xf numFmtId="0" fontId="285" fillId="129" borderId="10" xfId="863" applyNumberFormat="1" applyFont="1" applyFill="1" applyBorder="1" applyAlignment="1">
      <alignment horizontal="center"/>
    </xf>
    <xf numFmtId="0" fontId="285" fillId="42" borderId="10" xfId="863" applyNumberFormat="1" applyFont="1" applyFill="1" applyBorder="1" applyAlignment="1">
      <alignment horizontal="center"/>
    </xf>
    <xf numFmtId="0" fontId="285" fillId="119" borderId="10" xfId="863" applyNumberFormat="1" applyFont="1" applyFill="1" applyBorder="1" applyAlignment="1">
      <alignment horizontal="center"/>
    </xf>
    <xf numFmtId="0" fontId="285" fillId="112" borderId="10" xfId="863" applyNumberFormat="1" applyFont="1" applyFill="1" applyBorder="1" applyAlignment="1">
      <alignment horizontal="center"/>
    </xf>
    <xf numFmtId="0" fontId="285" fillId="45" borderId="10" xfId="863" applyNumberFormat="1" applyFont="1" applyFill="1" applyBorder="1" applyAlignment="1">
      <alignment horizontal="center"/>
    </xf>
    <xf numFmtId="0" fontId="285" fillId="111" borderId="10" xfId="863" applyNumberFormat="1" applyFont="1" applyFill="1" applyBorder="1" applyAlignment="1">
      <alignment horizontal="center" vertical="center"/>
    </xf>
    <xf numFmtId="0" fontId="285" fillId="111" borderId="10" xfId="863" applyNumberFormat="1" applyFont="1" applyFill="1" applyBorder="1" applyAlignment="1">
      <alignment horizontal="center"/>
    </xf>
    <xf numFmtId="0" fontId="285" fillId="129" borderId="10" xfId="847" applyNumberFormat="1" applyFont="1" applyFill="1" applyBorder="1" applyAlignment="1">
      <alignment horizontal="center"/>
    </xf>
    <xf numFmtId="0" fontId="285" fillId="119" borderId="10" xfId="847" applyNumberFormat="1" applyFont="1" applyFill="1" applyBorder="1" applyAlignment="1">
      <alignment horizontal="center"/>
    </xf>
    <xf numFmtId="0" fontId="285" fillId="112" borderId="10" xfId="847" applyNumberFormat="1" applyFont="1" applyFill="1" applyBorder="1" applyAlignment="1">
      <alignment horizontal="center"/>
    </xf>
    <xf numFmtId="0" fontId="285" fillId="45" borderId="10" xfId="847" applyNumberFormat="1" applyFont="1" applyFill="1" applyBorder="1" applyAlignment="1">
      <alignment horizontal="center"/>
    </xf>
    <xf numFmtId="0" fontId="285" fillId="111" borderId="10" xfId="2578" applyNumberFormat="1" applyFont="1" applyFill="1" applyBorder="1" applyAlignment="1">
      <alignment horizontal="center" vertical="center"/>
    </xf>
    <xf numFmtId="0" fontId="285" fillId="111" borderId="10" xfId="847" applyNumberFormat="1" applyFont="1" applyFill="1" applyBorder="1" applyAlignment="1">
      <alignment horizontal="center"/>
    </xf>
    <xf numFmtId="0" fontId="285" fillId="119" borderId="10" xfId="0" applyFont="1" applyFill="1" applyBorder="1"/>
    <xf numFmtId="168" fontId="285" fillId="119" borderId="0" xfId="863" applyFont="1" applyFill="1" applyBorder="1"/>
    <xf numFmtId="0" fontId="285" fillId="130" borderId="10" xfId="0" applyFont="1" applyFill="1" applyBorder="1"/>
    <xf numFmtId="168" fontId="285" fillId="130" borderId="0" xfId="863" applyFont="1" applyFill="1" applyBorder="1"/>
    <xf numFmtId="10" fontId="285" fillId="130" borderId="10" xfId="847" applyNumberFormat="1" applyFont="1" applyFill="1" applyBorder="1" applyAlignment="1">
      <alignment horizontal="center"/>
    </xf>
    <xf numFmtId="10" fontId="285" fillId="130" borderId="0" xfId="847" applyNumberFormat="1" applyFont="1" applyFill="1" applyBorder="1" applyAlignment="1">
      <alignment horizontal="left"/>
    </xf>
    <xf numFmtId="10" fontId="285" fillId="130" borderId="10" xfId="847" applyNumberFormat="1" applyFont="1" applyFill="1" applyBorder="1" applyAlignment="1">
      <alignment horizontal="left"/>
    </xf>
    <xf numFmtId="0" fontId="285" fillId="130" borderId="0" xfId="847" applyNumberFormat="1" applyFont="1" applyFill="1" applyBorder="1" applyAlignment="1">
      <alignment horizontal="center"/>
    </xf>
    <xf numFmtId="0" fontId="285" fillId="130" borderId="10" xfId="863" applyNumberFormat="1" applyFont="1" applyFill="1" applyBorder="1" applyAlignment="1">
      <alignment horizontal="center"/>
    </xf>
    <xf numFmtId="0" fontId="285" fillId="130" borderId="0" xfId="863" applyNumberFormat="1" applyFont="1" applyFill="1" applyBorder="1" applyAlignment="1">
      <alignment horizontal="center"/>
    </xf>
    <xf numFmtId="0" fontId="285" fillId="130" borderId="10" xfId="847" applyNumberFormat="1" applyFont="1" applyFill="1" applyBorder="1" applyAlignment="1">
      <alignment horizontal="center"/>
    </xf>
    <xf numFmtId="167" fontId="285" fillId="42" borderId="10" xfId="815" applyFont="1" applyFill="1" applyBorder="1"/>
    <xf numFmtId="170" fontId="252" fillId="0" borderId="0" xfId="43408" applyNumberFormat="1" applyFont="1" applyAlignment="1">
      <alignment vertical="center"/>
    </xf>
    <xf numFmtId="49" fontId="207" fillId="121" borderId="0" xfId="43443" applyNumberFormat="1" applyFont="1" applyFill="1" applyAlignment="1">
      <alignment vertical="center"/>
    </xf>
    <xf numFmtId="0" fontId="207" fillId="121" borderId="0" xfId="0" applyFont="1" applyFill="1" applyAlignment="1">
      <alignment horizontal="right" vertical="center"/>
    </xf>
    <xf numFmtId="0" fontId="285" fillId="45" borderId="10" xfId="0" applyFont="1" applyFill="1" applyBorder="1"/>
    <xf numFmtId="168" fontId="285" fillId="45" borderId="0" xfId="863" applyFont="1" applyFill="1" applyBorder="1"/>
    <xf numFmtId="167" fontId="285" fillId="42" borderId="0" xfId="5583" applyNumberFormat="1" applyFont="1" applyFill="1" applyBorder="1"/>
    <xf numFmtId="167" fontId="285" fillId="119" borderId="10" xfId="5583" applyNumberFormat="1" applyFont="1" applyFill="1" applyBorder="1" applyAlignment="1">
      <alignment vertical="center"/>
    </xf>
    <xf numFmtId="167" fontId="285" fillId="119" borderId="0" xfId="5583" applyNumberFormat="1" applyFont="1" applyFill="1" applyBorder="1" applyAlignment="1">
      <alignment vertical="center"/>
    </xf>
    <xf numFmtId="167" fontId="285" fillId="112" borderId="10" xfId="5583" applyNumberFormat="1" applyFont="1" applyFill="1" applyBorder="1" applyAlignment="1">
      <alignment vertical="center"/>
    </xf>
    <xf numFmtId="167" fontId="285" fillId="112" borderId="0" xfId="5583" applyNumberFormat="1" applyFont="1" applyFill="1" applyBorder="1" applyAlignment="1">
      <alignment vertical="center"/>
    </xf>
    <xf numFmtId="167" fontId="285" fillId="45" borderId="10" xfId="5583" applyNumberFormat="1" applyFont="1" applyFill="1" applyBorder="1" applyAlignment="1">
      <alignment vertical="center"/>
    </xf>
    <xf numFmtId="0" fontId="296" fillId="111" borderId="10" xfId="0" applyFont="1" applyFill="1" applyBorder="1" applyAlignment="1">
      <alignment vertical="center"/>
    </xf>
    <xf numFmtId="10" fontId="285" fillId="42" borderId="0" xfId="847" applyNumberFormat="1" applyFont="1" applyFill="1" applyBorder="1" applyAlignment="1">
      <alignment horizontal="left"/>
    </xf>
    <xf numFmtId="10" fontId="285" fillId="42" borderId="10" xfId="847" applyNumberFormat="1" applyFont="1" applyFill="1" applyBorder="1" applyAlignment="1">
      <alignment horizontal="left"/>
    </xf>
    <xf numFmtId="0" fontId="285" fillId="42" borderId="0" xfId="847" applyNumberFormat="1" applyFont="1" applyFill="1" applyBorder="1" applyAlignment="1">
      <alignment horizontal="center"/>
    </xf>
    <xf numFmtId="0" fontId="285" fillId="42" borderId="10" xfId="847" applyNumberFormat="1" applyFont="1" applyFill="1" applyBorder="1" applyAlignment="1">
      <alignment horizontal="center"/>
    </xf>
    <xf numFmtId="168" fontId="127" fillId="42" borderId="0" xfId="863" applyFont="1" applyFill="1" applyBorder="1" applyAlignment="1">
      <alignment horizontal="center" vertical="center"/>
    </xf>
    <xf numFmtId="0" fontId="285" fillId="42" borderId="0" xfId="2578" applyNumberFormat="1" applyFont="1" applyFill="1" applyBorder="1" applyAlignment="1">
      <alignment horizontal="center"/>
    </xf>
    <xf numFmtId="0" fontId="285" fillId="42" borderId="10" xfId="2578" applyNumberFormat="1" applyFont="1" applyFill="1" applyBorder="1" applyAlignment="1">
      <alignment horizontal="center"/>
    </xf>
    <xf numFmtId="167" fontId="285" fillId="111" borderId="10" xfId="5583" applyNumberFormat="1" applyFont="1" applyFill="1" applyBorder="1" applyAlignment="1">
      <alignment vertical="center"/>
    </xf>
    <xf numFmtId="0" fontId="285" fillId="111" borderId="10" xfId="0" applyFont="1" applyFill="1" applyBorder="1"/>
    <xf numFmtId="167" fontId="285" fillId="111" borderId="10" xfId="815" applyFont="1" applyFill="1" applyBorder="1"/>
    <xf numFmtId="10" fontId="285" fillId="111" borderId="10" xfId="847" applyNumberFormat="1" applyFont="1" applyFill="1" applyBorder="1" applyAlignment="1">
      <alignment horizontal="center"/>
    </xf>
    <xf numFmtId="0" fontId="327" fillId="113" borderId="207" xfId="0" applyFont="1" applyFill="1" applyBorder="1"/>
    <xf numFmtId="167" fontId="328" fillId="42" borderId="10" xfId="5583" applyNumberFormat="1" applyFont="1" applyFill="1" applyBorder="1"/>
    <xf numFmtId="10" fontId="285" fillId="42" borderId="29" xfId="847" applyNumberFormat="1" applyFont="1" applyFill="1" applyBorder="1" applyAlignment="1">
      <alignment horizontal="left"/>
    </xf>
    <xf numFmtId="0" fontId="315" fillId="113" borderId="162" xfId="0" applyFont="1" applyFill="1" applyBorder="1"/>
    <xf numFmtId="0" fontId="315" fillId="113" borderId="207" xfId="0" applyFont="1" applyFill="1" applyBorder="1"/>
    <xf numFmtId="3" fontId="327" fillId="113" borderId="207" xfId="43169" applyFont="1" applyFill="1" applyBorder="1"/>
    <xf numFmtId="3" fontId="327" fillId="113" borderId="208" xfId="43169" applyFont="1" applyFill="1" applyBorder="1"/>
    <xf numFmtId="0" fontId="325" fillId="0" borderId="187" xfId="0" applyFont="1" applyBorder="1" applyAlignment="1">
      <alignment vertical="center"/>
    </xf>
    <xf numFmtId="0" fontId="38" fillId="42" borderId="189" xfId="0" applyFont="1" applyFill="1" applyBorder="1"/>
    <xf numFmtId="0" fontId="32" fillId="42" borderId="190" xfId="0" applyFont="1" applyFill="1" applyBorder="1"/>
    <xf numFmtId="0" fontId="32" fillId="59" borderId="189" xfId="907" applyFill="1" applyBorder="1"/>
    <xf numFmtId="167" fontId="32" fillId="109" borderId="190" xfId="815" applyFont="1" applyFill="1" applyBorder="1" applyAlignment="1"/>
    <xf numFmtId="0" fontId="32" fillId="59" borderId="20" xfId="907" applyFill="1" applyBorder="1"/>
    <xf numFmtId="167" fontId="32" fillId="109" borderId="29" xfId="815" applyFont="1" applyFill="1" applyBorder="1" applyAlignment="1"/>
    <xf numFmtId="0" fontId="32" fillId="59" borderId="201" xfId="907" applyFill="1" applyBorder="1"/>
    <xf numFmtId="167" fontId="32" fillId="109" borderId="211" xfId="815" applyFont="1" applyFill="1" applyBorder="1" applyAlignment="1"/>
    <xf numFmtId="168" fontId="32" fillId="41" borderId="190" xfId="863" applyFont="1" applyFill="1" applyBorder="1" applyAlignment="1"/>
    <xf numFmtId="168" fontId="32" fillId="41" borderId="211" xfId="863" applyFont="1" applyFill="1" applyBorder="1" applyAlignment="1"/>
    <xf numFmtId="10" fontId="32" fillId="109" borderId="190" xfId="847" applyNumberFormat="1" applyFont="1" applyFill="1" applyBorder="1" applyAlignment="1">
      <alignment horizontal="right"/>
    </xf>
    <xf numFmtId="10" fontId="32" fillId="109" borderId="29" xfId="847" applyNumberFormat="1" applyFont="1" applyFill="1" applyBorder="1" applyAlignment="1">
      <alignment horizontal="right"/>
    </xf>
    <xf numFmtId="10" fontId="32" fillId="109" borderId="211" xfId="847" applyNumberFormat="1" applyFont="1" applyFill="1" applyBorder="1" applyAlignment="1">
      <alignment horizontal="right"/>
    </xf>
    <xf numFmtId="14" fontId="32" fillId="0" borderId="187" xfId="0" applyNumberFormat="1" applyFont="1" applyBorder="1"/>
    <xf numFmtId="0" fontId="32" fillId="59" borderId="187" xfId="907" applyFill="1" applyBorder="1" applyAlignment="1">
      <alignment wrapText="1"/>
    </xf>
    <xf numFmtId="168" fontId="325" fillId="0" borderId="187" xfId="863" applyFont="1" applyBorder="1" applyAlignment="1">
      <alignment horizontal="center" vertical="center"/>
    </xf>
    <xf numFmtId="168" fontId="122" fillId="0" borderId="187" xfId="863" applyFont="1" applyBorder="1" applyAlignment="1">
      <alignment vertical="center"/>
    </xf>
    <xf numFmtId="168" fontId="122" fillId="0" borderId="188" xfId="863" applyFont="1" applyBorder="1" applyAlignment="1">
      <alignment vertical="center"/>
    </xf>
    <xf numFmtId="0" fontId="252" fillId="117" borderId="189" xfId="0" applyFont="1" applyFill="1" applyBorder="1" applyAlignment="1">
      <alignment vertical="center"/>
    </xf>
    <xf numFmtId="0" fontId="252" fillId="117" borderId="20" xfId="0" applyFont="1" applyFill="1" applyBorder="1" applyAlignment="1">
      <alignment vertical="center"/>
    </xf>
    <xf numFmtId="0" fontId="252" fillId="117" borderId="201" xfId="0" applyFont="1" applyFill="1" applyBorder="1" applyAlignment="1">
      <alignment vertical="center"/>
    </xf>
    <xf numFmtId="0" fontId="207" fillId="33" borderId="0" xfId="829" applyFont="1" applyFill="1" applyAlignment="1">
      <alignment horizontal="center"/>
    </xf>
    <xf numFmtId="0" fontId="207" fillId="33" borderId="0" xfId="829" applyFont="1" applyFill="1" applyAlignment="1">
      <alignment horizontal="left"/>
    </xf>
    <xf numFmtId="9" fontId="252" fillId="117" borderId="190" xfId="847" applyFont="1" applyFill="1" applyBorder="1" applyAlignment="1">
      <alignment vertical="center"/>
    </xf>
    <xf numFmtId="9" fontId="252" fillId="117" borderId="29" xfId="847" applyFont="1" applyFill="1" applyBorder="1" applyAlignment="1">
      <alignment vertical="center"/>
    </xf>
    <xf numFmtId="9" fontId="252" fillId="117" borderId="211" xfId="847" applyFont="1" applyFill="1" applyBorder="1" applyAlignment="1">
      <alignment vertical="center"/>
    </xf>
    <xf numFmtId="167" fontId="112" fillId="41" borderId="0" xfId="907" applyNumberFormat="1" applyFont="1" applyFill="1" applyAlignment="1">
      <alignment horizontal="center"/>
    </xf>
    <xf numFmtId="9" fontId="262" fillId="38" borderId="144" xfId="1823" applyFont="1" applyFill="1" applyBorder="1" applyAlignment="1">
      <alignment horizontal="center" vertical="center" wrapText="1"/>
    </xf>
    <xf numFmtId="0" fontId="253" fillId="59" borderId="144" xfId="2697" applyFont="1" applyFill="1" applyBorder="1" applyAlignment="1">
      <alignment vertical="center"/>
    </xf>
    <xf numFmtId="10" fontId="253" fillId="59" borderId="144" xfId="847" applyNumberFormat="1" applyFont="1" applyFill="1" applyBorder="1" applyAlignment="1">
      <alignment vertical="center"/>
    </xf>
    <xf numFmtId="0" fontId="329" fillId="0" borderId="178" xfId="907" applyFont="1" applyBorder="1" applyAlignment="1">
      <alignment horizontal="left"/>
    </xf>
    <xf numFmtId="0" fontId="260" fillId="33" borderId="178" xfId="829" applyFont="1" applyFill="1" applyBorder="1"/>
    <xf numFmtId="0" fontId="252" fillId="33" borderId="178" xfId="829" applyFont="1" applyFill="1" applyBorder="1"/>
    <xf numFmtId="174" fontId="330" fillId="0" borderId="178" xfId="0" applyNumberFormat="1" applyFont="1" applyBorder="1" applyAlignment="1">
      <alignment horizontal="right"/>
    </xf>
    <xf numFmtId="10" fontId="330" fillId="0" borderId="178" xfId="0" applyNumberFormat="1" applyFont="1" applyBorder="1" applyAlignment="1">
      <alignment horizontal="left"/>
    </xf>
    <xf numFmtId="0" fontId="253" fillId="33" borderId="0" xfId="829" applyFont="1" applyFill="1" applyAlignment="1">
      <alignment horizontal="left" vertical="top"/>
    </xf>
    <xf numFmtId="0" fontId="252" fillId="33" borderId="0" xfId="829" applyFont="1" applyFill="1"/>
    <xf numFmtId="0" fontId="307" fillId="33" borderId="0" xfId="829" applyFont="1" applyFill="1" applyAlignment="1">
      <alignment horizontal="right" vertical="top"/>
    </xf>
    <xf numFmtId="10" fontId="330" fillId="0" borderId="0" xfId="0" applyNumberFormat="1" applyFont="1" applyAlignment="1">
      <alignment horizontal="left" vertical="top"/>
    </xf>
    <xf numFmtId="0" fontId="38" fillId="97" borderId="0" xfId="0" applyFont="1" applyFill="1"/>
    <xf numFmtId="10" fontId="38" fillId="97" borderId="0" xfId="847" applyNumberFormat="1" applyFont="1" applyFill="1"/>
    <xf numFmtId="0" fontId="45" fillId="44" borderId="152" xfId="0" applyFont="1" applyFill="1" applyBorder="1"/>
    <xf numFmtId="168" fontId="45" fillId="0" borderId="152" xfId="863" applyFont="1" applyBorder="1"/>
    <xf numFmtId="14" fontId="269" fillId="102" borderId="196" xfId="0" applyNumberFormat="1" applyFont="1" applyFill="1" applyBorder="1" applyAlignment="1">
      <alignment horizontal="center" vertical="distributed"/>
    </xf>
    <xf numFmtId="264" fontId="32" fillId="0" borderId="0" xfId="0" applyNumberFormat="1" applyFont="1" applyAlignment="1">
      <alignment horizontal="center" vertical="distributed"/>
    </xf>
    <xf numFmtId="14" fontId="252" fillId="0" borderId="0" xfId="0" applyNumberFormat="1" applyFont="1"/>
    <xf numFmtId="43" fontId="252" fillId="0" borderId="0" xfId="0" applyNumberFormat="1" applyFont="1"/>
    <xf numFmtId="10" fontId="252" fillId="0" borderId="0" xfId="847" applyNumberFormat="1" applyFont="1"/>
    <xf numFmtId="10" fontId="207" fillId="0" borderId="178" xfId="0" applyNumberFormat="1" applyFont="1" applyBorder="1"/>
    <xf numFmtId="43" fontId="207" fillId="41" borderId="0" xfId="863" applyNumberFormat="1" applyFont="1" applyFill="1" applyAlignment="1">
      <alignment horizontal="right"/>
    </xf>
    <xf numFmtId="168" fontId="207" fillId="99" borderId="0" xfId="863" applyFont="1" applyFill="1"/>
    <xf numFmtId="2" fontId="207" fillId="99" borderId="0" xfId="863" applyNumberFormat="1" applyFont="1" applyFill="1"/>
    <xf numFmtId="167" fontId="207" fillId="99" borderId="0" xfId="815" applyFont="1" applyFill="1"/>
    <xf numFmtId="2" fontId="207" fillId="99" borderId="0" xfId="847" applyNumberFormat="1" applyFont="1" applyFill="1"/>
    <xf numFmtId="2" fontId="207" fillId="42" borderId="0" xfId="863" applyNumberFormat="1" applyFont="1" applyFill="1"/>
    <xf numFmtId="14" fontId="207" fillId="42" borderId="0" xfId="847" applyNumberFormat="1" applyFont="1" applyFill="1"/>
    <xf numFmtId="14" fontId="207" fillId="42" borderId="0" xfId="0" applyNumberFormat="1" applyFont="1" applyFill="1"/>
    <xf numFmtId="2" fontId="207" fillId="42" borderId="0" xfId="0" applyNumberFormat="1" applyFont="1" applyFill="1"/>
    <xf numFmtId="2" fontId="207" fillId="42" borderId="0" xfId="847" applyNumberFormat="1" applyFont="1" applyFill="1"/>
    <xf numFmtId="167" fontId="207" fillId="106" borderId="29" xfId="815" applyFont="1" applyFill="1" applyBorder="1"/>
    <xf numFmtId="167" fontId="207" fillId="0" borderId="29" xfId="0" applyNumberFormat="1" applyFont="1" applyBorder="1" applyProtection="1">
      <protection hidden="1"/>
    </xf>
    <xf numFmtId="0" fontId="261" fillId="0" borderId="178" xfId="907" applyFont="1" applyBorder="1" applyAlignment="1">
      <alignment horizontal="left"/>
    </xf>
    <xf numFmtId="0" fontId="331" fillId="41" borderId="0" xfId="801" applyFont="1" applyFill="1" applyBorder="1" applyAlignment="1" applyProtection="1">
      <alignment horizontal="right"/>
    </xf>
    <xf numFmtId="9" fontId="262" fillId="38" borderId="144" xfId="1823" applyFont="1" applyFill="1" applyBorder="1" applyAlignment="1">
      <alignment vertical="center" wrapText="1"/>
    </xf>
    <xf numFmtId="168" fontId="252" fillId="41" borderId="0" xfId="863" applyFont="1" applyFill="1" applyBorder="1" applyAlignment="1">
      <alignment horizontal="right" vertical="center" wrapText="1"/>
    </xf>
    <xf numFmtId="37" fontId="207" fillId="0" borderId="166" xfId="0" applyNumberFormat="1" applyFont="1" applyBorder="1"/>
    <xf numFmtId="165" fontId="207" fillId="0" borderId="166" xfId="815" applyNumberFormat="1" applyFont="1" applyBorder="1"/>
    <xf numFmtId="10" fontId="207" fillId="0" borderId="166" xfId="847" applyNumberFormat="1" applyFont="1" applyFill="1" applyBorder="1" applyAlignment="1">
      <alignment horizontal="right"/>
    </xf>
    <xf numFmtId="0" fontId="285" fillId="115" borderId="10" xfId="0" applyFont="1" applyFill="1" applyBorder="1"/>
    <xf numFmtId="0" fontId="207" fillId="0" borderId="0" xfId="0" pivotButton="1" applyFont="1"/>
    <xf numFmtId="205" fontId="207" fillId="0" borderId="0" xfId="0" applyNumberFormat="1" applyFont="1" applyAlignment="1">
      <alignment horizontal="left"/>
    </xf>
    <xf numFmtId="0" fontId="285" fillId="42" borderId="20" xfId="0" applyFont="1" applyFill="1" applyBorder="1"/>
    <xf numFmtId="10" fontId="210" fillId="59" borderId="166" xfId="847" applyNumberFormat="1" applyFont="1" applyFill="1" applyBorder="1" applyAlignment="1" applyProtection="1">
      <alignment horizontal="right"/>
      <protection hidden="1"/>
    </xf>
    <xf numFmtId="0" fontId="210" fillId="44" borderId="146" xfId="0" applyFont="1" applyFill="1" applyBorder="1" applyAlignment="1">
      <alignment horizontal="center" vertical="center" textRotation="90"/>
    </xf>
    <xf numFmtId="0" fontId="210" fillId="44" borderId="10" xfId="0" applyFont="1" applyFill="1" applyBorder="1" applyAlignment="1">
      <alignment horizontal="center" vertical="center" textRotation="90"/>
    </xf>
    <xf numFmtId="0" fontId="210" fillId="44" borderId="154" xfId="0" applyFont="1" applyFill="1" applyBorder="1" applyAlignment="1">
      <alignment horizontal="center" vertical="center" textRotation="90"/>
    </xf>
    <xf numFmtId="0" fontId="32" fillId="0" borderId="20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281" fillId="96" borderId="20" xfId="0" applyFont="1" applyFill="1" applyBorder="1" applyAlignment="1">
      <alignment horizontal="center" vertical="center"/>
    </xf>
    <xf numFmtId="0" fontId="281" fillId="96" borderId="0" xfId="0" applyFont="1" applyFill="1" applyAlignment="1">
      <alignment horizontal="center" vertical="center"/>
    </xf>
    <xf numFmtId="167" fontId="32" fillId="59" borderId="167" xfId="815" applyFont="1" applyFill="1" applyBorder="1" applyAlignment="1">
      <alignment horizontal="center" vertical="center"/>
    </xf>
    <xf numFmtId="167" fontId="32" fillId="59" borderId="176" xfId="815" applyFont="1" applyFill="1" applyBorder="1" applyAlignment="1">
      <alignment horizontal="center" vertical="center"/>
    </xf>
    <xf numFmtId="167" fontId="32" fillId="44" borderId="167" xfId="815" applyFont="1" applyFill="1" applyBorder="1" applyAlignment="1">
      <alignment horizontal="center" vertical="center"/>
    </xf>
    <xf numFmtId="167" fontId="32" fillId="44" borderId="176" xfId="815" applyFont="1" applyFill="1" applyBorder="1" applyAlignment="1">
      <alignment horizontal="center" vertical="center"/>
    </xf>
    <xf numFmtId="167" fontId="32" fillId="44" borderId="170" xfId="815" applyFont="1" applyFill="1" applyBorder="1" applyAlignment="1">
      <alignment horizontal="center" vertical="center"/>
    </xf>
    <xf numFmtId="167" fontId="32" fillId="44" borderId="175" xfId="815" applyFont="1" applyFill="1" applyBorder="1" applyAlignment="1">
      <alignment horizontal="center" vertical="center"/>
    </xf>
    <xf numFmtId="167" fontId="32" fillId="44" borderId="172" xfId="815" applyFont="1" applyFill="1" applyBorder="1" applyAlignment="1">
      <alignment horizontal="center" vertical="center"/>
    </xf>
    <xf numFmtId="167" fontId="32" fillId="44" borderId="177" xfId="815" applyFont="1" applyFill="1" applyBorder="1" applyAlignment="1">
      <alignment horizontal="center" vertical="center"/>
    </xf>
    <xf numFmtId="0" fontId="237" fillId="128" borderId="166" xfId="907" applyFont="1" applyFill="1" applyBorder="1" applyAlignment="1">
      <alignment horizontal="left"/>
    </xf>
    <xf numFmtId="167" fontId="32" fillId="59" borderId="172" xfId="815" applyFont="1" applyFill="1" applyBorder="1" applyAlignment="1">
      <alignment horizontal="center" vertical="center"/>
    </xf>
    <xf numFmtId="167" fontId="32" fillId="59" borderId="177" xfId="815" applyFont="1" applyFill="1" applyBorder="1" applyAlignment="1">
      <alignment horizontal="center" vertical="center"/>
    </xf>
    <xf numFmtId="167" fontId="32" fillId="59" borderId="170" xfId="815" applyFont="1" applyFill="1" applyBorder="1" applyAlignment="1">
      <alignment horizontal="center" vertical="center"/>
    </xf>
    <xf numFmtId="167" fontId="32" fillId="59" borderId="175" xfId="815" applyFont="1" applyFill="1" applyBorder="1" applyAlignment="1">
      <alignment horizontal="center" vertical="center"/>
    </xf>
    <xf numFmtId="168" fontId="118" fillId="102" borderId="144" xfId="863" applyFont="1" applyFill="1" applyBorder="1" applyAlignment="1">
      <alignment horizontal="center" vertical="top" wrapText="1"/>
    </xf>
    <xf numFmtId="167" fontId="32" fillId="42" borderId="144" xfId="815" applyFont="1" applyFill="1" applyBorder="1" applyAlignment="1">
      <alignment horizontal="center"/>
    </xf>
    <xf numFmtId="0" fontId="274" fillId="43" borderId="168" xfId="0" applyFont="1" applyFill="1" applyBorder="1" applyAlignment="1">
      <alignment horizontal="center" vertical="center" wrapText="1"/>
    </xf>
    <xf numFmtId="0" fontId="274" fillId="43" borderId="160" xfId="0" applyFont="1" applyFill="1" applyBorder="1" applyAlignment="1">
      <alignment horizontal="center" vertical="center" wrapText="1"/>
    </xf>
    <xf numFmtId="0" fontId="274" fillId="0" borderId="144" xfId="0" applyFont="1" applyBorder="1" applyAlignment="1">
      <alignment horizontal="center" vertical="center" wrapText="1"/>
    </xf>
    <xf numFmtId="0" fontId="296" fillId="0" borderId="0" xfId="0" applyFont="1" applyAlignment="1">
      <alignment horizontal="center"/>
    </xf>
    <xf numFmtId="0" fontId="296" fillId="0" borderId="191" xfId="0" applyFont="1" applyBorder="1" applyAlignment="1">
      <alignment horizontal="center"/>
    </xf>
    <xf numFmtId="0" fontId="119" fillId="55" borderId="131" xfId="2697" applyFont="1" applyFill="1" applyBorder="1" applyAlignment="1">
      <alignment horizontal="center" vertical="center"/>
    </xf>
    <xf numFmtId="0" fontId="119" fillId="55" borderId="0" xfId="2697" applyFont="1" applyFill="1" applyAlignment="1">
      <alignment horizontal="center" vertical="center"/>
    </xf>
    <xf numFmtId="0" fontId="119" fillId="55" borderId="136" xfId="2697" applyFont="1" applyFill="1" applyBorder="1" applyAlignment="1">
      <alignment horizontal="center" vertical="center"/>
    </xf>
    <xf numFmtId="0" fontId="119" fillId="55" borderId="125" xfId="2697" applyFont="1" applyFill="1" applyBorder="1" applyAlignment="1">
      <alignment horizontal="center" vertical="center"/>
    </xf>
    <xf numFmtId="170" fontId="119" fillId="55" borderId="132" xfId="863" applyNumberFormat="1" applyFont="1" applyFill="1" applyBorder="1" applyAlignment="1">
      <alignment horizontal="center" vertical="center" wrapText="1"/>
    </xf>
    <xf numFmtId="170" fontId="119" fillId="55" borderId="133" xfId="863" applyNumberFormat="1" applyFont="1" applyFill="1" applyBorder="1" applyAlignment="1">
      <alignment horizontal="center" vertical="center" wrapText="1"/>
    </xf>
    <xf numFmtId="170" fontId="119" fillId="55" borderId="134" xfId="863" applyNumberFormat="1" applyFont="1" applyFill="1" applyBorder="1" applyAlignment="1">
      <alignment horizontal="center" vertical="center" wrapText="1"/>
    </xf>
    <xf numFmtId="0" fontId="119" fillId="55" borderId="135" xfId="2697" applyFont="1" applyFill="1" applyBorder="1" applyAlignment="1">
      <alignment horizontal="center" vertical="center" wrapText="1"/>
    </xf>
    <xf numFmtId="0" fontId="119" fillId="55" borderId="133" xfId="2697" applyFont="1" applyFill="1" applyBorder="1" applyAlignment="1">
      <alignment horizontal="center" vertical="center" wrapText="1"/>
    </xf>
    <xf numFmtId="0" fontId="119" fillId="55" borderId="134" xfId="2697" applyFont="1" applyFill="1" applyBorder="1" applyAlignment="1">
      <alignment horizontal="center" vertical="center" wrapText="1"/>
    </xf>
    <xf numFmtId="17" fontId="40" fillId="55" borderId="126" xfId="905" applyNumberFormat="1" applyFont="1" applyFill="1" applyBorder="1" applyAlignment="1">
      <alignment horizontal="center" vertical="center" wrapText="1"/>
    </xf>
    <xf numFmtId="254" fontId="40" fillId="55" borderId="195" xfId="863" applyNumberFormat="1" applyFont="1" applyFill="1" applyBorder="1" applyAlignment="1">
      <alignment horizontal="center" vertical="center" wrapText="1"/>
    </xf>
    <xf numFmtId="17" fontId="40" fillId="55" borderId="127" xfId="905" applyNumberFormat="1" applyFont="1" applyFill="1" applyBorder="1" applyAlignment="1">
      <alignment horizontal="center" vertical="center" wrapText="1"/>
    </xf>
    <xf numFmtId="170" fontId="40" fillId="55" borderId="128" xfId="863" applyNumberFormat="1" applyFont="1" applyFill="1" applyBorder="1" applyAlignment="1">
      <alignment horizontal="center" vertical="center"/>
    </xf>
    <xf numFmtId="170" fontId="40" fillId="55" borderId="129" xfId="863" applyNumberFormat="1" applyFont="1" applyFill="1" applyBorder="1" applyAlignment="1">
      <alignment horizontal="center" vertical="center"/>
    </xf>
    <xf numFmtId="0" fontId="40" fillId="55" borderId="130" xfId="905" applyFont="1" applyFill="1" applyBorder="1" applyAlignment="1">
      <alignment horizontal="center" vertical="center"/>
    </xf>
    <xf numFmtId="0" fontId="40" fillId="55" borderId="0" xfId="905" applyFont="1" applyFill="1" applyAlignment="1">
      <alignment horizontal="center" vertical="center"/>
    </xf>
    <xf numFmtId="0" fontId="38" fillId="0" borderId="189" xfId="907" applyFont="1" applyBorder="1" applyAlignment="1">
      <alignment horizontal="center"/>
    </xf>
    <xf numFmtId="0" fontId="38" fillId="0" borderId="191" xfId="907" applyFont="1" applyBorder="1" applyAlignment="1">
      <alignment horizontal="center"/>
    </xf>
    <xf numFmtId="0" fontId="38" fillId="0" borderId="187" xfId="907" applyFont="1" applyBorder="1" applyAlignment="1">
      <alignment horizontal="center"/>
    </xf>
    <xf numFmtId="0" fontId="207" fillId="33" borderId="188" xfId="831" applyFont="1" applyFill="1" applyBorder="1" applyAlignment="1">
      <alignment horizontal="center" vertical="center"/>
    </xf>
    <xf numFmtId="0" fontId="207" fillId="33" borderId="192" xfId="831" applyFont="1" applyFill="1" applyBorder="1" applyAlignment="1">
      <alignment horizontal="center" vertical="center"/>
    </xf>
    <xf numFmtId="0" fontId="214" fillId="43" borderId="186" xfId="0" applyFont="1" applyFill="1" applyBorder="1" applyAlignment="1">
      <alignment horizontal="center" vertical="center" wrapText="1"/>
    </xf>
    <xf numFmtId="0" fontId="210" fillId="97" borderId="186" xfId="0" applyFont="1" applyFill="1" applyBorder="1" applyAlignment="1">
      <alignment horizontal="center" vertical="center" wrapText="1"/>
    </xf>
    <xf numFmtId="0" fontId="112" fillId="41" borderId="0" xfId="2697" applyFont="1" applyFill="1" applyAlignment="1">
      <alignment horizontal="center" vertical="center"/>
    </xf>
    <xf numFmtId="9" fontId="40" fillId="0" borderId="0" xfId="1823" applyFont="1" applyFill="1" applyBorder="1" applyAlignment="1">
      <alignment horizontal="left" vertical="center" wrapText="1"/>
    </xf>
    <xf numFmtId="9" fontId="45" fillId="0" borderId="0" xfId="1823" applyFont="1" applyFill="1" applyBorder="1" applyAlignment="1">
      <alignment horizontal="left" vertical="center" wrapText="1"/>
    </xf>
    <xf numFmtId="0" fontId="45" fillId="41" borderId="0" xfId="907" applyFont="1" applyFill="1" applyAlignment="1">
      <alignment horizontal="left" indent="1"/>
    </xf>
    <xf numFmtId="0" fontId="119" fillId="41" borderId="0" xfId="907" applyFont="1" applyFill="1" applyAlignment="1">
      <alignment horizontal="left"/>
    </xf>
    <xf numFmtId="167" fontId="112" fillId="41" borderId="0" xfId="907" applyNumberFormat="1" applyFont="1" applyFill="1" applyAlignment="1">
      <alignment horizontal="center"/>
    </xf>
    <xf numFmtId="9" fontId="317" fillId="55" borderId="144" xfId="1823" applyFont="1" applyFill="1" applyBorder="1" applyAlignment="1">
      <alignment horizontal="left" vertical="center"/>
    </xf>
    <xf numFmtId="0" fontId="119" fillId="55" borderId="144" xfId="954" applyFont="1" applyFill="1" applyBorder="1" applyAlignment="1">
      <alignment horizontal="center" vertical="center"/>
    </xf>
    <xf numFmtId="9" fontId="40" fillId="0" borderId="0" xfId="1823" applyFont="1" applyFill="1" applyBorder="1" applyAlignment="1">
      <alignment horizontal="center" vertical="center" wrapText="1"/>
    </xf>
    <xf numFmtId="9" fontId="40" fillId="38" borderId="0" xfId="1823" applyFont="1" applyFill="1" applyBorder="1" applyAlignment="1">
      <alignment horizontal="center" vertical="center" wrapText="1"/>
    </xf>
    <xf numFmtId="0" fontId="145" fillId="41" borderId="0" xfId="907" applyFont="1" applyFill="1" applyAlignment="1">
      <alignment horizontal="center"/>
    </xf>
    <xf numFmtId="0" fontId="38" fillId="97" borderId="0" xfId="0" applyFont="1" applyFill="1" applyAlignment="1">
      <alignment horizontal="center"/>
    </xf>
    <xf numFmtId="0" fontId="119" fillId="55" borderId="126" xfId="2697" applyFont="1" applyFill="1" applyBorder="1" applyAlignment="1">
      <alignment horizontal="left" vertical="center" wrapText="1"/>
    </xf>
    <xf numFmtId="0" fontId="119" fillId="55" borderId="165" xfId="2697" applyFont="1" applyFill="1" applyBorder="1" applyAlignment="1">
      <alignment horizontal="left" vertical="center" wrapText="1"/>
    </xf>
    <xf numFmtId="0" fontId="119" fillId="55" borderId="131" xfId="2697" applyFont="1" applyFill="1" applyBorder="1" applyAlignment="1">
      <alignment horizontal="left" vertical="center" wrapText="1"/>
    </xf>
    <xf numFmtId="0" fontId="210" fillId="0" borderId="0" xfId="0" applyFont="1" applyAlignment="1">
      <alignment horizontal="center"/>
    </xf>
    <xf numFmtId="0" fontId="217" fillId="0" borderId="0" xfId="836" applyFont="1" applyFill="1" applyBorder="1" applyAlignment="1">
      <alignment horizontal="left" vertical="center" wrapText="1"/>
    </xf>
    <xf numFmtId="0" fontId="207" fillId="0" borderId="0" xfId="0" applyFont="1" applyAlignment="1">
      <alignment horizontal="left" vertical="center" wrapText="1"/>
    </xf>
    <xf numFmtId="0" fontId="209" fillId="0" borderId="186" xfId="833" applyFont="1" applyBorder="1" applyAlignment="1">
      <alignment horizontal="left" vertical="center" wrapText="1"/>
    </xf>
    <xf numFmtId="0" fontId="207" fillId="0" borderId="186" xfId="0" applyFont="1" applyBorder="1" applyAlignment="1">
      <alignment horizontal="left" vertical="center" wrapText="1"/>
    </xf>
    <xf numFmtId="0" fontId="210" fillId="0" borderId="188" xfId="0" applyFont="1" applyBorder="1" applyAlignment="1">
      <alignment horizontal="left" vertical="center"/>
    </xf>
    <xf numFmtId="0" fontId="210" fillId="0" borderId="192" xfId="0" applyFont="1" applyBorder="1" applyAlignment="1">
      <alignment horizontal="left" vertical="center"/>
    </xf>
    <xf numFmtId="0" fontId="217" fillId="0" borderId="178" xfId="836" applyFont="1" applyFill="1" applyBorder="1" applyAlignment="1">
      <alignment horizontal="left" vertical="center" wrapText="1"/>
    </xf>
    <xf numFmtId="0" fontId="207" fillId="0" borderId="178" xfId="0" applyFont="1" applyBorder="1" applyAlignment="1">
      <alignment horizontal="left" vertical="center" wrapText="1"/>
    </xf>
    <xf numFmtId="0" fontId="217" fillId="0" borderId="186" xfId="836" applyFont="1" applyFill="1" applyBorder="1" applyAlignment="1">
      <alignment horizontal="left" vertical="center" wrapText="1"/>
    </xf>
    <xf numFmtId="0" fontId="217" fillId="0" borderId="191" xfId="836" applyFont="1" applyFill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 wrapText="1"/>
    </xf>
    <xf numFmtId="0" fontId="210" fillId="0" borderId="189" xfId="0" applyFont="1" applyBorder="1" applyAlignment="1">
      <alignment horizontal="center" vertical="center" wrapText="1"/>
    </xf>
    <xf numFmtId="0" fontId="210" fillId="0" borderId="190" xfId="0" applyFont="1" applyBorder="1" applyAlignment="1">
      <alignment horizontal="center" vertical="center" wrapText="1"/>
    </xf>
    <xf numFmtId="0" fontId="210" fillId="104" borderId="188" xfId="0" applyFont="1" applyFill="1" applyBorder="1" applyAlignment="1">
      <alignment horizontal="center" vertical="center"/>
    </xf>
    <xf numFmtId="0" fontId="210" fillId="104" borderId="192" xfId="0" applyFont="1" applyFill="1" applyBorder="1" applyAlignment="1">
      <alignment horizontal="center" vertical="center"/>
    </xf>
    <xf numFmtId="0" fontId="210" fillId="41" borderId="189" xfId="832" applyFont="1" applyFill="1" applyBorder="1" applyAlignment="1">
      <alignment horizontal="center" vertical="center" wrapText="1"/>
    </xf>
    <xf numFmtId="0" fontId="210" fillId="41" borderId="190" xfId="0" applyFont="1" applyFill="1" applyBorder="1" applyAlignment="1">
      <alignment horizontal="center" vertical="center" wrapText="1"/>
    </xf>
    <xf numFmtId="0" fontId="210" fillId="0" borderId="189" xfId="0" applyFont="1" applyBorder="1" applyAlignment="1">
      <alignment horizontal="center" vertical="center"/>
    </xf>
    <xf numFmtId="0" fontId="210" fillId="0" borderId="190" xfId="0" applyFont="1" applyBorder="1" applyAlignment="1">
      <alignment horizontal="center" vertical="center"/>
    </xf>
    <xf numFmtId="0" fontId="210" fillId="0" borderId="188" xfId="0" applyFont="1" applyBorder="1" applyAlignment="1">
      <alignment horizontal="center" vertical="center"/>
    </xf>
    <xf numFmtId="0" fontId="210" fillId="0" borderId="192" xfId="0" applyFont="1" applyBorder="1" applyAlignment="1">
      <alignment horizontal="center" vertical="center"/>
    </xf>
    <xf numFmtId="0" fontId="210" fillId="41" borderId="189" xfId="0" applyFont="1" applyFill="1" applyBorder="1" applyAlignment="1">
      <alignment horizontal="center" vertical="center"/>
    </xf>
    <xf numFmtId="0" fontId="210" fillId="41" borderId="190" xfId="0" applyFont="1" applyFill="1" applyBorder="1" applyAlignment="1">
      <alignment horizontal="center" vertical="center"/>
    </xf>
    <xf numFmtId="0" fontId="122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5" fillId="0" borderId="187" xfId="0" applyFont="1" applyBorder="1" applyAlignment="1">
      <alignment vertical="center"/>
    </xf>
    <xf numFmtId="10" fontId="252" fillId="0" borderId="188" xfId="7308" applyNumberFormat="1" applyFont="1" applyBorder="1" applyAlignment="1">
      <alignment horizontal="center"/>
    </xf>
    <xf numFmtId="0" fontId="252" fillId="0" borderId="186" xfId="7308" applyFont="1" applyBorder="1" applyAlignment="1">
      <alignment horizontal="center"/>
    </xf>
    <xf numFmtId="0" fontId="252" fillId="0" borderId="192" xfId="7308" applyFont="1" applyBorder="1" applyAlignment="1">
      <alignment horizontal="center"/>
    </xf>
    <xf numFmtId="214" fontId="252" fillId="0" borderId="188" xfId="43165" applyNumberFormat="1" applyFont="1" applyBorder="1" applyAlignment="1">
      <alignment horizontal="center"/>
    </xf>
    <xf numFmtId="214" fontId="252" fillId="0" borderId="186" xfId="43165" applyNumberFormat="1" applyFont="1" applyBorder="1" applyAlignment="1">
      <alignment horizontal="center"/>
    </xf>
    <xf numFmtId="214" fontId="252" fillId="0" borderId="192" xfId="43165" applyNumberFormat="1" applyFont="1" applyBorder="1" applyAlignment="1">
      <alignment horizontal="center"/>
    </xf>
    <xf numFmtId="214" fontId="252" fillId="0" borderId="188" xfId="7308" applyNumberFormat="1" applyFont="1" applyBorder="1" applyAlignment="1">
      <alignment horizontal="center"/>
    </xf>
    <xf numFmtId="214" fontId="252" fillId="0" borderId="186" xfId="7308" applyNumberFormat="1" applyFont="1" applyBorder="1" applyAlignment="1">
      <alignment horizontal="center"/>
    </xf>
    <xf numFmtId="214" fontId="252" fillId="0" borderId="192" xfId="7308" applyNumberFormat="1" applyFont="1" applyBorder="1" applyAlignment="1">
      <alignment horizontal="center"/>
    </xf>
  </cellXfs>
  <cellStyles count="43451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link 2 2" xfId="43450" xr:uid="{004A7F32-E77B-43CB-9A24-7940308DDB7B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3 3" xfId="43448" xr:uid="{A9DBFC97-C6CB-443B-AA1C-02C1C626E974}"/>
    <cellStyle name="Normal 184" xfId="43442" xr:uid="{33F8FE5D-8254-4C64-85A1-4056EE97CCBD}"/>
    <cellStyle name="Normal 185" xfId="43444" xr:uid="{0BF8A2DF-C39D-47F2-8FCC-CAEA6BEC74B6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22" xfId="43446" xr:uid="{4DD8C011-E284-4D45-B457-416BD1AF94B7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16 2" xfId="43449" xr:uid="{E6406868-48D8-4861-82D6-8A3D49BFB91A}"/>
    <cellStyle name="Vírgula 17" xfId="43445" xr:uid="{E8F50824-5035-4CF0-9F91-3A3911ACADA3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2 4" xfId="43447" xr:uid="{D6BEB4CE-D9E5-466A-B154-A407E0ED8A2B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[Persas_RTA_2022_Cegero.xlsx]Calc_Mercado!Tabela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15170.117999999995</c:v>
                </c:pt>
                <c:pt idx="1">
                  <c:v>15390.894999999999</c:v>
                </c:pt>
                <c:pt idx="2">
                  <c:v>15817.060999999998</c:v>
                </c:pt>
                <c:pt idx="3">
                  <c:v>14163.195000000002</c:v>
                </c:pt>
                <c:pt idx="4">
                  <c:v>15054.136000000002</c:v>
                </c:pt>
                <c:pt idx="5">
                  <c:v>15021.782999999998</c:v>
                </c:pt>
                <c:pt idx="6">
                  <c:v>16341.192999999996</c:v>
                </c:pt>
                <c:pt idx="7">
                  <c:v>14622.200000000003</c:v>
                </c:pt>
                <c:pt idx="8">
                  <c:v>15066.904</c:v>
                </c:pt>
                <c:pt idx="9">
                  <c:v>15136.817999999997</c:v>
                </c:pt>
                <c:pt idx="10">
                  <c:v>15397.915000000001</c:v>
                </c:pt>
                <c:pt idx="11">
                  <c:v>15833.603999999998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9.2698428477659217E-2</c:v>
                </c:pt>
                <c:pt idx="1">
                  <c:v>1.69934392169774E-2</c:v>
                </c:pt>
                <c:pt idx="2">
                  <c:v>3.5108120793783025E-2</c:v>
                </c:pt>
                <c:pt idx="3">
                  <c:v>1.0854993151274493E-2</c:v>
                </c:pt>
                <c:pt idx="4">
                  <c:v>0</c:v>
                </c:pt>
                <c:pt idx="5">
                  <c:v>-5.5999999999999999E-3</c:v>
                </c:pt>
                <c:pt idx="6">
                  <c:v>0.15735461284194208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0.16473758211507775</c:v>
                </c:pt>
                <c:pt idx="1">
                  <c:v>0.43179488597302174</c:v>
                </c:pt>
                <c:pt idx="2">
                  <c:v>0.13832729413602365</c:v>
                </c:pt>
                <c:pt idx="3">
                  <c:v>0</c:v>
                </c:pt>
                <c:pt idx="4">
                  <c:v>0</c:v>
                </c:pt>
                <c:pt idx="5">
                  <c:v>3.261406942517249E-2</c:v>
                </c:pt>
                <c:pt idx="6">
                  <c:v>0.17975822857708793</c:v>
                </c:pt>
                <c:pt idx="7">
                  <c:v>2.4260644898008984E-2</c:v>
                </c:pt>
                <c:pt idx="8">
                  <c:v>5.94019527365909E-2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12252453.986052364</c:v>
                </c:pt>
                <c:pt idx="1">
                  <c:v>12993300.34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31660728.081992824</c:v>
                </c:pt>
                <c:pt idx="1">
                  <c:v>34056834.917027861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9750457.8471730743</c:v>
                </c:pt>
                <c:pt idx="1">
                  <c:v>10910249.227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14585721.795401743</c:v>
                </c:pt>
                <c:pt idx="1">
                  <c:v>20912330.370579544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0.11985499556778149</c:v>
                </c:pt>
                <c:pt idx="1">
                  <c:v>0.31415280884925961</c:v>
                </c:pt>
                <c:pt idx="2">
                  <c:v>0.10064016366341275</c:v>
                </c:pt>
                <c:pt idx="3">
                  <c:v>0.19290304990193075</c:v>
                </c:pt>
                <c:pt idx="4">
                  <c:v>0.27244898201761553</c:v>
                </c:pt>
                <c:pt idx="5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Cegero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340.93</c:v>
                </c:pt>
                <c:pt idx="1">
                  <c:v>374.59</c:v>
                </c:pt>
                <c:pt idx="2">
                  <c:v>366.5</c:v>
                </c:pt>
                <c:pt idx="3">
                  <c:v>409.78999999999996</c:v>
                </c:pt>
                <c:pt idx="4">
                  <c:v>484.14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340.93</c:v>
                </c:pt>
                <c:pt idx="1">
                  <c:v>357.80214238175114</c:v>
                </c:pt>
                <c:pt idx="2">
                  <c:v>404.40326687350444</c:v>
                </c:pt>
                <c:pt idx="3">
                  <c:v>530.23470870500239</c:v>
                </c:pt>
                <c:pt idx="4">
                  <c:v>575.76835740661295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340.93</c:v>
                </c:pt>
                <c:pt idx="1">
                  <c:v>352.6191788290854</c:v>
                </c:pt>
                <c:pt idx="2">
                  <c:v>361.21767324030566</c:v>
                </c:pt>
                <c:pt idx="3">
                  <c:v>396.18272630009341</c:v>
                </c:pt>
                <c:pt idx="4">
                  <c:v>430.75874687534616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Cegero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340.93</c:v>
                </c:pt>
                <c:pt idx="6" formatCode="_(* #,##0.00_);_(* \(#,##0.00\);_(* &quot;-&quot;??_);_(@_)">
                  <c:v>374.59</c:v>
                </c:pt>
                <c:pt idx="7" formatCode="_(* #,##0.00_);_(* \(#,##0.00\);_(* &quot;-&quot;??_);_(@_)">
                  <c:v>366.5</c:v>
                </c:pt>
                <c:pt idx="8" formatCode="_(* #,##0.00_);_(* \(#,##0.00\);_(* &quot;-&quot;??_);_(@_)">
                  <c:v>409.78999999999996</c:v>
                </c:pt>
                <c:pt idx="9" formatCode="_(* #,##0.00_);_(* \(#,##0.00\);_(* &quot;-&quot;??_);_(@_)">
                  <c:v>484.14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340.93</c:v>
                </c:pt>
                <c:pt idx="6">
                  <c:v>357.80214238175114</c:v>
                </c:pt>
                <c:pt idx="7">
                  <c:v>404.40326687350444</c:v>
                </c:pt>
                <c:pt idx="8">
                  <c:v>530.23470870500239</c:v>
                </c:pt>
                <c:pt idx="9">
                  <c:v>575.76835740661295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340.93</c:v>
                </c:pt>
                <c:pt idx="6">
                  <c:v>352.6191788290854</c:v>
                </c:pt>
                <c:pt idx="7">
                  <c:v>361.21767324030566</c:v>
                </c:pt>
                <c:pt idx="8">
                  <c:v>396.18272630009341</c:v>
                </c:pt>
                <c:pt idx="9">
                  <c:v>430.75874687534616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892343</xdr:colOff>
      <xdr:row>76</xdr:row>
      <xdr:rowOff>0</xdr:rowOff>
    </xdr:from>
    <xdr:to>
      <xdr:col>10</xdr:col>
      <xdr:colOff>1190408</xdr:colOff>
      <xdr:row>92</xdr:row>
      <xdr:rowOff>112422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33948" y="16653711"/>
          <a:ext cx="5752381" cy="3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6.714497222223" createdVersion="4" refreshedVersion="8" minRefreshableVersion="3" recordCount="585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91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7-08-01T00:00:00" u="1"/>
        <d v="2018-08-01T00:00:00" u="1"/>
        <d v="2019-08-01T00:00:00" u="1"/>
        <d v="2020-08-01T00:00:00" u="1"/>
        <d v="2021-08-01T00:00:00" u="1"/>
        <d v="2018-07-01T00:00:00" u="1"/>
        <d v="2019-07-01T00:00:00" u="1"/>
        <d v="2020-07-01T00:00:00" u="1"/>
        <d v="2021-07-01T00:00:00" u="1"/>
        <d v="2018-06-01T00:00:00" u="1"/>
        <d v="2019-06-01T00:00:00" u="1"/>
        <d v="2020-06-01T00:00:00" u="1"/>
        <d v="2021-06-01T00:00:00" u="1"/>
        <d v="2018-05-01T00:00:00" u="1"/>
        <d v="2019-05-01T00:00:00" u="1"/>
        <d v="2020-05-01T00:00:00" u="1"/>
        <d v="2021-05-01T00:00:00" u="1"/>
        <d v="2018-04-01T00:00:00" u="1"/>
        <d v="2019-04-01T00:00:00" u="1"/>
        <d v="2020-04-01T00:00:00" u="1"/>
        <d v="2021-04-01T00:00:00" u="1"/>
        <d v="2018-03-01T00:00:00" u="1"/>
        <d v="2019-03-01T00:00:00" u="1"/>
        <d v="2020-03-01T00:00:00" u="1"/>
        <d v="2021-03-01T00:00:00" u="1"/>
        <d v="2017-12-01T00:00:00" u="1"/>
        <d v="2018-02-01T00:00:00" u="1"/>
        <d v="2018-12-01T00:00:00" u="1"/>
        <d v="2019-02-01T00:00:00" u="1"/>
        <d v="2019-12-01T00:00:00" u="1"/>
        <d v="2020-02-01T00:00:00" u="1"/>
        <d v="2020-12-01T00:00:00" u="1"/>
        <d v="2021-02-01T00:00:00" u="1"/>
        <d v="2017-11-01T00:00:00" u="1"/>
        <d v="2018-01-01T00:00:00" u="1"/>
        <d v="2018-11-01T00:00:00" u="1"/>
        <d v="2019-01-01T00:00:00" u="1"/>
        <d v="2019-11-01T00:00:00" u="1"/>
        <d v="2020-01-01T00:00:00" u="1"/>
        <d v="2020-11-01T00:00:00" u="1"/>
        <d v="2021-01-01T00:00:00" u="1"/>
        <d v="2017-10-01T00:00:00" u="1"/>
        <d v="2018-10-01T00:00:00" u="1"/>
        <d v="2019-10-01T00:00:00" u="1"/>
        <d v="2020-10-01T00:00:00" u="1"/>
        <d v="2017-09-01T00:00:00" u="1"/>
        <d v="2018-09-01T00:00:00" u="1"/>
        <d v="2019-09-01T00:00:00" u="1"/>
        <d v="2020-09-01T00:00:00" u="1"/>
      </sharedItems>
    </cacheField>
    <cacheField name="D" numFmtId="4">
      <sharedItems containsSemiMixedTypes="0" containsString="0" containsNumber="1" containsInteger="1" minValue="0" maxValue="22044"/>
    </cacheField>
    <cacheField name="Daj" numFmtId="4">
      <sharedItems containsSemiMixedTypes="0" containsString="0" containsNumber="1" minValue="0" maxValue="22044"/>
    </cacheField>
    <cacheField name="TUSD_E" numFmtId="4">
      <sharedItems containsSemiMixedTypes="0" containsString="0" containsNumber="1" minValue="-3.2709999999999999" maxValue="8572.3619999999992"/>
    </cacheField>
    <cacheField name="TUSD_Eaj" numFmtId="4">
      <sharedItems containsSemiMixedTypes="0" containsString="0" containsNumber="1" minValue="-3.2709999999999999" maxValue="8572.3619999999992"/>
    </cacheField>
    <cacheField name="TE_E" numFmtId="4">
      <sharedItems containsSemiMixedTypes="0" containsString="0" containsNumber="1" minValue="-3.2709999999999999" maxValue="8572.3619999999992"/>
    </cacheField>
    <cacheField name="TE_Eaj" numFmtId="4">
      <sharedItems containsSemiMixedTypes="0" containsString="0" containsNumber="1" minValue="-3.2709999999999999" maxValue="8572.3619999999992"/>
    </cacheField>
    <cacheField name="TUSD/KW" numFmtId="4">
      <sharedItems containsString="0" containsBlank="1" containsNumber="1" minValue="2.7" maxValue="37.64"/>
    </cacheField>
    <cacheField name="TUSD/MWh" numFmtId="4">
      <sharedItems containsString="0" containsBlank="1" containsNumber="1" minValue="78.42" maxValue="984.21"/>
    </cacheField>
    <cacheField name="TE" numFmtId="4">
      <sharedItems containsString="0" containsBlank="1" containsNumber="1" minValue="94.39" maxValue="171.61"/>
    </cacheField>
    <cacheField name="ReceitaD" numFmtId="4">
      <sharedItems containsString="0" containsBlank="1" containsNumber="1" minValue="418.5" maxValue="735824.36"/>
    </cacheField>
    <cacheField name="ReceitaE" numFmtId="4">
      <sharedItems containsString="0" containsBlank="1" containsNumber="1" minValue="-1345.3623" maxValue="2143347.67086"/>
    </cacheField>
    <cacheField name="Total" numFmtId="4">
      <sharedItems containsString="0" containsBlank="1" containsNumber="1" minValue="-1345.3623" maxValue="2420661.19086"/>
    </cacheField>
    <cacheField name="Total com Tar de aplicação" numFmtId="4">
      <sharedItems containsString="0" containsBlank="1" containsNumber="1" minValue="-1340.4230899999998" maxValue="2527508.784479999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97.75582605554774" maxValue="450887.81407665927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74.46203319538253" maxValue="319511.10911431018"/>
    </cacheField>
    <cacheField name="DISTRIBUICAO" numFmtId="4">
      <sharedItems containsString="0" containsBlank="1" containsNumber="1" minValue="-289.85876955692635" maxValue="416246.68040036852"/>
    </cacheField>
    <cacheField name="EnergiaRevenda" numFmtId="4">
      <sharedItems containsString="0" containsBlank="1" containsNumber="1" minValue="-540.93909881235879" maxValue="1417647.7453296576"/>
    </cacheField>
    <cacheField name="ESSERR" numFmtId="4">
      <sharedItems containsString="0" containsBlank="1" containsNumber="1" minValue="-20.395852572445573" maxValue="53451.736945776414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30.577670352909845" maxValue="80135.389600064489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1.2954849354327775" maxValue="2263.6219804573548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52.36842516999436" maxValue="52988.244921110236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containsInteger="1" minValue="0" maxValue="0"/>
    </cacheField>
    <cacheField name="Cofins" numFmtId="4">
      <sharedItems containsSemiMixedTypes="0" containsString="0" containsNumber="1" containsInteger="1" minValue="0" maxValue="0"/>
    </cacheField>
    <cacheField name="ICMS" numFmtId="4">
      <sharedItems containsSemiMixedTypes="0" containsString="0" containsNumber="1" minValue="-517.57000000000005" maxValue="1584615.55"/>
    </cacheField>
    <cacheField name="UC" numFmtId="4">
      <sharedItems containsSemiMixedTypes="0" containsString="0" containsNumber="1" containsInteger="1" minValue="0" maxValue="4730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String="0" containsBlank="1" containsNumber="1" minValue="164.3" maxValue="307.40000000000003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-3.048837600000001" maxValue="1290.7647377999992"/>
    </cacheField>
    <cacheField name="Subs_Rural" numFmtId="4">
      <sharedItems containsString="0" containsBlank="1" containsNumber="1" minValue="-166.29059999999993" maxValue="35156.304149999989"/>
    </cacheField>
    <cacheField name="Subs_Irrigante" numFmtId="4">
      <sharedItems containsString="0" containsBlank="1" containsNumber="1" minValue="-388.69632999999999" maxValue="22407.469194000001"/>
    </cacheField>
    <cacheField name="Subs_BaixaRenda" numFmtId="4">
      <sharedItems containsString="0" containsBlank="1" containsNumber="1" minValue="-6.7569999999999997" maxValue="3473.2331400000003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593.30752398235313" maxValue="1470635.9902507679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340.0133000000001" maxValue="2527508.2544"/>
    </cacheField>
    <cacheField name="FinAj" numFmtId="4">
      <sharedItems containsSemiMixedTypes="0" containsString="0" containsNumber="1" minValue="-62488.06483999989" maxValue="106847.03354000021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86116.274999999994" maxValue="78.569420000000036"/>
    </cacheField>
    <cacheField name="FinPostTE" numFmtId="4">
      <sharedItems containsSemiMixedTypes="0" containsString="0" containsNumber="1" minValue="-73.630209999999963" maxValue="192963.86861999991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57.745066645089537" maxValue="135282.90338711068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7.8564833329044461" maxValue="14388.4239880612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73.64769889360889" maxValue="193009.7020431105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7.1298488442043038" maxValue="7214.2359748418094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61930.682793638611" maxValue="27.162307234051752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9235.0916885627812" maxValue="3.5238811558924894"/>
    </cacheField>
    <cacheField name="finCT_TFSEE" numFmtId="4">
      <sharedItems containsString="0" containsBlank="1" containsNumber="1" minValue="-354.31387809242483" maxValue="0.20277603568364255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417.2101428152564" maxValue="416246.68040036852"/>
    </cacheField>
    <cacheField name="DIST_E" numFmtId="4">
      <sharedItems containsString="0" containsBlank="1" containsNumber="1" minValue="-289.85876955692635" maxValue="139354.18927657566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86116.27500000014" maxValue="78.569420000000036"/>
    </cacheField>
    <cacheField name="Fin_TE" numFmtId="4">
      <sharedItems containsString="0" containsBlank="1" containsNumber="1" minValue="-73.63020999999992" maxValue="192963.86861999985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9990.286409613676" maxValue="62.665902021553535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minValue="-37.711347866919255" maxValue="85982.737119580575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15" maxValue="215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5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208.9939999999999"/>
    <n v="1208.9939999999999"/>
    <n v="1208.9939999999999"/>
    <n v="1208.9939999999999"/>
    <m/>
    <n v="239.69"/>
    <n v="171.61"/>
    <m/>
    <n v="497259.23219999997"/>
    <n v="497259.23219999997"/>
    <n v="495433.65125999996"/>
    <n v="0"/>
    <n v="73092.512126628208"/>
    <n v="0"/>
    <n v="0"/>
    <n v="0"/>
    <n v="64482.895555187497"/>
    <n v="107134.6723453704"/>
    <n v="199936.44904602534"/>
    <n v="7538.5091363409538"/>
    <n v="0"/>
    <n v="0"/>
    <n v="0"/>
    <n v="0"/>
    <n v="11301.809841224667"/>
    <m/>
    <n v="478.82406420929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55.888664008609"/>
    <n v="0"/>
    <n v="0"/>
    <n v="0"/>
    <n v="140822.82999999999"/>
    <n v="4693"/>
    <m/>
    <m/>
    <m/>
    <m/>
    <m/>
    <m/>
    <m/>
    <m/>
    <m/>
    <n v="219292.33771003396"/>
    <m/>
    <m/>
    <m/>
    <m/>
    <m/>
    <m/>
    <m/>
    <m/>
    <m/>
    <m/>
    <m/>
    <m/>
    <n v="495432.01209999999"/>
    <n v="-1827.2501000000047"/>
    <m/>
    <m/>
    <m/>
    <m/>
    <n v="-29040.03588000001"/>
    <n v="27214.454939999989"/>
    <n v="30"/>
    <n v="21343.148610062315"/>
    <n v="0"/>
    <n v="0"/>
    <n v="0"/>
    <n v="0"/>
    <n v="0"/>
    <n v="0"/>
    <n v="0"/>
    <n v="2903.8340600982774"/>
    <n v="0"/>
    <n v="0"/>
    <n v="27220.919008309313"/>
    <n v="0"/>
    <n v="0"/>
    <n v="0"/>
    <n v="2635.2627555945983"/>
    <n v="0"/>
    <n v="-10039.457802545141"/>
    <m/>
    <n v="0"/>
    <n v="0"/>
    <n v="0"/>
    <n v="0"/>
    <n v="-1302.4613800633088"/>
    <n v="-74.948031331491791"/>
    <n v="0"/>
    <n v="0"/>
    <m/>
    <m/>
    <m/>
    <n v="107134.6723453704"/>
    <n v="0"/>
    <n v="0"/>
    <n v="-29040.03588000001"/>
    <n v="27214.454939999996"/>
    <n v="0"/>
    <n v="0"/>
    <n v="-23161.938107198439"/>
    <n v="0"/>
    <n v="0"/>
    <n v="0"/>
    <n v="0"/>
    <n v="0"/>
    <n v="0"/>
    <n v="0"/>
    <n v="0"/>
    <n v="0"/>
    <n v="0"/>
    <n v="0"/>
    <n v="0"/>
    <n v="13938.48771110308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22800000000000001"/>
    <n v="-0.22800000000000001"/>
    <n v="-0.22800000000000001"/>
    <n v="-0.22800000000000001"/>
    <m/>
    <n v="239.69"/>
    <n v="171.61"/>
    <m/>
    <n v="-93.77640000000001"/>
    <n v="-93.77640000000001"/>
    <n v="-93.432119999999998"/>
    <n v="0"/>
    <n v="-13.784264243553924"/>
    <n v="0"/>
    <n v="0"/>
    <n v="0"/>
    <n v="-12.160606410439382"/>
    <n v="-20.204157584524367"/>
    <n v="-37.705323915994441"/>
    <n v="-1.4216613838329535"/>
    <n v="0"/>
    <n v="0"/>
    <n v="0"/>
    <n v="0"/>
    <n v="-2.131369257249601"/>
    <m/>
    <n v="-9.029977538326912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502601463646331"/>
    <n v="0"/>
    <n v="0"/>
    <n v="0"/>
    <n v="24.69"/>
    <n v="0"/>
    <m/>
    <m/>
    <m/>
    <m/>
    <m/>
    <m/>
    <m/>
    <m/>
    <m/>
    <n v="-41.355584062359071"/>
    <m/>
    <m/>
    <m/>
    <m/>
    <m/>
    <m/>
    <m/>
    <m/>
    <m/>
    <m/>
    <m/>
    <m/>
    <n v="-94.2517"/>
    <n v="-0.5052999999999912"/>
    <m/>
    <m/>
    <m/>
    <m/>
    <n v="5.4765600000000028"/>
    <n v="-5.132279999999998"/>
    <n v="30"/>
    <n v="-4.0250306313299973"/>
    <n v="0"/>
    <n v="0"/>
    <n v="0"/>
    <n v="0"/>
    <n v="0"/>
    <n v="0"/>
    <n v="0"/>
    <n v="-0.54762402931892851"/>
    <n v="0"/>
    <n v="0"/>
    <n v="-5.1334990363016857"/>
    <n v="0"/>
    <n v="0"/>
    <n v="0"/>
    <n v="-0.49697509522426797"/>
    <n v="0"/>
    <n v="1.8933066491482098"/>
    <m/>
    <n v="0"/>
    <n v="0"/>
    <n v="0"/>
    <n v="0"/>
    <n v="0.24562669016921035"/>
    <n v="1.4134190197453531E-2"/>
    <n v="0"/>
    <n v="0"/>
    <m/>
    <m/>
    <m/>
    <n v="-20.204157584524367"/>
    <n v="0"/>
    <n v="0"/>
    <n v="5.4765600000000063"/>
    <n v="-5.1322799999999944"/>
    <n v="0"/>
    <n v="0"/>
    <n v="4.3680298565925408"/>
    <n v="0"/>
    <n v="0"/>
    <n v="0"/>
    <n v="0"/>
    <n v="0"/>
    <n v="0"/>
    <n v="0"/>
    <n v="0"/>
    <n v="0"/>
    <n v="0"/>
    <n v="0"/>
    <n v="0"/>
    <n v="-2.628611223985811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1.784"/>
    <n v="1.784"/>
    <n v="1.784"/>
    <n v="1.784"/>
    <m/>
    <n v="239.69"/>
    <n v="171.61"/>
    <m/>
    <n v="733.75919999999996"/>
    <n v="733.75919999999996"/>
    <n v="731.06536000000006"/>
    <n v="0"/>
    <n v="107.85582197587807"/>
    <n v="0"/>
    <n v="0"/>
    <n v="0"/>
    <n v="95.151411562385334"/>
    <n v="158.0886716262784"/>
    <n v="295.02762221988633"/>
    <n v="11.123876792798196"/>
    <n v="0"/>
    <n v="0"/>
    <n v="0"/>
    <n v="0"/>
    <n v="16.677029626900389"/>
    <m/>
    <n v="0.70655613720943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561684654010989"/>
    <n v="0"/>
    <n v="0"/>
    <n v="0"/>
    <n v="409.9"/>
    <n v="7"/>
    <m/>
    <m/>
    <m/>
    <m/>
    <m/>
    <m/>
    <m/>
    <m/>
    <m/>
    <n v="323.58930687389733"/>
    <m/>
    <m/>
    <m/>
    <m/>
    <m/>
    <m/>
    <m/>
    <m/>
    <m/>
    <m/>
    <m/>
    <m/>
    <n v="729.42619999999999"/>
    <n v="-4.3629999999999427"/>
    <m/>
    <m/>
    <m/>
    <m/>
    <n v="-42.851680000000016"/>
    <n v="40.157839999999986"/>
    <n v="30"/>
    <n v="31.494099325845582"/>
    <n v="0"/>
    <n v="0"/>
    <n v="0"/>
    <n v="0"/>
    <n v="0"/>
    <n v="0"/>
    <n v="0"/>
    <n v="4.2849178434428552"/>
    <n v="0"/>
    <n v="0"/>
    <n v="40.167378424395679"/>
    <n v="0"/>
    <n v="0"/>
    <n v="0"/>
    <n v="3.8886121485969056"/>
    <n v="0"/>
    <n v="-14.814294131931618"/>
    <m/>
    <n v="0"/>
    <n v="0"/>
    <n v="0"/>
    <n v="0"/>
    <n v="-1.921921119569614"/>
    <n v="-0.1105938390888469"/>
    <n v="0"/>
    <n v="0"/>
    <m/>
    <m/>
    <m/>
    <n v="158.0886716262784"/>
    <n v="0"/>
    <n v="0"/>
    <n v="-42.851680000000044"/>
    <n v="40.157840000000022"/>
    <n v="0"/>
    <n v="0"/>
    <n v="-34.177917825267969"/>
    <n v="0"/>
    <n v="0"/>
    <n v="0"/>
    <n v="0"/>
    <n v="0"/>
    <n v="0"/>
    <n v="0"/>
    <n v="0"/>
    <n v="0"/>
    <n v="0"/>
    <n v="0"/>
    <n v="0"/>
    <n v="20.5677299280293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6.39"/>
    <n v="6.39"/>
    <n v="6.39"/>
    <n v="6.39"/>
    <m/>
    <n v="158.36000000000001"/>
    <n v="171.61"/>
    <m/>
    <n v="2108.5083"/>
    <n v="2108.5083"/>
    <n v="2158.7975999999999"/>
    <n v="0"/>
    <n v="0"/>
    <n v="0"/>
    <n v="0"/>
    <n v="0"/>
    <n v="340.81699545047212"/>
    <n v="566.24810072416972"/>
    <n v="1056.7413150140546"/>
    <n v="39.843930889002507"/>
    <n v="0"/>
    <n v="0"/>
    <n v="0"/>
    <n v="0"/>
    <n v="0"/>
    <m/>
    <n v="2.5307700206100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.30334357574563"/>
    <n v="0"/>
    <n v="0"/>
    <n v="0"/>
    <n v="89.63"/>
    <n v="0"/>
    <m/>
    <m/>
    <m/>
    <m/>
    <m/>
    <m/>
    <m/>
    <n v="1403.2440000000001"/>
    <m/>
    <n v="1159.0446585898003"/>
    <m/>
    <m/>
    <m/>
    <m/>
    <m/>
    <m/>
    <m/>
    <m/>
    <m/>
    <m/>
    <m/>
    <m/>
    <n v="755.55359999999996"/>
    <n v="17.606400000000008"/>
    <m/>
    <m/>
    <m/>
    <m/>
    <n v="-93.549600000000083"/>
    <n v="143.83889999999994"/>
    <n v="30"/>
    <n v="172.75320075630293"/>
    <n v="0"/>
    <n v="0"/>
    <n v="0"/>
    <n v="0"/>
    <n v="0"/>
    <n v="0"/>
    <n v="0"/>
    <n v="15.347883979596304"/>
    <n v="0"/>
    <n v="0"/>
    <n v="143.87306509635005"/>
    <n v="0"/>
    <n v="0"/>
    <n v="0"/>
    <n v="13.928380958259098"/>
    <n v="0"/>
    <n v="0"/>
    <m/>
    <n v="0"/>
    <n v="0"/>
    <n v="0"/>
    <n v="0"/>
    <n v="0"/>
    <n v="-0.39612927790231556"/>
    <n v="0"/>
    <n v="0"/>
    <m/>
    <m/>
    <m/>
    <n v="566.24810072416972"/>
    <n v="0"/>
    <n v="0"/>
    <n v="-93.549600000000169"/>
    <n v="143.83889999999997"/>
    <n v="0"/>
    <n v="0"/>
    <n v="-122.4197841387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4.516999999999999"/>
    <n v="14.516999999999999"/>
    <n v="14.516999999999999"/>
    <n v="14.516999999999999"/>
    <m/>
    <n v="158.36000000000001"/>
    <n v="171.61"/>
    <m/>
    <n v="4790.1744899999994"/>
    <n v="4790.1744899999994"/>
    <n v="4904.42328"/>
    <n v="0"/>
    <n v="0"/>
    <n v="0"/>
    <n v="0"/>
    <n v="0"/>
    <n v="774.27861079100217"/>
    <n v="1286.4199809409658"/>
    <n v="2400.7376635460146"/>
    <n v="90.518676794311332"/>
    <n v="0"/>
    <n v="0"/>
    <n v="0"/>
    <n v="0"/>
    <n v="0"/>
    <m/>
    <n v="5.7494817510478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41590589813762"/>
    <n v="0"/>
    <n v="0"/>
    <n v="0"/>
    <n v="361.25"/>
    <n v="13"/>
    <m/>
    <m/>
    <m/>
    <m/>
    <m/>
    <m/>
    <m/>
    <n v="1961.8273799999997"/>
    <m/>
    <n v="2633.1535694441523"/>
    <m/>
    <m/>
    <m/>
    <m/>
    <m/>
    <m/>
    <m/>
    <m/>
    <m/>
    <m/>
    <m/>
    <m/>
    <n v="2943.2039999999997"/>
    <n v="69.098339999999553"/>
    <m/>
    <m/>
    <m/>
    <m/>
    <n v="-212.52888000000021"/>
    <n v="326.77766999999983"/>
    <n v="30"/>
    <n v="392.46607439424861"/>
    <n v="0"/>
    <n v="0"/>
    <n v="0"/>
    <n v="0"/>
    <n v="0"/>
    <n v="0"/>
    <n v="0"/>
    <n v="34.867798393082808"/>
    <n v="0"/>
    <n v="0"/>
    <n v="326.8552873245244"/>
    <n v="0"/>
    <n v="0"/>
    <n v="0"/>
    <n v="31.64292744460829"/>
    <n v="0"/>
    <n v="0"/>
    <m/>
    <n v="0"/>
    <n v="0"/>
    <n v="0"/>
    <n v="0"/>
    <n v="0"/>
    <n v="-0.89993876796681072"/>
    <n v="0"/>
    <n v="0"/>
    <m/>
    <m/>
    <m/>
    <n v="1286.4199809409658"/>
    <n v="0"/>
    <n v="0"/>
    <n v="-212.52887999999984"/>
    <n v="326.77766999999994"/>
    <n v="0"/>
    <n v="0"/>
    <n v="-278.1170588954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18.957000000000001"/>
    <n v="18.957000000000001"/>
    <n v="18.957000000000001"/>
    <n v="18.957000000000001"/>
    <m/>
    <n v="158.36000000000001"/>
    <n v="171.61"/>
    <m/>
    <n v="6255.2412900000008"/>
    <n v="6255.2412900000008"/>
    <n v="6404.4328800000003"/>
    <n v="0"/>
    <n v="0"/>
    <n v="0"/>
    <n v="0"/>
    <n v="0"/>
    <n v="1011.0904198364008"/>
    <n v="1679.8693654817037"/>
    <n v="3134.9992345416958"/>
    <n v="118.20366163737411"/>
    <n v="0"/>
    <n v="0"/>
    <n v="0"/>
    <n v="0"/>
    <n v="0"/>
    <m/>
    <n v="7.5079510611431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.49991927471206"/>
    <n v="0"/>
    <n v="0"/>
    <n v="0"/>
    <n v="1389.22"/>
    <n v="92"/>
    <m/>
    <m/>
    <m/>
    <m/>
    <m/>
    <m/>
    <m/>
    <n v="640.36746000000005"/>
    <m/>
    <n v="3438.4991538164077"/>
    <m/>
    <m/>
    <m/>
    <m/>
    <m/>
    <m/>
    <m/>
    <m/>
    <m/>
    <m/>
    <m/>
    <m/>
    <n v="5764.9776000000002"/>
    <n v="135.28730999999971"/>
    <m/>
    <m/>
    <m/>
    <m/>
    <n v="-277.5304800000003"/>
    <n v="426.72206999999986"/>
    <n v="30"/>
    <n v="512.50116224369958"/>
    <n v="0"/>
    <n v="0"/>
    <n v="0"/>
    <n v="0"/>
    <n v="0"/>
    <n v="0"/>
    <n v="0"/>
    <n v="45.532055806135531"/>
    <n v="0"/>
    <n v="0"/>
    <n v="426.82342645250492"/>
    <n v="0"/>
    <n v="0"/>
    <n v="0"/>
    <n v="41.320863509501976"/>
    <n v="0"/>
    <n v="0"/>
    <m/>
    <n v="0"/>
    <n v="0"/>
    <n v="0"/>
    <n v="0"/>
    <n v="0"/>
    <n v="-1.175183524443538"/>
    <n v="0"/>
    <n v="0"/>
    <m/>
    <m/>
    <m/>
    <n v="1679.8693654817037"/>
    <n v="0"/>
    <n v="0"/>
    <n v="-277.53048000000035"/>
    <n v="426.7220699999998"/>
    <n v="0"/>
    <n v="0"/>
    <n v="-363.17869294484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7"/>
    <s v="Refaturamento - 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-5.1999999999999998E-2"/>
    <n v="-5.1999999999999998E-2"/>
    <n v="-5.1999999999999998E-2"/>
    <n v="-5.1999999999999998E-2"/>
    <m/>
    <n v="158.36000000000001"/>
    <n v="171.61"/>
    <m/>
    <n v="-17.158439999999999"/>
    <n v="-17.158439999999999"/>
    <n v="-17.567679999999999"/>
    <n v="0"/>
    <n v="0"/>
    <n v="0"/>
    <n v="0"/>
    <n v="0"/>
    <n v="-2.773471637468631"/>
    <n v="-4.6079657648915227"/>
    <n v="-8.5994598404899598"/>
    <n v="-0.32423856122505951"/>
    <n v="0"/>
    <n v="0"/>
    <n v="0"/>
    <n v="0"/>
    <n v="0"/>
    <m/>
    <n v="-2.059468561372804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3251547197789877"/>
    <n v="0"/>
    <n v="0"/>
    <n v="0"/>
    <n v="-4.97"/>
    <n v="0"/>
    <m/>
    <m/>
    <m/>
    <m/>
    <m/>
    <m/>
    <m/>
    <n v="-1.7565599999999999"/>
    <m/>
    <n v="-9.4319753124678591"/>
    <m/>
    <m/>
    <m/>
    <m/>
    <m/>
    <m/>
    <m/>
    <m/>
    <m/>
    <m/>
    <m/>
    <m/>
    <n v="-15.202999999999999"/>
    <n v="0.20944000000000074"/>
    <m/>
    <m/>
    <m/>
    <m/>
    <n v="0.76128000000000073"/>
    <n v="-1.1705199999999996"/>
    <n v="30"/>
    <n v="-1.4058163441827443"/>
    <n v="0"/>
    <n v="0"/>
    <n v="0"/>
    <n v="0"/>
    <n v="0"/>
    <n v="0"/>
    <n v="0"/>
    <n v="-0.12489670844115874"/>
    <n v="0"/>
    <n v="0"/>
    <n v="-1.170798025823192"/>
    <n v="0"/>
    <n v="0"/>
    <n v="0"/>
    <n v="-0.113345197156412"/>
    <n v="0"/>
    <n v="0"/>
    <m/>
    <n v="0"/>
    <n v="0"/>
    <n v="0"/>
    <n v="0"/>
    <n v="0"/>
    <n v="3.2235872380157148E-3"/>
    <n v="0"/>
    <n v="0"/>
    <m/>
    <m/>
    <m/>
    <n v="-4.6079657648915227"/>
    <n v="0"/>
    <n v="0"/>
    <n v="0.76128000000000196"/>
    <n v="-1.1705199999999998"/>
    <n v="0"/>
    <n v="0"/>
    <n v="0.9962173357140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8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2.157999999999999"/>
    <n v="12.157999999999999"/>
    <n v="12.157999999999999"/>
    <n v="12.157999999999999"/>
    <m/>
    <n v="158.36000000000001"/>
    <n v="171.61"/>
    <m/>
    <n v="4011.7752600000003"/>
    <n v="4011.7752600000003"/>
    <n v="4107.4587199999996"/>
    <n v="0"/>
    <n v="0"/>
    <n v="0"/>
    <n v="0"/>
    <n v="0"/>
    <n v="648.45900323737715"/>
    <n v="1077.377841722137"/>
    <n v="2010.6198603976334"/>
    <n v="75.809469757197576"/>
    <n v="0"/>
    <n v="0"/>
    <n v="0"/>
    <n v="0"/>
    <n v="0"/>
    <m/>
    <n v="4.8151959171481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64852131360178"/>
    <n v="0"/>
    <n v="0"/>
    <n v="0"/>
    <n v="1909.62"/>
    <n v="107"/>
    <m/>
    <m/>
    <m/>
    <m/>
    <m/>
    <m/>
    <m/>
    <m/>
    <m/>
    <n v="2205.2683817112352"/>
    <m/>
    <m/>
    <m/>
    <m/>
    <m/>
    <m/>
    <m/>
    <m/>
    <m/>
    <m/>
    <m/>
    <m/>
    <n v="4108.1343999999999"/>
    <n v="96.329139999999825"/>
    <m/>
    <m/>
    <m/>
    <m/>
    <n v="-177.99312000000018"/>
    <n v="273.67657999999989"/>
    <n v="30"/>
    <n v="328.69067524180491"/>
    <n v="0"/>
    <n v="0"/>
    <n v="0"/>
    <n v="0"/>
    <n v="0"/>
    <n v="0"/>
    <n v="0"/>
    <n v="29.201811177454147"/>
    <n v="0"/>
    <n v="0"/>
    <n v="273.74158457612225"/>
    <n v="0"/>
    <n v="0"/>
    <n v="0"/>
    <n v="26.500978981301103"/>
    <n v="0"/>
    <n v="0"/>
    <m/>
    <n v="0"/>
    <n v="0"/>
    <n v="0"/>
    <n v="0"/>
    <n v="0"/>
    <n v="-0.75369949307298256"/>
    <n v="0"/>
    <n v="0"/>
    <m/>
    <m/>
    <m/>
    <n v="1077.377841722137"/>
    <n v="0"/>
    <n v="0"/>
    <n v="-177.99312000000009"/>
    <n v="273.67657999999983"/>
    <n v="0"/>
    <n v="0"/>
    <n v="-232.92327630022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9"/>
    <s v="Regular"/>
    <s v="Convencional"/>
    <s v="B3"/>
    <s v="Industrial"/>
    <s v="Não se aplica"/>
    <s v="Não se aplica"/>
    <s v="Não se aplica"/>
    <s v="Não se aplica"/>
    <s v="CATIVO"/>
    <x v="0"/>
    <n v="0"/>
    <n v="0"/>
    <n v="246.81100000000001"/>
    <n v="246.81100000000001"/>
    <n v="246.81100000000001"/>
    <n v="246.81100000000001"/>
    <m/>
    <n v="239.69"/>
    <n v="171.61"/>
    <m/>
    <n v="101513.36430000002"/>
    <n v="101513.36430000002"/>
    <n v="101140.67968999999"/>
    <n v="0"/>
    <n v="14921.526500946436"/>
    <n v="0"/>
    <n v="0"/>
    <n v="0"/>
    <n v="13163.90977529366"/>
    <n v="21871.089199973878"/>
    <n v="40816.178513291685"/>
    <n v="1538.9546833561187"/>
    <n v="0"/>
    <n v="0"/>
    <n v="0"/>
    <n v="0"/>
    <n v="2307.2165690834704"/>
    <m/>
    <n v="97.749902904035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51.422618352638"/>
    <n v="0"/>
    <n v="0"/>
    <n v="0"/>
    <n v="41444.57"/>
    <n v="78"/>
    <m/>
    <m/>
    <m/>
    <m/>
    <m/>
    <m/>
    <m/>
    <m/>
    <m/>
    <n v="44767.601131644326"/>
    <m/>
    <m/>
    <m/>
    <m/>
    <m/>
    <m/>
    <m/>
    <m/>
    <m/>
    <m/>
    <m/>
    <m/>
    <n v="101140.2699"/>
    <n v="-373.12440000000061"/>
    <m/>
    <m/>
    <m/>
    <m/>
    <n v="-5928.4002200000023"/>
    <n v="5555.7156099999975"/>
    <n v="30"/>
    <n v="4357.1133120578597"/>
    <n v="0"/>
    <n v="0"/>
    <n v="0"/>
    <n v="0"/>
    <n v="0"/>
    <n v="0"/>
    <n v="0"/>
    <n v="592.80541359751805"/>
    <n v="0"/>
    <n v="0"/>
    <n v="5557.0352221432258"/>
    <n v="0"/>
    <n v="0"/>
    <n v="0"/>
    <n v="537.97772029560019"/>
    <n v="0"/>
    <n v="-2049.5127516794691"/>
    <m/>
    <n v="0"/>
    <n v="0"/>
    <n v="0"/>
    <n v="0"/>
    <n v="-265.89196941821479"/>
    <n v="-15.300322880805709"/>
    <n v="0"/>
    <n v="0"/>
    <m/>
    <m/>
    <m/>
    <n v="21871.089199973878"/>
    <n v="0"/>
    <n v="0"/>
    <n v="-5928.4002200000032"/>
    <n v="5555.715609999992"/>
    <n v="0"/>
    <n v="0"/>
    <n v="-4728.4114777871146"/>
    <n v="0"/>
    <n v="0"/>
    <n v="0"/>
    <n v="0"/>
    <n v="0"/>
    <n v="0"/>
    <n v="0"/>
    <n v="0"/>
    <n v="0"/>
    <n v="0"/>
    <n v="0"/>
    <n v="0"/>
    <n v="2845.483178961238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"/>
    <s v="Refaturamento - Regular"/>
    <s v="Convencional"/>
    <s v="B3"/>
    <s v="Industrial"/>
    <s v="Não se aplica"/>
    <s v="Não se aplica"/>
    <s v="Não se aplica"/>
    <s v="Não se aplica"/>
    <s v="CATIVO"/>
    <x v="0"/>
    <n v="0"/>
    <n v="0"/>
    <n v="0.65"/>
    <n v="0.65"/>
    <n v="0.65"/>
    <n v="0.65"/>
    <m/>
    <n v="239.69"/>
    <n v="171.61"/>
    <m/>
    <n v="267.34500000000003"/>
    <n v="267.34500000000003"/>
    <n v="266.36349999999999"/>
    <n v="0"/>
    <n v="39.297244553991447"/>
    <n v="0"/>
    <n v="0"/>
    <n v="0"/>
    <n v="34.668395468357886"/>
    <n v="57.59957206114403"/>
    <n v="107.4932480061245"/>
    <n v="4.0529820153132441"/>
    <n v="0"/>
    <n v="0"/>
    <n v="0"/>
    <n v="0"/>
    <n v="6.0762720053168451"/>
    <m/>
    <n v="0.257433570171600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06443399723734"/>
    <n v="0"/>
    <n v="0"/>
    <n v="0"/>
    <n v="99.98"/>
    <n v="0"/>
    <m/>
    <m/>
    <m/>
    <m/>
    <m/>
    <m/>
    <m/>
    <m/>
    <m/>
    <n v="117.89969140584824"/>
    <m/>
    <m/>
    <m/>
    <m/>
    <m/>
    <m/>
    <m/>
    <m/>
    <m/>
    <m/>
    <m/>
    <m/>
    <n v="266.36349999999999"/>
    <n v="-1.0115000000000123"/>
    <m/>
    <m/>
    <m/>
    <m/>
    <n v="-15.613000000000007"/>
    <n v="14.631499999999994"/>
    <n v="30"/>
    <n v="11.474868027914511"/>
    <n v="0"/>
    <n v="0"/>
    <n v="0"/>
    <n v="0"/>
    <n v="0"/>
    <n v="0"/>
    <n v="0"/>
    <n v="1.5612088555144936"/>
    <n v="0"/>
    <n v="0"/>
    <n v="14.634975322789899"/>
    <n v="0"/>
    <n v="0"/>
    <n v="0"/>
    <n v="1.4168149644551509"/>
    <n v="0"/>
    <n v="-5.3975847453786656"/>
    <m/>
    <n v="0"/>
    <n v="0"/>
    <n v="0"/>
    <n v="0"/>
    <n v="-0.70025152899116971"/>
    <n v="-4.0294840475196464E-2"/>
    <n v="0"/>
    <n v="0"/>
    <m/>
    <m/>
    <m/>
    <n v="57.59957206114403"/>
    <n v="0"/>
    <n v="0"/>
    <n v="-15.613"/>
    <n v="14.631500000000003"/>
    <n v="0"/>
    <n v="0"/>
    <n v="-12.452716696426108"/>
    <n v="0"/>
    <n v="0"/>
    <n v="0"/>
    <n v="0"/>
    <n v="0"/>
    <n v="0"/>
    <n v="0"/>
    <n v="0"/>
    <n v="0"/>
    <n v="0"/>
    <n v="0"/>
    <n v="0"/>
    <n v="7.49384778767884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1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7.9219999999999997"/>
    <n v="7.9219999999999997"/>
    <n v="7.9219999999999997"/>
    <n v="7.9219999999999997"/>
    <m/>
    <n v="239.69"/>
    <n v="171.61"/>
    <m/>
    <n v="3258.3185999999996"/>
    <n v="3258.3185999999996"/>
    <n v="3246.3563799999997"/>
    <n v="0"/>
    <n v="478.94272516418499"/>
    <n v="0"/>
    <n v="0"/>
    <n v="0"/>
    <n v="422.52773676974027"/>
    <n v="702.0058613359738"/>
    <n v="1310.0946318531051"/>
    <n v="49.396497731248495"/>
    <n v="0"/>
    <n v="0"/>
    <n v="0"/>
    <n v="0"/>
    <n v="74.055733578646226"/>
    <m/>
    <n v="3.1375211429221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.83053017324835"/>
    <n v="0"/>
    <n v="0"/>
    <n v="0"/>
    <n v="1341.97"/>
    <n v="4"/>
    <m/>
    <m/>
    <m/>
    <m/>
    <m/>
    <m/>
    <m/>
    <m/>
    <m/>
    <n v="1436.9251620263535"/>
    <m/>
    <m/>
    <m/>
    <m/>
    <m/>
    <m/>
    <m/>
    <m/>
    <m/>
    <m/>
    <m/>
    <m/>
    <n v="3245.5367999999999"/>
    <n v="-12.811800000000403"/>
    <m/>
    <m/>
    <m/>
    <m/>
    <n v="-190.28644000000008"/>
    <n v="178.32421999999991"/>
    <n v="30"/>
    <n v="139.85216079559768"/>
    <n v="0"/>
    <n v="0"/>
    <n v="0"/>
    <n v="0"/>
    <n v="0"/>
    <n v="0"/>
    <n v="0"/>
    <n v="19.027533159055054"/>
    <n v="0"/>
    <n v="0"/>
    <n v="178.36657616483308"/>
    <n v="0"/>
    <n v="0"/>
    <n v="0"/>
    <n v="17.267704843713375"/>
    <n v="0"/>
    <n v="-65.784102081368985"/>
    <m/>
    <n v="0"/>
    <n v="0"/>
    <n v="0"/>
    <n v="0"/>
    <n v="-8.5344501733354718"/>
    <n v="-0.49110111729924055"/>
    <n v="0"/>
    <n v="0"/>
    <m/>
    <m/>
    <m/>
    <n v="702.0058613359738"/>
    <n v="0"/>
    <n v="0"/>
    <n v="-190.28644000000008"/>
    <n v="178.32421999999997"/>
    <n v="0"/>
    <n v="0"/>
    <n v="-151.76987949090403"/>
    <n v="0"/>
    <n v="0"/>
    <n v="0"/>
    <n v="0"/>
    <n v="0"/>
    <n v="0"/>
    <n v="0"/>
    <n v="0"/>
    <n v="0"/>
    <n v="0"/>
    <n v="0"/>
    <n v="0"/>
    <n v="91.3327110369105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2"/>
    <s v="Regular"/>
    <s v="Azul"/>
    <s v="A4"/>
    <s v="Industrial"/>
    <s v="Não se aplica"/>
    <s v="Não se aplica"/>
    <s v="Não se aplica"/>
    <s v="Ponta"/>
    <s v="CATIVO"/>
    <x v="0"/>
    <n v="19324"/>
    <n v="19324"/>
    <n v="916.72699999999998"/>
    <n v="916.72699999999998"/>
    <n v="916.72699999999998"/>
    <n v="916.72699999999998"/>
    <n v="37.64"/>
    <n v="78.42"/>
    <n v="171.61"/>
    <n v="727355.36"/>
    <n v="229209.25181000002"/>
    <n v="956564.61181000003"/>
    <n v="895540.80408000015"/>
    <n v="0"/>
    <n v="48217.869606422792"/>
    <n v="0"/>
    <n v="0"/>
    <n v="0"/>
    <n v="315833.68318200059"/>
    <n v="411455.87252835033"/>
    <n v="151603.01963832384"/>
    <n v="5716.1200676185608"/>
    <n v="0"/>
    <n v="0"/>
    <n v="0"/>
    <n v="0"/>
    <n v="8569.6655486432228"/>
    <m/>
    <n v="242.07136694399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66.5543057788072"/>
    <n v="0"/>
    <n v="0"/>
    <n v="0"/>
    <n v="0"/>
    <n v="0"/>
    <m/>
    <m/>
    <m/>
    <m/>
    <m/>
    <m/>
    <m/>
    <m/>
    <m/>
    <n v="157269.57394410265"/>
    <m/>
    <m/>
    <m/>
    <m/>
    <m/>
    <m/>
    <m/>
    <m/>
    <m/>
    <m/>
    <m/>
    <m/>
    <n v="895541.59920000006"/>
    <n v="-61023.042610000004"/>
    <m/>
    <m/>
    <m/>
    <m/>
    <n v="-81659.332499999946"/>
    <n v="20635.524769999993"/>
    <n v="30"/>
    <n v="27986.388623720966"/>
    <n v="0"/>
    <n v="0"/>
    <n v="0"/>
    <n v="0"/>
    <n v="0"/>
    <n v="0"/>
    <n v="0"/>
    <n v="14222.819844764192"/>
    <n v="0"/>
    <n v="0"/>
    <n v="20640.426188823418"/>
    <n v="0"/>
    <n v="0"/>
    <n v="0"/>
    <n v="771.48922344959374"/>
    <n v="0"/>
    <n v="-6622.8571594811292"/>
    <m/>
    <n v="0"/>
    <n v="0"/>
    <n v="0"/>
    <n v="0"/>
    <n v="-987.59920525767393"/>
    <n v="-37.890268577322615"/>
    <n v="0"/>
    <n v="0"/>
    <m/>
    <m/>
    <n v="411455.87252835033"/>
    <n v="0"/>
    <n v="0"/>
    <n v="0"/>
    <n v="-81659.332499999902"/>
    <n v="20635.524769999989"/>
    <n v="0"/>
    <n v="0"/>
    <n v="-88954.539596878283"/>
    <n v="0"/>
    <n v="0"/>
    <n v="0"/>
    <n v="0"/>
    <n v="0"/>
    <n v="0"/>
    <n v="0"/>
    <n v="0"/>
    <n v="0"/>
    <n v="0"/>
    <n v="0"/>
    <n v="0"/>
    <n v="9194.97994268344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3"/>
    <s v="Sistema de Compensação"/>
    <s v="Azul"/>
    <s v="A4"/>
    <s v="Industrial"/>
    <s v="Não se aplica"/>
    <s v="Não se aplica"/>
    <s v="Não se aplica"/>
    <s v="Ponta"/>
    <s v="CATIVO"/>
    <x v="0"/>
    <n v="1356"/>
    <n v="1356"/>
    <n v="72.861000000000004"/>
    <n v="72.861000000000004"/>
    <n v="72.861000000000004"/>
    <n v="72.861000000000004"/>
    <n v="37.64"/>
    <n v="78.42"/>
    <n v="171.61"/>
    <n v="51039.840000000004"/>
    <n v="18217.435830000002"/>
    <n v="69257.275830000013"/>
    <n v="65103.199440000004"/>
    <n v="0"/>
    <n v="3832.3319782155113"/>
    <n v="0"/>
    <n v="0"/>
    <n v="0"/>
    <n v="22162.620285385678"/>
    <n v="28872.602108696083"/>
    <n v="12049.331604575751"/>
    <n v="454.31434248882817"/>
    <n v="0"/>
    <n v="0"/>
    <n v="0"/>
    <n v="0"/>
    <n v="681.11269935290875"/>
    <m/>
    <n v="19.239710259331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0.37488071514173"/>
    <n v="0"/>
    <n v="0"/>
    <n v="0"/>
    <n v="0"/>
    <n v="0"/>
    <m/>
    <m/>
    <m/>
    <m/>
    <m/>
    <m/>
    <m/>
    <m/>
    <m/>
    <n v="12499.706485290893"/>
    <m/>
    <m/>
    <m/>
    <m/>
    <m/>
    <m/>
    <m/>
    <m/>
    <m/>
    <m/>
    <m/>
    <m/>
    <n v="65102.934400000006"/>
    <n v="-4154.371429999992"/>
    <m/>
    <m/>
    <m/>
    <m/>
    <n v="-5794.1774999999961"/>
    <n v="1640.1011099999994"/>
    <n v="30"/>
    <n v="2091.9624810400637"/>
    <n v="0"/>
    <n v="0"/>
    <n v="0"/>
    <n v="0"/>
    <n v="0"/>
    <n v="0"/>
    <n v="0"/>
    <n v="998.04097027013995"/>
    <n v="0"/>
    <n v="0"/>
    <n v="1640.490672298145"/>
    <n v="0"/>
    <n v="0"/>
    <n v="0"/>
    <n v="61.317574708458267"/>
    <n v="0"/>
    <n v="-526.38134962421145"/>
    <m/>
    <n v="0"/>
    <n v="0"/>
    <n v="0"/>
    <n v="0"/>
    <n v="-78.493887159731798"/>
    <n v="-3.0114994527403525"/>
    <n v="0"/>
    <n v="0"/>
    <m/>
    <m/>
    <n v="28872.602108696083"/>
    <n v="0"/>
    <n v="0"/>
    <n v="0"/>
    <n v="-5794.1775000000052"/>
    <n v="1640.1011099999996"/>
    <n v="0"/>
    <n v="0"/>
    <n v="-6242.1007914182883"/>
    <n v="0"/>
    <n v="0"/>
    <n v="0"/>
    <n v="0"/>
    <n v="0"/>
    <n v="0"/>
    <n v="0"/>
    <n v="0"/>
    <n v="0"/>
    <n v="0"/>
    <n v="0"/>
    <n v="0"/>
    <n v="730.8123722807974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"/>
    <s v="Regular"/>
    <s v="Azul"/>
    <s v="A4"/>
    <s v="Industrial"/>
    <s v="Não se aplica"/>
    <s v="Não se aplica"/>
    <s v="Não se aplica"/>
    <s v="Fora ponta"/>
    <s v="CATIVO"/>
    <x v="0"/>
    <n v="21775"/>
    <n v="21775"/>
    <n v="8304.3739999999998"/>
    <n v="8304.3739999999998"/>
    <n v="8304.3739999999998"/>
    <n v="8304.3739999999998"/>
    <n v="12.58"/>
    <n v="78.42"/>
    <n v="171.61"/>
    <n v="273929.5"/>
    <n v="2076342.6312200001"/>
    <n v="2350272.1312199999"/>
    <n v="2453363.5349599998"/>
    <n v="0"/>
    <n v="436792.22134285088"/>
    <n v="0"/>
    <n v="0"/>
    <n v="0"/>
    <n v="144312.49342475284"/>
    <n v="129554.91402826378"/>
    <n v="1373329.4367963264"/>
    <n v="51780.736108361394"/>
    <n v="0"/>
    <n v="0"/>
    <n v="0"/>
    <n v="0"/>
    <n v="77630.208089047796"/>
    <m/>
    <n v="2192.85694191852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331.733707524239"/>
    <n v="0"/>
    <n v="0"/>
    <n v="0"/>
    <n v="0"/>
    <n v="0"/>
    <m/>
    <m/>
    <m/>
    <m/>
    <m/>
    <m/>
    <m/>
    <m/>
    <m/>
    <n v="1424661.1705038506"/>
    <m/>
    <m/>
    <m/>
    <m/>
    <m/>
    <m/>
    <m/>
    <m/>
    <m/>
    <m/>
    <m/>
    <m/>
    <n v="2453362.4748000004"/>
    <n v="103090.31358000031"/>
    <m/>
    <m/>
    <m/>
    <m/>
    <n v="-83840.055000000008"/>
    <n v="186931.45873999991"/>
    <n v="30"/>
    <n v="131179.09805048443"/>
    <n v="0"/>
    <n v="0"/>
    <n v="0"/>
    <n v="0"/>
    <n v="0"/>
    <n v="0"/>
    <n v="0"/>
    <n v="6498.7704118505644"/>
    <n v="0"/>
    <n v="0"/>
    <n v="186975.85932495072"/>
    <n v="0"/>
    <n v="0"/>
    <n v="0"/>
    <n v="6988.7055235582666"/>
    <n v="0"/>
    <n v="-59994.614319103654"/>
    <m/>
    <n v="0"/>
    <n v="0"/>
    <n v="0"/>
    <n v="0"/>
    <n v="-8946.385524330035"/>
    <n v="-343.23736644228325"/>
    <n v="0"/>
    <n v="0"/>
    <m/>
    <m/>
    <n v="129554.91402826378"/>
    <n v="0"/>
    <n v="0"/>
    <n v="0"/>
    <n v="-83840.054999999935"/>
    <n v="186931.45873999991"/>
    <n v="0"/>
    <n v="0"/>
    <n v="-28009.073388795703"/>
    <n v="0"/>
    <n v="0"/>
    <n v="0"/>
    <n v="0"/>
    <n v="0"/>
    <n v="0"/>
    <n v="0"/>
    <n v="0"/>
    <n v="0"/>
    <n v="0"/>
    <n v="0"/>
    <n v="0"/>
    <n v="83294.75663588166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5"/>
    <s v="Sistema de Compensação"/>
    <s v="Azul"/>
    <s v="A4"/>
    <s v="Industrial"/>
    <s v="Não se aplica"/>
    <s v="Não se aplica"/>
    <s v="Não se aplica"/>
    <s v="Fora ponta"/>
    <s v="CATIVO"/>
    <x v="0"/>
    <n v="1372"/>
    <n v="1372"/>
    <n v="632.803"/>
    <n v="632.803"/>
    <n v="632.803"/>
    <n v="632.803"/>
    <n v="12.58"/>
    <n v="78.42"/>
    <n v="171.61"/>
    <n v="17259.759999999998"/>
    <n v="158219.73409000001"/>
    <n v="175479.49408999999"/>
    <n v="183619.58711999998"/>
    <n v="0"/>
    <n v="33284.077528591566"/>
    <n v="0"/>
    <n v="0"/>
    <n v="0"/>
    <n v="9092.8468876583647"/>
    <n v="8163.0007828600646"/>
    <n v="104649.30741233785"/>
    <n v="3945.7525819019488"/>
    <n v="0"/>
    <n v="0"/>
    <n v="0"/>
    <n v="0"/>
    <n v="5915.5125442777162"/>
    <m/>
    <n v="167.09826067767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11.5380744319154"/>
    <n v="0"/>
    <n v="0"/>
    <n v="0"/>
    <n v="0"/>
    <n v="0"/>
    <m/>
    <m/>
    <m/>
    <m/>
    <m/>
    <m/>
    <m/>
    <m/>
    <m/>
    <n v="108560.84548676976"/>
    <m/>
    <m/>
    <m/>
    <m/>
    <m/>
    <m/>
    <m/>
    <m/>
    <m/>
    <m/>
    <m/>
    <m/>
    <n v="183618.79200000002"/>
    <n v="8139.267909999995"/>
    <m/>
    <m/>
    <m/>
    <m/>
    <n v="-6104.3024999999998"/>
    <n v="14244.395529999994"/>
    <n v="30"/>
    <n v="9910.2613829480542"/>
    <n v="0"/>
    <n v="0"/>
    <n v="0"/>
    <n v="0"/>
    <n v="0"/>
    <n v="0"/>
    <n v="0"/>
    <n v="409.47476487067615"/>
    <n v="0"/>
    <n v="0"/>
    <n v="14247.778906442181"/>
    <n v="0"/>
    <n v="0"/>
    <n v="0"/>
    <n v="532.54752512642608"/>
    <n v="0"/>
    <n v="-4571.6596970429964"/>
    <m/>
    <n v="0"/>
    <n v="0"/>
    <n v="0"/>
    <n v="0"/>
    <n v="-681.72502815415282"/>
    <n v="-26.155088294045527"/>
    <n v="0"/>
    <n v="0"/>
    <m/>
    <m/>
    <n v="8163.0007828600646"/>
    <n v="0"/>
    <n v="0"/>
    <n v="0"/>
    <n v="-6104.3025000000052"/>
    <n v="14244.395529999994"/>
    <n v="0"/>
    <n v="0"/>
    <n v="-1764.7967251172304"/>
    <n v="0"/>
    <n v="0"/>
    <n v="0"/>
    <n v="0"/>
    <n v="0"/>
    <n v="0"/>
    <n v="0"/>
    <n v="0"/>
    <n v="0"/>
    <n v="0"/>
    <n v="0"/>
    <n v="0"/>
    <n v="6347.15776089273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6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41415.57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7"/>
    <s v="Sistema de Compensação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0994.4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8"/>
    <s v="Regular"/>
    <s v="Verde"/>
    <s v="A4"/>
    <s v="Industrial"/>
    <s v="Não se aplica"/>
    <s v="Não se aplica"/>
    <s v="Não se aplica"/>
    <s v="Ponta"/>
    <s v="CATIVO"/>
    <x v="0"/>
    <n v="0"/>
    <n v="0"/>
    <n v="163.99"/>
    <n v="163.99"/>
    <n v="163.99"/>
    <n v="163.99"/>
    <m/>
    <n v="984.21"/>
    <n v="171.61"/>
    <m/>
    <n v="189542.92180000001"/>
    <n v="189542.92180000001"/>
    <n v="176756.62150000001"/>
    <n v="0"/>
    <n v="8625.5214875936599"/>
    <n v="0"/>
    <n v="0"/>
    <n v="0"/>
    <n v="64564.284038920916"/>
    <n v="83976.346991316386"/>
    <n v="27119.719600806704"/>
    <n v="1022.5361856787983"/>
    <n v="0"/>
    <n v="0"/>
    <n v="0"/>
    <n v="0"/>
    <n v="1532.9966863875529"/>
    <m/>
    <n v="43.303277273545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3.6695445914287"/>
    <n v="0"/>
    <n v="0"/>
    <n v="0"/>
    <n v="0"/>
    <n v="0"/>
    <m/>
    <m/>
    <m/>
    <m/>
    <m/>
    <m/>
    <m/>
    <m/>
    <m/>
    <n v="28133.389145398134"/>
    <m/>
    <m/>
    <m/>
    <m/>
    <m/>
    <m/>
    <m/>
    <m/>
    <m/>
    <m/>
    <m/>
    <m/>
    <n v="176756.62150000001"/>
    <n v="-12786.330300000031"/>
    <m/>
    <m/>
    <m/>
    <m/>
    <n v="-16477.715200000002"/>
    <n v="3691.4148999999989"/>
    <n v="30"/>
    <n v="5369.6145751000731"/>
    <n v="0"/>
    <n v="0"/>
    <n v="0"/>
    <n v="0"/>
    <n v="0"/>
    <n v="0"/>
    <n v="0"/>
    <n v="2907.4991971727868"/>
    <n v="0"/>
    <n v="0"/>
    <n v="3692.2916972066414"/>
    <n v="0"/>
    <n v="0"/>
    <n v="0"/>
    <n v="138.00893587021972"/>
    <n v="0"/>
    <n v="-1184.7391268974397"/>
    <m/>
    <n v="0"/>
    <n v="0"/>
    <n v="0"/>
    <n v="0"/>
    <n v="-176.66807421424915"/>
    <n v="-6.7780540378925593"/>
    <n v="0"/>
    <n v="0"/>
    <m/>
    <m/>
    <m/>
    <n v="83976.346991316386"/>
    <n v="0"/>
    <n v="0"/>
    <n v="-16477.715200000006"/>
    <n v="3691.4148999999998"/>
    <n v="0"/>
    <n v="0"/>
    <n v="-18155.233118286938"/>
    <n v="0"/>
    <n v="0"/>
    <n v="0"/>
    <n v="0"/>
    <n v="0"/>
    <n v="0"/>
    <n v="0"/>
    <n v="0"/>
    <n v="0"/>
    <n v="0"/>
    <n v="0"/>
    <n v="0"/>
    <n v="1644.856932108095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"/>
    <s v="Sistema de Compensação"/>
    <s v="Verde"/>
    <s v="A4"/>
    <s v="Industrial"/>
    <s v="Não se aplica"/>
    <s v="Não se aplica"/>
    <s v="Não se aplica"/>
    <s v="Ponta"/>
    <s v="CATIVO"/>
    <x v="0"/>
    <n v="0"/>
    <n v="0"/>
    <n v="1.3180000000000001"/>
    <n v="1.3180000000000001"/>
    <n v="1.3180000000000001"/>
    <n v="1.3180000000000001"/>
    <m/>
    <n v="984.21"/>
    <n v="171.61"/>
    <m/>
    <n v="1523.3707600000002"/>
    <n v="1523.3707600000002"/>
    <n v="1420.6063000000001"/>
    <n v="0"/>
    <n v="69.323966831199741"/>
    <n v="0"/>
    <n v="0"/>
    <n v="0"/>
    <n v="518.9080209969984"/>
    <n v="674.92423522504419"/>
    <n v="217.96323211088017"/>
    <n v="8.2182004556659329"/>
    <n v="0"/>
    <n v="0"/>
    <n v="0"/>
    <n v="0"/>
    <n v="12.320810004627081"/>
    <m/>
    <n v="0.34803170587555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1469385924233375"/>
    <n v="0"/>
    <n v="0"/>
    <n v="0"/>
    <n v="0"/>
    <n v="0"/>
    <m/>
    <m/>
    <m/>
    <m/>
    <m/>
    <m/>
    <m/>
    <m/>
    <m/>
    <n v="226.11017070330351"/>
    <m/>
    <m/>
    <m/>
    <m/>
    <m/>
    <m/>
    <m/>
    <m/>
    <m/>
    <m/>
    <m/>
    <m/>
    <n v="1422.7619999999999"/>
    <n v="-100.63876000000027"/>
    <m/>
    <m/>
    <m/>
    <m/>
    <n v="-132.43264000000002"/>
    <n v="29.668179999999989"/>
    <n v="30"/>
    <n v="43.155997377778363"/>
    <n v="0"/>
    <n v="0"/>
    <n v="0"/>
    <n v="0"/>
    <n v="0"/>
    <n v="0"/>
    <n v="0"/>
    <n v="23.367790364496159"/>
    <n v="0"/>
    <n v="0"/>
    <n v="29.675226885287799"/>
    <n v="0"/>
    <n v="0"/>
    <n v="0"/>
    <n v="1.1091882278001677"/>
    <n v="0"/>
    <n v="-9.5218377294397669"/>
    <m/>
    <n v="0"/>
    <n v="0"/>
    <n v="0"/>
    <n v="0"/>
    <n v="-1.4198946387851734"/>
    <n v="-5.4475731580842734E-2"/>
    <n v="0"/>
    <n v="0"/>
    <m/>
    <m/>
    <m/>
    <n v="674.92423522504419"/>
    <n v="0"/>
    <n v="0"/>
    <n v="-132.43263999999999"/>
    <n v="29.668179999999978"/>
    <n v="0"/>
    <n v="0"/>
    <n v="-145.91497804684536"/>
    <n v="0"/>
    <n v="0"/>
    <n v="0"/>
    <n v="0"/>
    <n v="0"/>
    <n v="0"/>
    <n v="0"/>
    <n v="0"/>
    <n v="0"/>
    <n v="0"/>
    <n v="0"/>
    <n v="0"/>
    <n v="13.21983923726123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0"/>
    <s v="Regular"/>
    <s v="Verde"/>
    <s v="A4"/>
    <s v="Industrial"/>
    <s v="Não se aplica"/>
    <s v="Não se aplica"/>
    <s v="Não se aplica"/>
    <s v="Fora ponta"/>
    <s v="CATIVO"/>
    <x v="0"/>
    <n v="0"/>
    <n v="0"/>
    <n v="1962.8109999999999"/>
    <n v="1962.8109999999999"/>
    <n v="1962.8109999999999"/>
    <n v="1962.8109999999999"/>
    <m/>
    <n v="78.42"/>
    <n v="171.61"/>
    <m/>
    <n v="490761.63432999997"/>
    <n v="490761.63432999997"/>
    <n v="520223.42744"/>
    <n v="0"/>
    <n v="103239.63934743093"/>
    <n v="0"/>
    <n v="0"/>
    <n v="0"/>
    <n v="0"/>
    <n v="0"/>
    <n v="324598.35324946034"/>
    <n v="12238.827203783083"/>
    <n v="0"/>
    <n v="0"/>
    <n v="0"/>
    <n v="0"/>
    <n v="18348.57466311994"/>
    <m/>
    <n v="518.30080473543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32.701582346768"/>
    <n v="0"/>
    <n v="0"/>
    <n v="0"/>
    <n v="0"/>
    <n v="0"/>
    <m/>
    <m/>
    <m/>
    <m/>
    <m/>
    <m/>
    <m/>
    <m/>
    <m/>
    <n v="336731.05483180709"/>
    <m/>
    <m/>
    <m/>
    <m/>
    <m/>
    <m/>
    <m/>
    <m/>
    <m/>
    <m/>
    <m/>
    <m/>
    <n v="520223.16239999997"/>
    <n v="29461.498069999972"/>
    <m/>
    <m/>
    <m/>
    <m/>
    <n v="-14721.082499999999"/>
    <n v="44182.875609999981"/>
    <n v="30"/>
    <n v="29469.279511341068"/>
    <n v="0"/>
    <n v="0"/>
    <n v="0"/>
    <n v="0"/>
    <n v="0"/>
    <n v="0"/>
    <n v="0"/>
    <n v="0"/>
    <n v="0"/>
    <n v="0"/>
    <n v="44193.370074308594"/>
    <n v="0"/>
    <n v="0"/>
    <n v="0"/>
    <n v="1651.8413160824548"/>
    <n v="0"/>
    <n v="-14180.248737146729"/>
    <m/>
    <n v="0"/>
    <n v="0"/>
    <n v="0"/>
    <n v="0"/>
    <n v="-2114.5560059549043"/>
    <n v="-81.127135948350144"/>
    <n v="0"/>
    <n v="0"/>
    <m/>
    <m/>
    <m/>
    <n v="0"/>
    <n v="0"/>
    <n v="0"/>
    <n v="-14721.08249999999"/>
    <n v="44182.875609999988"/>
    <n v="0"/>
    <n v="0"/>
    <n v="0"/>
    <n v="0"/>
    <n v="0"/>
    <n v="0"/>
    <n v="0"/>
    <n v="0"/>
    <n v="0"/>
    <n v="0"/>
    <n v="0"/>
    <n v="0"/>
    <n v="0"/>
    <n v="0"/>
    <n v="0"/>
    <n v="19687.43996443699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1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35.271000000000001"/>
    <n v="35.271000000000001"/>
    <n v="35.271000000000001"/>
    <n v="35.271000000000001"/>
    <m/>
    <n v="78.42"/>
    <n v="171.61"/>
    <m/>
    <n v="8818.8081300000013"/>
    <n v="8818.8081300000013"/>
    <n v="9348.2258399999992"/>
    <n v="0"/>
    <n v="1855.1787815654368"/>
    <n v="0"/>
    <n v="0"/>
    <n v="0"/>
    <n v="0"/>
    <n v="0"/>
    <n v="5832.9143852677189"/>
    <n v="219.92727486478992"/>
    <n v="0"/>
    <n v="0"/>
    <n v="0"/>
    <n v="0"/>
    <n v="329.71721523004686"/>
    <m/>
    <n v="9.31367700905670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.02023603441845"/>
    <n v="0"/>
    <n v="0"/>
    <n v="0"/>
    <n v="0"/>
    <n v="0"/>
    <m/>
    <m/>
    <m/>
    <m/>
    <m/>
    <m/>
    <m/>
    <m/>
    <m/>
    <n v="6050.9346213021372"/>
    <m/>
    <m/>
    <m/>
    <m/>
    <m/>
    <m/>
    <m/>
    <m/>
    <m/>
    <m/>
    <m/>
    <m/>
    <n v="9347.9608000000007"/>
    <n v="529.12266999999883"/>
    <m/>
    <m/>
    <m/>
    <m/>
    <n v="-264.53250000000003"/>
    <n v="793.95020999999974"/>
    <n v="30"/>
    <n v="529.55223791007302"/>
    <n v="0"/>
    <n v="0"/>
    <n v="0"/>
    <n v="0"/>
    <n v="0"/>
    <n v="0"/>
    <n v="0"/>
    <n v="0"/>
    <n v="0"/>
    <n v="0"/>
    <n v="794.13879170788096"/>
    <n v="0"/>
    <n v="0"/>
    <n v="0"/>
    <n v="29.682987847298733"/>
    <n v="0"/>
    <n v="-254.81391392645673"/>
    <m/>
    <n v="0"/>
    <n v="0"/>
    <n v="0"/>
    <n v="0"/>
    <n v="-37.997802583150133"/>
    <n v="-1.457825135499168"/>
    <n v="0"/>
    <n v="0"/>
    <m/>
    <m/>
    <m/>
    <n v="0"/>
    <n v="0"/>
    <n v="0"/>
    <n v="-264.53250000000025"/>
    <n v="793.95020999999906"/>
    <n v="0"/>
    <n v="0"/>
    <n v="0"/>
    <n v="0"/>
    <n v="0"/>
    <n v="0"/>
    <n v="0"/>
    <n v="0"/>
    <n v="0"/>
    <n v="0"/>
    <n v="0"/>
    <n v="0"/>
    <n v="0"/>
    <n v="0"/>
    <n v="0"/>
    <n v="353.7761378888020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2"/>
    <s v="Regular"/>
    <s v="Verde"/>
    <s v="A4"/>
    <s v="Industrial"/>
    <s v="Não se aplica"/>
    <s v="Não se aplica"/>
    <s v="Não se aplica"/>
    <s v="Não se aplica"/>
    <s v="CATIVO"/>
    <x v="0"/>
    <n v="9593"/>
    <n v="9593"/>
    <n v="0"/>
    <n v="0"/>
    <n v="0"/>
    <n v="0"/>
    <n v="12.58"/>
    <m/>
    <m/>
    <n v="120679.94"/>
    <m/>
    <n v="120679.94"/>
    <n v="111182.87"/>
    <n v="0"/>
    <n v="0"/>
    <n v="0"/>
    <n v="0"/>
    <n v="0"/>
    <n v="63577.026379961149"/>
    <n v="57075.5586807409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44410.69"/>
    <n v="49"/>
    <m/>
    <m/>
    <m/>
    <m/>
    <m/>
    <m/>
    <m/>
    <m/>
    <m/>
    <n v="0"/>
    <m/>
    <m/>
    <m/>
    <m/>
    <m/>
    <m/>
    <m/>
    <m/>
    <m/>
    <m/>
    <m/>
    <m/>
    <n v="111182.87"/>
    <n v="-9497.0999999999913"/>
    <m/>
    <m/>
    <m/>
    <m/>
    <n v="-9497.0700000000015"/>
    <n v="0"/>
    <n v="30"/>
    <n v="2863.0403931518886"/>
    <n v="0"/>
    <n v="0"/>
    <n v="0"/>
    <n v="0"/>
    <m/>
    <m/>
    <m/>
    <n v="2863.04039315188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075.558680740956"/>
    <m/>
    <n v="0"/>
    <n v="0"/>
    <n v="-9497.070000000007"/>
    <m/>
    <n v="0"/>
    <m/>
    <n v="-12339.427830939931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3"/>
    <s v="Sistema de Compensação"/>
    <s v="Verde"/>
    <s v="A4"/>
    <s v="Industrial"/>
    <s v="Não se aplica"/>
    <s v="Não se aplica"/>
    <s v="Não se aplica"/>
    <s v="Não se aplica"/>
    <s v="CATIVO"/>
    <x v="0"/>
    <n v="873"/>
    <n v="873"/>
    <n v="0"/>
    <n v="0"/>
    <n v="0"/>
    <n v="0"/>
    <n v="12.58"/>
    <m/>
    <m/>
    <n v="10982.34"/>
    <m/>
    <n v="10982.34"/>
    <n v="10118.07"/>
    <n v="0"/>
    <n v="0"/>
    <n v="0"/>
    <n v="0"/>
    <n v="0"/>
    <n v="5785.754615835097"/>
    <n v="5194.0959791813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823.17"/>
    <n v="3"/>
    <m/>
    <m/>
    <m/>
    <m/>
    <m/>
    <m/>
    <m/>
    <m/>
    <m/>
    <n v="0"/>
    <m/>
    <m/>
    <m/>
    <m/>
    <m/>
    <m/>
    <m/>
    <m/>
    <m/>
    <m/>
    <m/>
    <m/>
    <n v="10118.07"/>
    <n v="-864.30000000000109"/>
    <m/>
    <m/>
    <m/>
    <m/>
    <n v="-864.27000000000021"/>
    <n v="0"/>
    <n v="30"/>
    <n v="260.54771846363019"/>
    <n v="0"/>
    <n v="0"/>
    <n v="0"/>
    <n v="0"/>
    <m/>
    <m/>
    <m/>
    <n v="260.547718463630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94.0959791813675"/>
    <m/>
    <n v="0"/>
    <n v="0"/>
    <n v="-864.27000000000044"/>
    <m/>
    <n v="0"/>
    <m/>
    <n v="-1122.9355255301325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4"/>
    <s v="Regular"/>
    <s v="Convencional"/>
    <s v="B3"/>
    <s v="Comercial"/>
    <s v="Não se aplica"/>
    <s v="Não se aplica"/>
    <s v="Não se aplica"/>
    <s v="Não se aplica"/>
    <s v="CATIVO"/>
    <x v="0"/>
    <n v="0"/>
    <n v="0"/>
    <n v="485.08499999999998"/>
    <n v="485.08499999999998"/>
    <n v="485.08499999999998"/>
    <n v="485.08499999999998"/>
    <m/>
    <n v="239.69"/>
    <n v="171.61"/>
    <m/>
    <n v="199515.46049999999"/>
    <n v="199515.46049999999"/>
    <n v="198782.98215"/>
    <n v="0"/>
    <n v="29326.92903765068"/>
    <n v="0"/>
    <n v="0"/>
    <n v="0"/>
    <n v="25872.490178105207"/>
    <n v="42985.674481969312"/>
    <n v="80220.5572446937"/>
    <n v="3024.6781244588078"/>
    <n v="0"/>
    <n v="0"/>
    <n v="0"/>
    <n v="0"/>
    <n v="4534.6283164601873"/>
    <m/>
    <n v="192.11871290260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66.1686100845964"/>
    <n v="0"/>
    <n v="0"/>
    <n v="0"/>
    <n v="81666.52"/>
    <n v="549"/>
    <m/>
    <m/>
    <m/>
    <m/>
    <m/>
    <m/>
    <m/>
    <m/>
    <m/>
    <n v="87986.725854778299"/>
    <m/>
    <m/>
    <m/>
    <m/>
    <m/>
    <m/>
    <m/>
    <m/>
    <m/>
    <m/>
    <m/>
    <m/>
    <n v="198785.03109999996"/>
    <n v="-730.45940000002156"/>
    <m/>
    <m/>
    <m/>
    <m/>
    <n v="-11651.741700000004"/>
    <n v="10919.263349999996"/>
    <n v="30"/>
    <n v="8563.5174728013808"/>
    <n v="0"/>
    <n v="0"/>
    <n v="0"/>
    <n v="0"/>
    <n v="0"/>
    <n v="0"/>
    <n v="0"/>
    <n v="1165.106150272688"/>
    <n v="0"/>
    <n v="0"/>
    <n v="10921.856929931586"/>
    <n v="0"/>
    <n v="0"/>
    <n v="0"/>
    <n v="1057.3472108195783"/>
    <n v="0"/>
    <n v="-4028.1344557107877"/>
    <m/>
    <n v="0"/>
    <n v="0"/>
    <n v="0"/>
    <n v="0"/>
    <n v="-522.58694298566434"/>
    <n v="-30.071419526016427"/>
    <n v="0"/>
    <n v="0"/>
    <m/>
    <m/>
    <m/>
    <n v="42985.674481969312"/>
    <n v="0"/>
    <n v="0"/>
    <n v="-11651.741699999999"/>
    <n v="10919.263349999994"/>
    <n v="0"/>
    <n v="0"/>
    <n v="-9293.2708902859376"/>
    <n v="0"/>
    <n v="0"/>
    <n v="0"/>
    <n v="0"/>
    <n v="0"/>
    <n v="0"/>
    <n v="0"/>
    <n v="0"/>
    <n v="0"/>
    <n v="0"/>
    <n v="0"/>
    <n v="0"/>
    <n v="5592.54331397876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5"/>
    <s v="Refaturamento - Regular"/>
    <s v="Convencional"/>
    <s v="B3"/>
    <s v="Comercial"/>
    <s v="Não se aplica"/>
    <s v="Não se aplica"/>
    <s v="Não se aplica"/>
    <s v="Não se aplica"/>
    <s v="CATIVO"/>
    <x v="0"/>
    <n v="0"/>
    <n v="0"/>
    <n v="-3.2709999999999999"/>
    <n v="-3.2709999999999999"/>
    <n v="-3.2709999999999999"/>
    <n v="-3.2709999999999999"/>
    <m/>
    <n v="239.69"/>
    <n v="171.61"/>
    <m/>
    <n v="-1345.3623"/>
    <n v="-1345.3623"/>
    <n v="-1340.4230899999998"/>
    <n v="0"/>
    <n v="-197.75582605554774"/>
    <n v="0"/>
    <n v="0"/>
    <n v="0"/>
    <n v="-174.46203319538253"/>
    <n v="-289.85876955692635"/>
    <n v="-540.93909881235879"/>
    <n v="-20.395852572445573"/>
    <n v="0"/>
    <n v="0"/>
    <n v="0"/>
    <n v="0"/>
    <n v="-30.577670352909845"/>
    <m/>
    <n v="-1.2954849354327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2.36842516999436"/>
    <n v="0"/>
    <n v="0"/>
    <n v="0"/>
    <n v="-503.11"/>
    <n v="0"/>
    <m/>
    <m/>
    <m/>
    <m/>
    <m/>
    <m/>
    <m/>
    <m/>
    <m/>
    <n v="-593.30752398235313"/>
    <m/>
    <m/>
    <m/>
    <m/>
    <m/>
    <m/>
    <m/>
    <m/>
    <m/>
    <m/>
    <m/>
    <m/>
    <n v="-1340.0133000000001"/>
    <n v="5.31899999999996"/>
    <m/>
    <m/>
    <m/>
    <m/>
    <n v="78.569420000000036"/>
    <n v="-73.630209999999963"/>
    <n v="30"/>
    <n v="-57.745066645089537"/>
    <n v="0"/>
    <n v="0"/>
    <n v="0"/>
    <n v="0"/>
    <n v="0"/>
    <n v="0"/>
    <n v="0"/>
    <n v="-7.8564833329044461"/>
    <n v="0"/>
    <n v="0"/>
    <n v="-73.64769889360889"/>
    <n v="0"/>
    <n v="0"/>
    <n v="0"/>
    <n v="-7.1298488442043038"/>
    <n v="0"/>
    <n v="27.162307234051752"/>
    <m/>
    <n v="0"/>
    <n v="0"/>
    <n v="0"/>
    <n v="0"/>
    <n v="3.5238811558924894"/>
    <n v="0.20277603568364255"/>
    <n v="0"/>
    <n v="0"/>
    <m/>
    <m/>
    <m/>
    <n v="-289.85876955692635"/>
    <n v="0"/>
    <n v="0"/>
    <n v="78.569420000000036"/>
    <n v="-73.63020999999992"/>
    <n v="0"/>
    <n v="0"/>
    <n v="62.665902021553535"/>
    <n v="0"/>
    <n v="0"/>
    <n v="0"/>
    <n v="0"/>
    <n v="0"/>
    <n v="0"/>
    <n v="0"/>
    <n v="0"/>
    <n v="0"/>
    <n v="0"/>
    <n v="0"/>
    <n v="0"/>
    <n v="-37.71134786691925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6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2.6150000000000002"/>
    <n v="2.6150000000000002"/>
    <n v="2.6150000000000002"/>
    <n v="2.6150000000000002"/>
    <m/>
    <n v="239.69"/>
    <n v="171.61"/>
    <m/>
    <n v="1075.5495000000001"/>
    <n v="1075.5495000000001"/>
    <n v="1071.60085"/>
    <n v="0"/>
    <n v="158.09583770567329"/>
    <n v="0"/>
    <n v="0"/>
    <n v="0"/>
    <n v="139.4736217688552"/>
    <n v="231.72750913829486"/>
    <n v="432.45360544002398"/>
    <n v="16.305458415452513"/>
    <n v="0"/>
    <n v="0"/>
    <n v="0"/>
    <n v="0"/>
    <n v="24.445309682928539"/>
    <m/>
    <n v="1.0356750553826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865922292734723"/>
    <n v="0"/>
    <n v="0"/>
    <n v="0"/>
    <n v="1650.6"/>
    <n v="8"/>
    <m/>
    <m/>
    <m/>
    <m/>
    <m/>
    <m/>
    <m/>
    <m/>
    <m/>
    <n v="474.31952773275873"/>
    <m/>
    <m/>
    <m/>
    <m/>
    <m/>
    <m/>
    <m/>
    <m/>
    <m/>
    <m/>
    <m/>
    <m/>
    <n v="1073.6497999999999"/>
    <n v="-1.929700000000139"/>
    <m/>
    <m/>
    <m/>
    <m/>
    <n v="-62.812300000000029"/>
    <n v="58.863649999999978"/>
    <n v="30"/>
    <n v="46.16427675845614"/>
    <n v="0"/>
    <n v="0"/>
    <n v="0"/>
    <n v="0"/>
    <n v="0"/>
    <n v="0"/>
    <n v="0"/>
    <n v="6.2808633187236751"/>
    <n v="0"/>
    <n v="0"/>
    <n v="58.877631490916315"/>
    <n v="0"/>
    <n v="0"/>
    <n v="0"/>
    <n v="5.6999555877695656"/>
    <n v="0"/>
    <n v="-21.714898629484935"/>
    <m/>
    <n v="0"/>
    <n v="0"/>
    <n v="0"/>
    <n v="0"/>
    <n v="-2.8171657666337069"/>
    <n v="-0.16210924283482897"/>
    <n v="0"/>
    <n v="0"/>
    <m/>
    <m/>
    <m/>
    <n v="231.72750913829486"/>
    <n v="0"/>
    <n v="0"/>
    <n v="-62.81230000000005"/>
    <n v="58.863650000000007"/>
    <n v="0"/>
    <n v="0"/>
    <n v="-50.098237171006588"/>
    <n v="0"/>
    <n v="0"/>
    <n v="0"/>
    <n v="0"/>
    <n v="0"/>
    <n v="0"/>
    <n v="0"/>
    <n v="0"/>
    <n v="0"/>
    <n v="0"/>
    <n v="0"/>
    <n v="0"/>
    <n v="30.1483260996618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7"/>
    <s v="Regular"/>
    <s v="Verde"/>
    <s v="A4"/>
    <s v="Comercial"/>
    <s v="Não se aplica"/>
    <s v="Não se aplica"/>
    <s v="Não se aplica"/>
    <s v="Ponta"/>
    <s v="CATIVO"/>
    <x v="0"/>
    <n v="0"/>
    <n v="0"/>
    <n v="5.8310000000000004"/>
    <n v="5.8310000000000004"/>
    <n v="5.8310000000000004"/>
    <n v="5.8310000000000004"/>
    <m/>
    <n v="984.21"/>
    <n v="171.61"/>
    <m/>
    <n v="6739.5864200000005"/>
    <n v="6739.5864200000005"/>
    <n v="6284.9433500000014"/>
    <n v="0"/>
    <n v="306.69806570009536"/>
    <n v="0"/>
    <n v="0"/>
    <n v="0"/>
    <n v="2295.7152279465081"/>
    <n v="2985.950846431891"/>
    <n v="964.29712172878772"/>
    <n v="36.35836635583312"/>
    <n v="0"/>
    <n v="0"/>
    <n v="0"/>
    <n v="0"/>
    <n v="54.508833943080809"/>
    <m/>
    <n v="1.5397366289532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043094789393386"/>
    <n v="0"/>
    <n v="0"/>
    <n v="0"/>
    <n v="0"/>
    <n v="0"/>
    <m/>
    <m/>
    <m/>
    <m/>
    <m/>
    <m/>
    <m/>
    <m/>
    <m/>
    <n v="1000.3402165181811"/>
    <m/>
    <m/>
    <m/>
    <m/>
    <m/>
    <m/>
    <m/>
    <m/>
    <m/>
    <m/>
    <m/>
    <m/>
    <n v="6283.8655000000008"/>
    <n v="-455.75092000000041"/>
    <m/>
    <m/>
    <m/>
    <m/>
    <n v="-585.89888000000019"/>
    <n v="131.25580999999997"/>
    <n v="30"/>
    <n v="190.92763331549804"/>
    <n v="0"/>
    <n v="0"/>
    <n v="0"/>
    <n v="0"/>
    <n v="0"/>
    <n v="0"/>
    <n v="0"/>
    <n v="103.38208316796454"/>
    <n v="0"/>
    <n v="0"/>
    <n v="131.28698631875068"/>
    <n v="0"/>
    <n v="0"/>
    <n v="0"/>
    <n v="4.9071901034163687"/>
    <n v="0"/>
    <n v="-42.12582382425137"/>
    <m/>
    <n v="0"/>
    <n v="0"/>
    <n v="0"/>
    <n v="0"/>
    <n v="-6.2817948700730994"/>
    <n v="-0.24100758030947955"/>
    <n v="0"/>
    <n v="0"/>
    <m/>
    <m/>
    <m/>
    <n v="2985.950846431891"/>
    <n v="0"/>
    <n v="0"/>
    <n v="-585.89887999999974"/>
    <n v="131.25580999999988"/>
    <n v="0"/>
    <n v="0"/>
    <n v="-645.54646205702193"/>
    <n v="0"/>
    <n v="0"/>
    <n v="0"/>
    <n v="0"/>
    <n v="0"/>
    <n v="0"/>
    <n v="0"/>
    <n v="0"/>
    <n v="0"/>
    <n v="0"/>
    <n v="0"/>
    <n v="0"/>
    <n v="58.48625386378625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"/>
    <s v="Regular"/>
    <s v="Verde"/>
    <s v="A4"/>
    <s v="Comercial"/>
    <s v="Não se aplica"/>
    <s v="Não se aplica"/>
    <s v="Não se aplica"/>
    <s v="Fora ponta"/>
    <s v="CATIVO"/>
    <x v="0"/>
    <n v="0"/>
    <n v="0"/>
    <n v="64.052000000000007"/>
    <n v="64.052000000000007"/>
    <n v="64.052000000000007"/>
    <n v="64.052000000000007"/>
    <m/>
    <n v="78.42"/>
    <n v="171.61"/>
    <m/>
    <n v="16014.921560000003"/>
    <n v="16014.921560000003"/>
    <n v="16976.342080000002"/>
    <n v="0"/>
    <n v="3368.9975140151787"/>
    <n v="0"/>
    <n v="0"/>
    <n v="0"/>
    <n v="0"/>
    <n v="0"/>
    <n v="10592.550032751211"/>
    <n v="399.38708314591378"/>
    <n v="0"/>
    <n v="0"/>
    <n v="0"/>
    <n v="0"/>
    <n v="598.76519151469938"/>
    <m/>
    <n v="16.9136015362223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5.92390798323186"/>
    <n v="0"/>
    <n v="0"/>
    <n v="0"/>
    <n v="0"/>
    <n v="0"/>
    <m/>
    <m/>
    <m/>
    <m/>
    <m/>
    <m/>
    <m/>
    <m/>
    <m/>
    <n v="10988.473940734442"/>
    <m/>
    <m/>
    <m/>
    <m/>
    <m/>
    <m/>
    <m/>
    <m/>
    <m/>
    <m/>
    <m/>
    <m/>
    <n v="16975.811999999998"/>
    <n v="960.86043999999492"/>
    <m/>
    <m/>
    <m/>
    <m/>
    <n v="-480.39000000000004"/>
    <n v="1441.8105199999995"/>
    <n v="30"/>
    <n v="961.66482216597251"/>
    <n v="0"/>
    <n v="0"/>
    <n v="0"/>
    <n v="0"/>
    <n v="0"/>
    <n v="0"/>
    <n v="0"/>
    <n v="0"/>
    <n v="0"/>
    <n v="0"/>
    <n v="1442.1529836543668"/>
    <n v="0"/>
    <n v="0"/>
    <n v="0"/>
    <n v="53.904191477281017"/>
    <n v="0"/>
    <n v="-462.74108516394199"/>
    <m/>
    <n v="0"/>
    <n v="0"/>
    <n v="0"/>
    <n v="0"/>
    <n v="-69.003862976834512"/>
    <n v="-2.6474048248984339"/>
    <n v="0"/>
    <n v="0"/>
    <m/>
    <m/>
    <m/>
    <n v="0"/>
    <n v="0"/>
    <n v="0"/>
    <n v="-480.39000000000033"/>
    <n v="1441.8105200000009"/>
    <n v="0"/>
    <n v="0"/>
    <n v="0"/>
    <n v="0"/>
    <n v="0"/>
    <n v="0"/>
    <n v="0"/>
    <n v="0"/>
    <n v="0"/>
    <n v="0"/>
    <n v="0"/>
    <n v="0"/>
    <n v="0"/>
    <n v="0"/>
    <n v="0"/>
    <n v="642.456102295187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9"/>
    <s v="Regular"/>
    <s v="Verde"/>
    <s v="A4"/>
    <s v="Comercial"/>
    <s v="Não se aplica"/>
    <s v="Não se aplica"/>
    <s v="Não se aplica"/>
    <s v="Não se aplica"/>
    <s v="CATIVO"/>
    <x v="0"/>
    <n v="393"/>
    <n v="393"/>
    <n v="0"/>
    <n v="0"/>
    <n v="0"/>
    <n v="0"/>
    <n v="12.58"/>
    <m/>
    <m/>
    <n v="4943.9399999999996"/>
    <m/>
    <n v="4943.9399999999996"/>
    <n v="4554.87"/>
    <n v="0"/>
    <n v="0"/>
    <n v="0"/>
    <n v="0"/>
    <n v="0"/>
    <n v="2604.5836930391674"/>
    <n v="2338.23564698542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663.39"/>
    <n v="5"/>
    <m/>
    <m/>
    <m/>
    <m/>
    <m/>
    <m/>
    <m/>
    <m/>
    <m/>
    <n v="0"/>
    <m/>
    <m/>
    <m/>
    <m/>
    <m/>
    <m/>
    <m/>
    <m/>
    <m/>
    <m/>
    <m/>
    <m/>
    <n v="4554.87"/>
    <n v="-389.10000000000036"/>
    <m/>
    <m/>
    <m/>
    <m/>
    <n v="-389.07000000000011"/>
    <n v="0"/>
    <n v="30"/>
    <n v="117.29124095785392"/>
    <n v="0"/>
    <n v="0"/>
    <n v="0"/>
    <n v="0"/>
    <m/>
    <m/>
    <m/>
    <n v="117.291240957853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38.2356469854267"/>
    <m/>
    <n v="0"/>
    <n v="0"/>
    <n v="-389.06999999999971"/>
    <m/>
    <n v="0"/>
    <m/>
    <n v="-505.51393073693271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0"/>
    <s v="Regular"/>
    <s v="Convencional"/>
    <s v="B2"/>
    <s v="Rural"/>
    <s v="Não se aplica"/>
    <s v="Não se aplica"/>
    <s v="Não se aplica"/>
    <s v="Não se aplica"/>
    <s v="CATIVO"/>
    <x v="0"/>
    <n v="0"/>
    <n v="0"/>
    <n v="547.06799999999998"/>
    <n v="547.06799999999998"/>
    <n v="547.06799999999998"/>
    <n v="547.06799999999998"/>
    <m/>
    <n v="239.69"/>
    <n v="171.61"/>
    <m/>
    <n v="225009.06839999999"/>
    <n v="225009.06839999999"/>
    <n v="224182.99571999998"/>
    <n v="0"/>
    <n v="33074.253821019993"/>
    <n v="0"/>
    <n v="0"/>
    <n v="0"/>
    <n v="29178.415033974787"/>
    <n v="48478.281058993758"/>
    <n v="90470.948000330027"/>
    <n v="3411.1642540821322"/>
    <n v="0"/>
    <n v="0"/>
    <n v="0"/>
    <n v="0"/>
    <n v="5114.0522667764244"/>
    <m/>
    <n v="216.667182102518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58.5110427693289"/>
    <n v="0"/>
    <n v="0"/>
    <n v="0"/>
    <n v="65650.559999999998"/>
    <n v="739"/>
    <m/>
    <m/>
    <m/>
    <m/>
    <m/>
    <n v="26899.333559999992"/>
    <m/>
    <m/>
    <m/>
    <n v="99229.459043099356"/>
    <m/>
    <m/>
    <m/>
    <m/>
    <m/>
    <m/>
    <m/>
    <m/>
    <m/>
    <m/>
    <m/>
    <m/>
    <n v="197284.38340000002"/>
    <n v="-726.90919999996549"/>
    <m/>
    <m/>
    <m/>
    <m/>
    <n v="-13140.573360000006"/>
    <n v="12314.500679999996"/>
    <n v="30"/>
    <n v="9657.7432343002292"/>
    <n v="0"/>
    <n v="0"/>
    <n v="0"/>
    <n v="0"/>
    <n v="0"/>
    <n v="0"/>
    <n v="0"/>
    <n v="1313.98062487477"/>
    <n v="0"/>
    <n v="0"/>
    <n v="12317.425661366186"/>
    <n v="0"/>
    <n v="0"/>
    <n v="0"/>
    <n v="1192.4525061146924"/>
    <n v="0"/>
    <n v="-4542.8398330535711"/>
    <m/>
    <n v="0"/>
    <n v="0"/>
    <n v="0"/>
    <n v="0"/>
    <n v="-589.36185148021832"/>
    <n v="-33.913873521668876"/>
    <n v="0"/>
    <n v="0"/>
    <m/>
    <m/>
    <m/>
    <n v="48478.281058993758"/>
    <n v="0"/>
    <n v="0"/>
    <n v="-13140.573360000009"/>
    <n v="12314.500679999983"/>
    <n v="0"/>
    <n v="0"/>
    <n v="-10480.742796431441"/>
    <n v="0"/>
    <n v="0"/>
    <n v="0"/>
    <n v="0"/>
    <n v="0"/>
    <n v="0"/>
    <n v="0"/>
    <n v="0"/>
    <n v="0"/>
    <n v="0"/>
    <n v="0"/>
    <n v="0"/>
    <n v="6307.145110015219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1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0.18"/>
    <n v="-0.18"/>
    <n v="-0.18"/>
    <n v="-0.18"/>
    <m/>
    <n v="239.69"/>
    <n v="171.61"/>
    <m/>
    <n v="-74.033999999999992"/>
    <n v="-74.033999999999992"/>
    <n v="-73.762200000000007"/>
    <n v="0"/>
    <n v="-10.882313876489938"/>
    <n v="0"/>
    <n v="0"/>
    <n v="0"/>
    <n v="-9.6004787450837217"/>
    <n v="-15.9506507246245"/>
    <n v="-29.767360986311399"/>
    <n v="-1.1223642503944369"/>
    <n v="0"/>
    <n v="0"/>
    <n v="0"/>
    <n v="0"/>
    <n v="-1.6826599399338955"/>
    <m/>
    <n v="-7.128929635521245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8817843260773417"/>
    <n v="0"/>
    <n v="0"/>
    <n v="0"/>
    <n v="-18.13"/>
    <n v="0"/>
    <m/>
    <m/>
    <m/>
    <m/>
    <m/>
    <n v="-8.8505999999999982"/>
    <m/>
    <m/>
    <m/>
    <n v="-32.64914531238874"/>
    <m/>
    <m/>
    <m/>
    <m/>
    <m/>
    <m/>
    <m/>
    <m/>
    <m/>
    <m/>
    <m/>
    <m/>
    <n v="-64.911599999999993"/>
    <n v="0.20940000000000225"/>
    <m/>
    <m/>
    <m/>
    <m/>
    <n v="4.3236000000000017"/>
    <n v="-4.0517999999999983"/>
    <n v="30"/>
    <n v="-3.1776557615763394"/>
    <n v="0"/>
    <n v="0"/>
    <n v="0"/>
    <n v="0"/>
    <n v="0"/>
    <n v="0"/>
    <n v="0"/>
    <n v="-0.43233475998862758"/>
    <n v="0"/>
    <n v="0"/>
    <n v="-4.0527623970802829"/>
    <n v="0"/>
    <n v="0"/>
    <n v="0"/>
    <n v="-0.39234875938758007"/>
    <n v="0"/>
    <n v="1.4947157756433231"/>
    <m/>
    <n v="0"/>
    <n v="0"/>
    <n v="0"/>
    <n v="0"/>
    <n v="0.19391580802832409"/>
    <n v="1.115857120851594E-2"/>
    <n v="0"/>
    <n v="0"/>
    <m/>
    <m/>
    <m/>
    <n v="-15.9506507246245"/>
    <n v="0"/>
    <n v="0"/>
    <n v="4.323599999999999"/>
    <n v="-4.0518000000000001"/>
    <n v="0"/>
    <n v="0"/>
    <n v="3.4484446236256918"/>
    <n v="0"/>
    <n v="0"/>
    <n v="0"/>
    <n v="0"/>
    <n v="0"/>
    <n v="0"/>
    <n v="0"/>
    <n v="0"/>
    <n v="0"/>
    <n v="0"/>
    <n v="0"/>
    <n v="0"/>
    <n v="-2.07521938735721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2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0.14"/>
    <n v="10.14"/>
    <n v="10.14"/>
    <n v="10.14"/>
    <m/>
    <n v="239.69"/>
    <n v="171.61"/>
    <m/>
    <n v="4170.5820000000003"/>
    <n v="4170.5820000000003"/>
    <n v="4155.2705999999998"/>
    <n v="0"/>
    <n v="613.0370150422666"/>
    <n v="0"/>
    <n v="0"/>
    <n v="0"/>
    <n v="540.82696930638303"/>
    <n v="898.55332415384692"/>
    <n v="1676.8946688955423"/>
    <n v="63.226519438886612"/>
    <n v="0"/>
    <n v="0"/>
    <n v="0"/>
    <n v="0"/>
    <n v="94.789843282942783"/>
    <m/>
    <n v="4.0159636946769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.34051703569028"/>
    <n v="0"/>
    <n v="0"/>
    <n v="0"/>
    <n v="2072.56"/>
    <n v="4"/>
    <m/>
    <m/>
    <m/>
    <m/>
    <m/>
    <n v="498.58379999999988"/>
    <m/>
    <m/>
    <m/>
    <n v="1839.2351859312325"/>
    <m/>
    <m/>
    <m/>
    <m/>
    <m/>
    <m/>
    <m/>
    <m/>
    <m/>
    <m/>
    <m/>
    <m/>
    <n v="3656.6868000000004"/>
    <n v="-13.516200000000936"/>
    <m/>
    <m/>
    <m/>
    <m/>
    <n v="-243.56280000000012"/>
    <n v="228.25139999999993"/>
    <n v="30"/>
    <n v="179.00794123546575"/>
    <n v="0"/>
    <n v="0"/>
    <n v="0"/>
    <n v="0"/>
    <n v="0"/>
    <n v="0"/>
    <n v="0"/>
    <n v="24.354858146026118"/>
    <n v="0"/>
    <n v="0"/>
    <n v="228.30561503552235"/>
    <n v="0"/>
    <n v="0"/>
    <n v="0"/>
    <n v="22.102313445500329"/>
    <n v="0"/>
    <n v="-84.202322027907258"/>
    <m/>
    <n v="0"/>
    <n v="0"/>
    <n v="0"/>
    <n v="0"/>
    <n v="-10.923923852262249"/>
    <n v="-0.62859951141306469"/>
    <n v="0"/>
    <n v="0"/>
    <m/>
    <m/>
    <m/>
    <n v="898.55332415384692"/>
    <n v="0"/>
    <n v="0"/>
    <n v="-243.56280000000015"/>
    <n v="228.2514000000001"/>
    <n v="0"/>
    <n v="0"/>
    <n v="-194.26238046424726"/>
    <n v="0"/>
    <n v="0"/>
    <n v="0"/>
    <n v="0"/>
    <n v="0"/>
    <n v="0"/>
    <n v="0"/>
    <n v="0"/>
    <n v="0"/>
    <n v="0"/>
    <n v="0"/>
    <n v="0"/>
    <n v="116.9040254877900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"/>
    <s v="Regular"/>
    <s v="Verde"/>
    <s v="A4"/>
    <s v="Rural"/>
    <s v="Não se aplica"/>
    <s v="Não se aplica"/>
    <s v="Não se aplica"/>
    <s v="Ponta"/>
    <s v="CATIVO"/>
    <x v="0"/>
    <n v="0"/>
    <n v="0"/>
    <n v="9.7829999999999995"/>
    <n v="9.3916799999999991"/>
    <n v="9.7829999999999995"/>
    <n v="9.3916799999999991"/>
    <m/>
    <n v="984.21"/>
    <n v="171.61"/>
    <m/>
    <n v="11307.387060000001"/>
    <n v="11307.387060000001"/>
    <n v="10544.60655"/>
    <n v="0"/>
    <n v="514.56477049288844"/>
    <n v="0"/>
    <n v="0"/>
    <n v="0"/>
    <n v="3851.6518736067032"/>
    <n v="5009.6993878654066"/>
    <n v="1617.8560696060247"/>
    <n v="61.000497008937643"/>
    <n v="0"/>
    <n v="0"/>
    <n v="0"/>
    <n v="0"/>
    <n v="91.452567735407214"/>
    <m/>
    <n v="2.58330362563017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471547989133157"/>
    <n v="0"/>
    <n v="0"/>
    <n v="0"/>
    <n v="0"/>
    <n v="0"/>
    <m/>
    <m/>
    <m/>
    <m/>
    <m/>
    <n v="421.78426200000035"/>
    <m/>
    <m/>
    <m/>
    <n v="1678.3276175951578"/>
    <m/>
    <m/>
    <m/>
    <m/>
    <m/>
    <m/>
    <m/>
    <m/>
    <m/>
    <m/>
    <m/>
    <m/>
    <n v="10121.011500000001"/>
    <n v="-734.1100776000003"/>
    <m/>
    <m/>
    <m/>
    <m/>
    <n v="-982.99584000000016"/>
    <n v="220.21532999999991"/>
    <n v="30"/>
    <n v="320.33013835114343"/>
    <n v="0"/>
    <n v="0"/>
    <n v="0"/>
    <n v="0"/>
    <n v="0"/>
    <n v="0"/>
    <n v="0"/>
    <n v="173.4499947920076"/>
    <n v="0"/>
    <n v="0"/>
    <n v="220.26763628131312"/>
    <n v="0"/>
    <n v="0"/>
    <n v="0"/>
    <n v="8.2330716483831878"/>
    <n v="0"/>
    <n v="-70.676888093406092"/>
    <m/>
    <n v="0"/>
    <n v="0"/>
    <n v="0"/>
    <n v="0"/>
    <n v="-10.539324166339412"/>
    <n v="-0.40435211081592115"/>
    <n v="0"/>
    <n v="0"/>
    <m/>
    <m/>
    <m/>
    <n v="5009.6993878654066"/>
    <n v="0"/>
    <n v="0"/>
    <n v="-982.99583999999959"/>
    <n v="220.21532999999977"/>
    <n v="0"/>
    <n v="0"/>
    <n v="-1083.0699774144823"/>
    <n v="0"/>
    <n v="0"/>
    <n v="0"/>
    <n v="0"/>
    <n v="0"/>
    <n v="0"/>
    <n v="0"/>
    <n v="0"/>
    <n v="0"/>
    <n v="0"/>
    <n v="0"/>
    <n v="0"/>
    <n v="98.12571112149217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4"/>
    <s v="Regular"/>
    <s v="Verde"/>
    <s v="A4"/>
    <s v="Rural"/>
    <s v="Não se aplica"/>
    <s v="Não se aplica"/>
    <s v="Não se aplica"/>
    <s v="Fora ponta"/>
    <s v="CATIVO"/>
    <x v="0"/>
    <n v="0"/>
    <n v="0"/>
    <n v="169.57400000000001"/>
    <n v="162.79104000000001"/>
    <n v="169.57400000000001"/>
    <n v="162.79104000000001"/>
    <m/>
    <n v="78.42"/>
    <n v="171.61"/>
    <m/>
    <n v="42398.587220000009"/>
    <n v="42398.587220000009"/>
    <n v="44943.892960000005"/>
    <n v="0"/>
    <n v="8919.2278842442065"/>
    <n v="0"/>
    <n v="0"/>
    <n v="0"/>
    <n v="0"/>
    <n v="0"/>
    <n v="28043.169288293167"/>
    <n v="1057.3544188688124"/>
    <n v="0"/>
    <n v="0"/>
    <n v="0"/>
    <n v="0"/>
    <n v="1585.1965369686134"/>
    <m/>
    <n v="44.777790965206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8.1858610558384"/>
    <n v="0"/>
    <n v="0"/>
    <n v="0"/>
    <n v="0"/>
    <n v="0"/>
    <m/>
    <m/>
    <m/>
    <m/>
    <m/>
    <n v="1797.7557184000007"/>
    <m/>
    <m/>
    <m/>
    <n v="29091.355149349005"/>
    <m/>
    <m/>
    <m/>
    <m/>
    <m/>
    <m/>
    <m/>
    <m/>
    <m/>
    <m/>
    <m/>
    <m/>
    <n v="43145.861600000004"/>
    <n v="2443.1878687999997"/>
    <m/>
    <m/>
    <m/>
    <m/>
    <n v="-1271.8050000000001"/>
    <n v="3817.1107399999987"/>
    <n v="30"/>
    <n v="2545.952515986588"/>
    <n v="0"/>
    <n v="0"/>
    <n v="0"/>
    <n v="0"/>
    <n v="0"/>
    <n v="0"/>
    <n v="0"/>
    <n v="0"/>
    <n v="0"/>
    <n v="0"/>
    <n v="3818.017392902726"/>
    <n v="0"/>
    <n v="0"/>
    <n v="0"/>
    <n v="142.70825837707571"/>
    <n v="0"/>
    <n v="-1225.0805092048704"/>
    <m/>
    <n v="0"/>
    <n v="0"/>
    <n v="0"/>
    <n v="0"/>
    <n v="-182.6837735033057"/>
    <n v="-7.0088525850453891"/>
    <n v="0"/>
    <n v="0"/>
    <m/>
    <m/>
    <m/>
    <n v="0"/>
    <n v="0"/>
    <n v="0"/>
    <n v="-1271.8050000000003"/>
    <n v="3817.1107400000001"/>
    <n v="0"/>
    <n v="0"/>
    <n v="0"/>
    <n v="0"/>
    <n v="0"/>
    <n v="0"/>
    <n v="0"/>
    <n v="0"/>
    <n v="0"/>
    <n v="0"/>
    <n v="0"/>
    <n v="0"/>
    <n v="0"/>
    <n v="0"/>
    <n v="0"/>
    <n v="1700.865719893275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5"/>
    <s v="Regular"/>
    <s v="Verde"/>
    <s v="A4"/>
    <s v="Rural"/>
    <s v="Não se aplica"/>
    <s v="Não se aplica"/>
    <s v="Não se aplica"/>
    <s v="Não se aplica"/>
    <s v="CATIVO"/>
    <x v="0"/>
    <n v="1217"/>
    <n v="1168.32"/>
    <n v="0"/>
    <n v="0"/>
    <n v="0"/>
    <n v="0"/>
    <n v="12.58"/>
    <m/>
    <m/>
    <n v="15309.86"/>
    <m/>
    <n v="15309.86"/>
    <n v="14105.03"/>
    <n v="0"/>
    <n v="0"/>
    <n v="0"/>
    <n v="0"/>
    <n v="0"/>
    <n v="8065.5937771721792"/>
    <n v="7240.79588392179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9575.45"/>
    <n v="11"/>
    <m/>
    <m/>
    <m/>
    <m/>
    <m/>
    <n v="564.20120000000077"/>
    <m/>
    <m/>
    <m/>
    <n v="0"/>
    <m/>
    <m/>
    <m/>
    <m/>
    <m/>
    <m/>
    <m/>
    <m/>
    <m/>
    <m/>
    <m/>
    <m/>
    <n v="13540.828799999999"/>
    <n v="-1156.6668000000009"/>
    <m/>
    <m/>
    <m/>
    <m/>
    <n v="-1204.8300000000002"/>
    <n v="0"/>
    <n v="30"/>
    <n v="363.21486067610294"/>
    <n v="0"/>
    <n v="0"/>
    <n v="0"/>
    <n v="0"/>
    <m/>
    <m/>
    <m/>
    <n v="363.214860676102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40.7958839217918"/>
    <m/>
    <n v="0"/>
    <n v="0"/>
    <n v="-1204.83"/>
    <m/>
    <n v="0"/>
    <m/>
    <n v="-1565.4210017985924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6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35.470999999999997"/>
    <n v="35.470999999999997"/>
    <n v="35.470999999999997"/>
    <n v="35.470999999999997"/>
    <m/>
    <n v="239.69"/>
    <n v="171.61"/>
    <m/>
    <n v="14589.222299999998"/>
    <n v="14589.222299999998"/>
    <n v="14535.661089999998"/>
    <n v="0"/>
    <n v="2144.4808639609701"/>
    <n v="0"/>
    <n v="0"/>
    <n v="0"/>
    <n v="1891.8810087048039"/>
    <n v="3143.2529547397535"/>
    <n v="5865.9892308080643"/>
    <n v="221.17434625411704"/>
    <n v="0"/>
    <n v="0"/>
    <n v="0"/>
    <n v="0"/>
    <n v="331.5868373855289"/>
    <m/>
    <n v="14.04834795008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7.88762127938548"/>
    <n v="0"/>
    <n v="0"/>
    <n v="0"/>
    <n v="5373.08"/>
    <n v="45"/>
    <m/>
    <m/>
    <m/>
    <m/>
    <m/>
    <m/>
    <m/>
    <m/>
    <m/>
    <n v="6433.8768520874501"/>
    <m/>
    <m/>
    <m/>
    <m/>
    <m/>
    <m/>
    <m/>
    <m/>
    <m/>
    <m/>
    <m/>
    <m/>
    <n v="14535.2513"/>
    <n v="-54.000999999998385"/>
    <m/>
    <m/>
    <m/>
    <m/>
    <n v="-852.01342000000022"/>
    <n v="798.45220999999958"/>
    <n v="30"/>
    <n v="626.19237510485618"/>
    <n v="0"/>
    <n v="0"/>
    <n v="0"/>
    <n v="0"/>
    <n v="0"/>
    <n v="0"/>
    <n v="0"/>
    <n v="85.196368175314547"/>
    <n v="0"/>
    <n v="0"/>
    <n v="798.64186103796965"/>
    <n v="0"/>
    <n v="0"/>
    <n v="0"/>
    <n v="77.316682467982446"/>
    <n v="0"/>
    <n v="-294.55035154357961"/>
    <m/>
    <n v="0"/>
    <n v="0"/>
    <n v="0"/>
    <n v="0"/>
    <n v="-38.213264592070459"/>
    <n v="-2.1989204407626062"/>
    <n v="0"/>
    <n v="0"/>
    <m/>
    <m/>
    <m/>
    <n v="3143.2529547397535"/>
    <n v="0"/>
    <n v="0"/>
    <n v="-852.01341999999931"/>
    <n v="798.45220999999947"/>
    <n v="0"/>
    <n v="0"/>
    <n v="-679.55432913681625"/>
    <n v="0"/>
    <n v="0"/>
    <n v="0"/>
    <n v="0"/>
    <n v="0"/>
    <n v="0"/>
    <n v="0"/>
    <n v="0"/>
    <n v="0"/>
    <n v="0"/>
    <n v="0"/>
    <n v="0"/>
    <n v="408.9450382719330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7"/>
    <s v="Regular"/>
    <s v="Verde"/>
    <s v="A4"/>
    <s v="Poder público"/>
    <s v="Não se aplica"/>
    <s v="Não se aplica"/>
    <s v="Não se aplica"/>
    <s v="Ponta"/>
    <s v="CATIVO"/>
    <x v="0"/>
    <n v="0"/>
    <n v="0"/>
    <n v="0.83699999999999997"/>
    <n v="0.83699999999999997"/>
    <n v="0.83699999999999997"/>
    <n v="0.83699999999999997"/>
    <m/>
    <n v="984.21"/>
    <n v="171.61"/>
    <m/>
    <n v="967.42133999999999"/>
    <n v="967.42133999999999"/>
    <n v="902.16044999999997"/>
    <n v="0"/>
    <n v="44.024400787340042"/>
    <n v="0"/>
    <n v="0"/>
    <n v="0"/>
    <n v="329.53415293967191"/>
    <n v="428.61273511635954"/>
    <n v="138.41822858634802"/>
    <n v="5.2189937643341313"/>
    <n v="0"/>
    <n v="0"/>
    <n v="0"/>
    <n v="0"/>
    <n v="7.8243687206926138"/>
    <m/>
    <n v="0.22101861746421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737386964023768"/>
    <n v="0"/>
    <n v="0"/>
    <n v="0"/>
    <n v="0"/>
    <n v="0"/>
    <m/>
    <m/>
    <m/>
    <m/>
    <m/>
    <m/>
    <m/>
    <m/>
    <m/>
    <n v="143.5919672827504"/>
    <m/>
    <m/>
    <m/>
    <m/>
    <m/>
    <m/>
    <m/>
    <m/>
    <m/>
    <m/>
    <m/>
    <m/>
    <n v="905.39400000000001"/>
    <n v="-62.057339999999954"/>
    <m/>
    <m/>
    <m/>
    <m/>
    <n v="-84.101760000000013"/>
    <n v="18.840869999999992"/>
    <n v="30"/>
    <n v="27.40635038330845"/>
    <n v="0"/>
    <n v="0"/>
    <n v="0"/>
    <n v="0"/>
    <n v="0"/>
    <n v="0"/>
    <n v="0"/>
    <n v="14.83978796288568"/>
    <n v="0"/>
    <n v="0"/>
    <n v="18.845345146423284"/>
    <n v="0"/>
    <n v="0"/>
    <n v="0"/>
    <n v="0.70439343449828495"/>
    <n v="0"/>
    <n v="-6.046872670365012"/>
    <m/>
    <n v="0"/>
    <n v="0"/>
    <n v="0"/>
    <n v="0"/>
    <n v="-0.9017085073317066"/>
    <n v="-3.4594982802098134E-2"/>
    <n v="0"/>
    <n v="0"/>
    <m/>
    <m/>
    <m/>
    <n v="428.61273511635954"/>
    <n v="0"/>
    <n v="0"/>
    <n v="-84.101760000000013"/>
    <n v="18.840869999999995"/>
    <n v="0"/>
    <n v="0"/>
    <n v="-92.663760717154446"/>
    <n v="0"/>
    <n v="0"/>
    <n v="0"/>
    <n v="0"/>
    <n v="0"/>
    <n v="0"/>
    <n v="0"/>
    <n v="0"/>
    <n v="0"/>
    <n v="0"/>
    <n v="0"/>
    <n v="0"/>
    <n v="8.395300031553608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"/>
    <s v="Regular"/>
    <s v="Verde"/>
    <s v="A4"/>
    <s v="Poder público"/>
    <s v="Não se aplica"/>
    <s v="Não se aplica"/>
    <s v="Não se aplica"/>
    <s v="Fora ponta"/>
    <s v="CATIVO"/>
    <x v="0"/>
    <n v="0"/>
    <n v="0"/>
    <n v="10.974"/>
    <n v="10.974"/>
    <n v="10.974"/>
    <n v="10.974"/>
    <m/>
    <n v="78.42"/>
    <n v="171.61"/>
    <m/>
    <n v="2743.8292200000001"/>
    <n v="2743.8292200000001"/>
    <n v="2908.5489600000001"/>
    <n v="0"/>
    <n v="577.20881032290276"/>
    <n v="0"/>
    <n v="0"/>
    <n v="0"/>
    <n v="0"/>
    <n v="0"/>
    <n v="1814.8167747987852"/>
    <n v="68.42680713238083"/>
    <n v="0"/>
    <n v="0"/>
    <n v="0"/>
    <n v="0"/>
    <n v="102.58616767130317"/>
    <m/>
    <n v="2.89779965119753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833462908386721"/>
    <n v="0"/>
    <n v="0"/>
    <n v="0"/>
    <n v="0"/>
    <n v="0"/>
    <m/>
    <m/>
    <m/>
    <m/>
    <m/>
    <m/>
    <m/>
    <m/>
    <m/>
    <n v="1882.650237707172"/>
    <m/>
    <m/>
    <m/>
    <m/>
    <m/>
    <m/>
    <m/>
    <m/>
    <m/>
    <m/>
    <m/>
    <m/>
    <n v="2907.4888000000001"/>
    <n v="163.62957999999981"/>
    <m/>
    <m/>
    <m/>
    <m/>
    <n v="-82.305000000000007"/>
    <n v="247.02473999999989"/>
    <n v="30"/>
    <n v="164.76159617887652"/>
    <n v="0"/>
    <n v="0"/>
    <n v="0"/>
    <n v="0"/>
    <n v="0"/>
    <n v="0"/>
    <n v="0"/>
    <n v="0"/>
    <n v="0"/>
    <n v="0"/>
    <n v="247.08341414199435"/>
    <n v="0"/>
    <n v="0"/>
    <n v="0"/>
    <n v="9.2353805856441937"/>
    <n v="0"/>
    <n v="-79.281219455896746"/>
    <m/>
    <n v="0"/>
    <n v="0"/>
    <n v="0"/>
    <n v="0"/>
    <n v="-11.82240042946016"/>
    <n v="-0.45357866340528696"/>
    <n v="0"/>
    <n v="0"/>
    <m/>
    <m/>
    <m/>
    <n v="0"/>
    <n v="0"/>
    <n v="0"/>
    <n v="-82.305000000000064"/>
    <n v="247.02473999999984"/>
    <n v="0"/>
    <n v="0"/>
    <n v="0"/>
    <n v="0"/>
    <n v="0"/>
    <n v="0"/>
    <n v="0"/>
    <n v="0"/>
    <n v="0"/>
    <n v="0"/>
    <n v="0"/>
    <n v="0"/>
    <n v="0"/>
    <n v="0"/>
    <n v="0"/>
    <n v="110.071711524813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9"/>
    <s v="Regular"/>
    <s v="Verde"/>
    <s v="A4"/>
    <s v="Poder público"/>
    <s v="Não se aplica"/>
    <s v="Não se aplica"/>
    <s v="Não se aplica"/>
    <s v="Não se aplica"/>
    <s v="CATIVO"/>
    <x v="0"/>
    <n v="155"/>
    <n v="155"/>
    <n v="0"/>
    <n v="0"/>
    <n v="0"/>
    <n v="0"/>
    <n v="12.58"/>
    <m/>
    <m/>
    <n v="1949.9"/>
    <m/>
    <n v="1949.9"/>
    <n v="1796.45"/>
    <n v="0"/>
    <n v="0"/>
    <n v="0"/>
    <n v="0"/>
    <n v="0"/>
    <n v="1027.2531104861855"/>
    <n v="922.20489893827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08.05"/>
    <n v="3"/>
    <m/>
    <m/>
    <m/>
    <m/>
    <m/>
    <m/>
    <m/>
    <m/>
    <m/>
    <n v="0"/>
    <m/>
    <m/>
    <m/>
    <m/>
    <m/>
    <m/>
    <m/>
    <m/>
    <m/>
    <m/>
    <m/>
    <m/>
    <n v="1796.45"/>
    <n v="-153.48000000000002"/>
    <m/>
    <m/>
    <m/>
    <m/>
    <n v="-153.45000000000005"/>
    <n v="0"/>
    <n v="30"/>
    <n v="46.259904194573437"/>
    <n v="0"/>
    <n v="0"/>
    <n v="0"/>
    <n v="0"/>
    <m/>
    <m/>
    <m/>
    <n v="46.2599041945734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2.20489893827255"/>
    <m/>
    <n v="0"/>
    <n v="0"/>
    <n v="-153.45000000000005"/>
    <m/>
    <n v="0"/>
    <m/>
    <n v="-199.3757233186374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97.701999999999998"/>
    <n v="97.701999999999998"/>
    <n v="97.701999999999998"/>
    <n v="97.701999999999998"/>
    <m/>
    <n v="131.83000000000001"/>
    <n v="94.39"/>
    <m/>
    <n v="22102.146440000004"/>
    <n v="22102.146440000004"/>
    <n v="22021.053779999998"/>
    <n v="0"/>
    <n v="3248.7394816580663"/>
    <n v="0"/>
    <n v="0"/>
    <n v="0"/>
    <n v="2866.0682549649637"/>
    <n v="4761.8097911305213"/>
    <n v="8886.5660372029415"/>
    <n v="335.06376442011407"/>
    <n v="0"/>
    <n v="0"/>
    <n v="0"/>
    <n v="0"/>
    <n v="502.33101554600984"/>
    <m/>
    <n v="21.2822708770740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0.31028180291332"/>
    <n v="0"/>
    <n v="0"/>
    <n v="0"/>
    <n v="11214.05"/>
    <n v="7"/>
    <m/>
    <m/>
    <m/>
    <m/>
    <m/>
    <m/>
    <m/>
    <m/>
    <m/>
    <n v="9746.8763190058544"/>
    <m/>
    <m/>
    <m/>
    <m/>
    <m/>
    <m/>
    <m/>
    <m/>
    <m/>
    <m/>
    <m/>
    <m/>
    <n v="22020.603000000003"/>
    <n v="-81.573439999996481"/>
    <m/>
    <m/>
    <m/>
    <m/>
    <n v="-1290.6434200000008"/>
    <n v="1209.5507599999996"/>
    <n v="30"/>
    <n v="948.63793205357069"/>
    <n v="0"/>
    <n v="0"/>
    <n v="0"/>
    <n v="0"/>
    <n v="0"/>
    <n v="0"/>
    <n v="0"/>
    <n v="129.06657720124667"/>
    <n v="0"/>
    <n v="0"/>
    <n v="1209.8869191430422"/>
    <n v="0"/>
    <n v="0"/>
    <n v="0"/>
    <n v="117.12940094070711"/>
    <n v="0"/>
    <n v="-446.22331328637438"/>
    <m/>
    <n v="0"/>
    <n v="0"/>
    <n v="0"/>
    <n v="0"/>
    <n v="-57.89044028772679"/>
    <n v="-3.3312116573218375"/>
    <n v="0"/>
    <n v="0"/>
    <m/>
    <m/>
    <m/>
    <n v="4761.8097911305213"/>
    <n v="0"/>
    <n v="0"/>
    <n v="-1290.6434200000022"/>
    <n v="1209.5507599999983"/>
    <n v="0"/>
    <n v="0"/>
    <n v="-1029.4775841089513"/>
    <n v="0"/>
    <n v="0"/>
    <n v="0"/>
    <n v="0"/>
    <n v="0"/>
    <n v="0"/>
    <n v="0"/>
    <n v="0"/>
    <n v="0"/>
    <n v="0"/>
    <n v="0"/>
    <n v="0"/>
    <n v="619.523314005366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32.779000000000003"/>
    <n v="30.812260000000002"/>
    <n v="32.779000000000003"/>
    <n v="30.812260000000002"/>
    <m/>
    <n v="239.69"/>
    <n v="171.61"/>
    <m/>
    <n v="13482.002700000001"/>
    <n v="13482.002700000001"/>
    <n v="13432.506410000002"/>
    <n v="0"/>
    <n v="1981.729814208132"/>
    <n v="0"/>
    <n v="0"/>
    <n v="0"/>
    <n v="1748.3005154727744"/>
    <n v="2904.7021116803699"/>
    <n v="5420.8018098350085"/>
    <n v="204.38876535377361"/>
    <n v="0"/>
    <n v="0"/>
    <n v="0"/>
    <n v="0"/>
    <n v="306.4217231727398"/>
    <m/>
    <n v="12.982176917930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4.78893569160664"/>
    <n v="0"/>
    <n v="0"/>
    <n v="0"/>
    <n v="5483.49"/>
    <n v="40"/>
    <m/>
    <m/>
    <m/>
    <m/>
    <n v="805.95038460000058"/>
    <m/>
    <m/>
    <m/>
    <m/>
    <n v="5945.5907455266151"/>
    <m/>
    <m/>
    <m/>
    <m/>
    <m/>
    <m/>
    <m/>
    <m/>
    <m/>
    <m/>
    <m/>
    <m/>
    <n v="12625.6299"/>
    <n v="-47.482638000003135"/>
    <m/>
    <m/>
    <m/>
    <m/>
    <n v="-787.35158000000047"/>
    <n v="737.85528999999974"/>
    <n v="30"/>
    <n v="578.66876782616964"/>
    <n v="0"/>
    <n v="0"/>
    <n v="0"/>
    <n v="0"/>
    <n v="0"/>
    <n v="0"/>
    <n v="0"/>
    <n v="78.7305616537069"/>
    <n v="0"/>
    <n v="0"/>
    <n v="738.03054785496897"/>
    <n v="0"/>
    <n v="0"/>
    <n v="0"/>
    <n v="71.448888799808287"/>
    <n v="0"/>
    <n v="-272.19604672118066"/>
    <m/>
    <n v="0"/>
    <n v="0"/>
    <n v="0"/>
    <n v="0"/>
    <n v="-35.313145952002401"/>
    <n v="-2.0320378091330227"/>
    <n v="0"/>
    <n v="0"/>
    <m/>
    <m/>
    <m/>
    <n v="2904.7021116803699"/>
    <n v="0"/>
    <n v="0"/>
    <n v="-787.35158000000047"/>
    <n v="737.85528999999951"/>
    <n v="0"/>
    <n v="0"/>
    <n v="-627.98092398792551"/>
    <n v="0"/>
    <n v="0"/>
    <n v="0"/>
    <n v="0"/>
    <n v="0"/>
    <n v="0"/>
    <n v="0"/>
    <n v="0"/>
    <n v="0"/>
    <n v="0"/>
    <n v="0"/>
    <n v="0"/>
    <n v="377.9089794343462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2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9.2200000000000006"/>
    <n v="9.2200000000000006"/>
    <n v="9.2200000000000006"/>
    <n v="9.2200000000000006"/>
    <m/>
    <n v="239.69"/>
    <n v="171.61"/>
    <m/>
    <n v="3792.1860000000006"/>
    <n v="3792.1860000000006"/>
    <n v="3778.2638000000002"/>
    <n v="0"/>
    <n v="557.41629967354027"/>
    <n v="0"/>
    <n v="0"/>
    <n v="0"/>
    <n v="491.75785572039962"/>
    <n v="817.0277760057661"/>
    <n v="1524.7503794099507"/>
    <n v="57.489991047981711"/>
    <n v="0"/>
    <n v="0"/>
    <n v="0"/>
    <n v="0"/>
    <n v="86.189581367725097"/>
    <m/>
    <n v="3.6515961799725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61139714685052"/>
    <n v="0"/>
    <n v="0"/>
    <n v="0"/>
    <n v="1540.71"/>
    <n v="4"/>
    <m/>
    <m/>
    <m/>
    <m/>
    <m/>
    <m/>
    <m/>
    <m/>
    <m/>
    <n v="1672.3617765568013"/>
    <m/>
    <m/>
    <m/>
    <m/>
    <m/>
    <m/>
    <m/>
    <m/>
    <m/>
    <m/>
    <m/>
    <m/>
    <n v="3778.2638000000002"/>
    <n v="-13.952200000001085"/>
    <m/>
    <m/>
    <m/>
    <m/>
    <n v="-221.4644000000001"/>
    <n v="207.54219999999992"/>
    <n v="30"/>
    <n v="162.76658956518759"/>
    <n v="0"/>
    <n v="0"/>
    <n v="0"/>
    <n v="0"/>
    <n v="0"/>
    <n v="0"/>
    <n v="0"/>
    <n v="22.145147150528544"/>
    <n v="0"/>
    <n v="0"/>
    <n v="207.591496117112"/>
    <n v="0"/>
    <n v="0"/>
    <n v="0"/>
    <n v="20.096975341963827"/>
    <n v="0"/>
    <n v="-76.562663619063585"/>
    <m/>
    <n v="0"/>
    <n v="0"/>
    <n v="0"/>
    <n v="0"/>
    <n v="-9.9327986112285913"/>
    <n v="-0.57156681412509469"/>
    <n v="0"/>
    <n v="0"/>
    <m/>
    <m/>
    <m/>
    <n v="817.0277760057661"/>
    <n v="0"/>
    <n v="0"/>
    <n v="-221.46440000000007"/>
    <n v="207.54219999999987"/>
    <n v="0"/>
    <n v="0"/>
    <n v="-176.63699683238258"/>
    <n v="0"/>
    <n v="0"/>
    <n v="0"/>
    <n v="0"/>
    <n v="0"/>
    <n v="0"/>
    <n v="0"/>
    <n v="0"/>
    <n v="0"/>
    <n v="0"/>
    <n v="0"/>
    <n v="0"/>
    <n v="106.297348619075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.8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4"/>
    <s v="Regular"/>
    <s v="Convencional"/>
    <s v="B2"/>
    <s v="Rural"/>
    <s v="Agropecuária rural"/>
    <s v="IRRIG./AQUIC."/>
    <s v="Não se aplica"/>
    <s v="Não se aplica"/>
    <s v="CATIVO"/>
    <x v="0"/>
    <n v="0"/>
    <n v="0"/>
    <n v="9.9000000000000005E-2"/>
    <n v="9.9000000000000005E-2"/>
    <n v="9.9000000000000005E-2"/>
    <n v="9.9000000000000005E-2"/>
    <m/>
    <n v="239.69"/>
    <n v="171.61"/>
    <m/>
    <n v="40.718700000000005"/>
    <n v="40.718700000000005"/>
    <n v="40.569209999999998"/>
    <n v="0"/>
    <n v="5.9852726320694671"/>
    <n v="0"/>
    <n v="0"/>
    <n v="0"/>
    <n v="5.2802633097960481"/>
    <n v="8.7728578985434762"/>
    <n v="16.372048542471273"/>
    <n v="0.61730033771694026"/>
    <n v="0"/>
    <n v="0"/>
    <n v="0"/>
    <n v="0"/>
    <n v="0.92546296696364261"/>
    <m/>
    <n v="3.920911299536685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849813793425382"/>
    <n v="0"/>
    <n v="0"/>
    <n v="0"/>
    <n v="0"/>
    <n v="0"/>
    <m/>
    <m/>
    <m/>
    <m/>
    <m/>
    <n v="5.7221999999999991"/>
    <m/>
    <m/>
    <m/>
    <n v="17.95702992181381"/>
    <m/>
    <m/>
    <m/>
    <m/>
    <m/>
    <m/>
    <m/>
    <m/>
    <m/>
    <m/>
    <m/>
    <m/>
    <n v="35.198999999999998"/>
    <n v="0.28535999999999007"/>
    <m/>
    <m/>
    <m/>
    <m/>
    <n v="-2.3779800000000013"/>
    <n v="2.2284899999999994"/>
    <n v="30"/>
    <n v="1.7477106688669792"/>
    <n v="0"/>
    <n v="0"/>
    <n v="0"/>
    <n v="0"/>
    <n v="0"/>
    <n v="0"/>
    <n v="0"/>
    <n v="0.23778411799374499"/>
    <n v="0"/>
    <n v="0"/>
    <n v="2.2290193183941511"/>
    <n v="0"/>
    <n v="0"/>
    <n v="0"/>
    <n v="0.21579181766316879"/>
    <n v="0"/>
    <n v="-0.8220936766038287"/>
    <m/>
    <n v="0"/>
    <n v="0"/>
    <n v="0"/>
    <n v="0"/>
    <n v="-0.10665369441557826"/>
    <n v="-6.1372141646837686E-3"/>
    <n v="0"/>
    <n v="0"/>
    <m/>
    <m/>
    <m/>
    <n v="8.7728578985434762"/>
    <n v="0"/>
    <n v="0"/>
    <n v="-2.3779800000000009"/>
    <n v="2.2284899999999972"/>
    <n v="0"/>
    <n v="0"/>
    <n v="-1.8966445429941308"/>
    <n v="0"/>
    <n v="0"/>
    <n v="0"/>
    <n v="0"/>
    <n v="0"/>
    <n v="0"/>
    <n v="0"/>
    <n v="0"/>
    <n v="0"/>
    <n v="0"/>
    <n v="0"/>
    <n v="0"/>
    <n v="1.141370663046471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5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1E-3"/>
    <n v="4.0000000000000002E-4"/>
    <n v="1E-3"/>
    <n v="4.0000000000000002E-4"/>
    <m/>
    <n v="239.69"/>
    <n v="171.61"/>
    <m/>
    <n v="0.4113"/>
    <n v="0.4113"/>
    <n v="0.40978999999999999"/>
    <n v="0"/>
    <n v="6.0457299313833E-2"/>
    <n v="0"/>
    <n v="0"/>
    <n v="0"/>
    <n v="5.3335993028242906E-2"/>
    <n v="8.8614726247913889E-2"/>
    <n v="0.16537422770173002"/>
    <n v="6.2353569466357603E-3"/>
    <n v="0"/>
    <n v="0"/>
    <n v="0"/>
    <n v="0"/>
    <n v="9.3481107774105315E-3"/>
    <m/>
    <n v="3.96051646417847E-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E-2"/>
    <n v="0"/>
    <n v="0"/>
    <n v="0"/>
    <n v="0"/>
    <n v="0"/>
    <m/>
    <m/>
    <m/>
    <m/>
    <m/>
    <m/>
    <n v="0.26899400000000001"/>
    <m/>
    <m/>
    <n v="0.18138414062438191"/>
    <m/>
    <m/>
    <m/>
    <m/>
    <m/>
    <m/>
    <m/>
    <m/>
    <m/>
    <m/>
    <m/>
    <m/>
    <n v="0"/>
    <n v="-0.17094400000000001"/>
    <m/>
    <m/>
    <m/>
    <m/>
    <n v="-2.402000000000001E-2"/>
    <n v="2.2509999999999992E-2"/>
    <n v="30"/>
    <n v="1.7653643119868445E-2"/>
    <n v="0"/>
    <n v="0"/>
    <n v="0"/>
    <n v="0"/>
    <n v="0"/>
    <n v="0"/>
    <n v="0"/>
    <n v="2.4018597777145934E-3"/>
    <n v="0"/>
    <n v="0"/>
    <n v="2.2515346650445994E-2"/>
    <n v="0"/>
    <n v="0"/>
    <n v="0"/>
    <n v="2.1797153299309979E-3"/>
    <n v="0"/>
    <n v="-8.3039765313518005E-3"/>
    <m/>
    <n v="0"/>
    <n v="0"/>
    <n v="0"/>
    <n v="0"/>
    <n v="-1.0773100446018011E-3"/>
    <n v="-6.199206226953298E-5"/>
    <n v="0"/>
    <n v="0"/>
    <m/>
    <m/>
    <m/>
    <n v="8.8614726247913889E-2"/>
    <n v="0"/>
    <n v="0"/>
    <n v="-2.4020000000000014E-2"/>
    <n v="2.2510000000000002E-2"/>
    <n v="0"/>
    <n v="0"/>
    <n v="-1.9158025686809396E-2"/>
    <n v="0"/>
    <n v="0"/>
    <n v="0"/>
    <n v="0"/>
    <n v="0"/>
    <n v="0"/>
    <n v="0"/>
    <n v="0"/>
    <n v="0"/>
    <n v="0"/>
    <n v="0"/>
    <n v="0"/>
    <n v="1.1528996596429E-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6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827.51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7"/>
    <s v="Refaturamento - 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442.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8"/>
    <s v="Regular"/>
    <s v="Convencional"/>
    <s v="B2"/>
    <s v="Rural"/>
    <s v="Aquicultura"/>
    <s v="IRRIG./AQUIC."/>
    <s v="Não se aplica"/>
    <s v="Não se aplica"/>
    <s v="CATIVO"/>
    <x v="0"/>
    <n v="0"/>
    <n v="0"/>
    <n v="31.983000000000001"/>
    <n v="31.983000000000001"/>
    <n v="31.983000000000001"/>
    <n v="31.983000000000001"/>
    <m/>
    <n v="239.69"/>
    <n v="171.61"/>
    <m/>
    <n v="13154.607899999999"/>
    <n v="13154.607899999999"/>
    <n v="13106.313569999998"/>
    <n v="0"/>
    <n v="1933.6058039543209"/>
    <n v="0"/>
    <n v="0"/>
    <n v="0"/>
    <n v="1705.8450650222928"/>
    <n v="2834.1647895870301"/>
    <n v="5289.1639245844308"/>
    <n v="199.42542122425152"/>
    <n v="0"/>
    <n v="0"/>
    <n v="0"/>
    <n v="0"/>
    <n v="298.98062699392102"/>
    <m/>
    <n v="12.666919807382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2.04504500517567"/>
    <n v="0"/>
    <n v="0"/>
    <n v="0"/>
    <n v="0"/>
    <n v="0"/>
    <m/>
    <m/>
    <m/>
    <m/>
    <m/>
    <n v="1848.6173999999996"/>
    <m/>
    <m/>
    <m/>
    <n v="5801.2089695896066"/>
    <m/>
    <m/>
    <m/>
    <m/>
    <m/>
    <m/>
    <m/>
    <m/>
    <m/>
    <m/>
    <m/>
    <m/>
    <n v="11256.640200000002"/>
    <n v="-12.919680000000881"/>
    <m/>
    <m/>
    <m/>
    <m/>
    <n v="-768.23166000000037"/>
    <n v="719.93732999999975"/>
    <n v="30"/>
    <n v="564.61646790275336"/>
    <n v="0"/>
    <n v="0"/>
    <n v="0"/>
    <n v="0"/>
    <n v="0"/>
    <n v="0"/>
    <n v="0"/>
    <n v="76.818681270646039"/>
    <n v="0"/>
    <n v="0"/>
    <n v="720.1083319212139"/>
    <n v="0"/>
    <n v="0"/>
    <n v="0"/>
    <n v="69.713835397183175"/>
    <n v="0"/>
    <n v="-265.58608140222464"/>
    <m/>
    <n v="0"/>
    <n v="0"/>
    <n v="0"/>
    <n v="0"/>
    <n v="-34.455607156499411"/>
    <n v="-1.9826921275664748"/>
    <n v="0"/>
    <n v="0"/>
    <m/>
    <m/>
    <m/>
    <n v="2834.1647895870301"/>
    <n v="0"/>
    <n v="0"/>
    <n v="-768.23166000000037"/>
    <n v="719.93732999999975"/>
    <n v="0"/>
    <n v="0"/>
    <n v="-612.73113554122483"/>
    <n v="0"/>
    <n v="0"/>
    <n v="0"/>
    <n v="0"/>
    <n v="0"/>
    <n v="0"/>
    <n v="0"/>
    <n v="0"/>
    <n v="0"/>
    <n v="0"/>
    <n v="0"/>
    <n v="0"/>
    <n v="368.7318981435886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9"/>
    <s v="Refaturamento - Regular"/>
    <s v="Convencional"/>
    <s v="B2"/>
    <s v="Rural"/>
    <s v="Aquicultura"/>
    <s v="IRRIG./AQUIC."/>
    <s v="Não se aplica"/>
    <s v="Não se aplica"/>
    <s v="CATIVO"/>
    <x v="0"/>
    <n v="0"/>
    <n v="0"/>
    <n v="-2.8769999999999998"/>
    <n v="-2.8769999999999998"/>
    <n v="-2.8769999999999998"/>
    <n v="-2.8769999999999998"/>
    <m/>
    <n v="239.69"/>
    <n v="171.61"/>
    <m/>
    <n v="-1183.3100999999999"/>
    <n v="-1183.3100999999999"/>
    <n v="-1178.9658300000001"/>
    <n v="0"/>
    <n v="-173.93565012589752"/>
    <n v="0"/>
    <n v="0"/>
    <n v="0"/>
    <n v="-153.44765194225482"/>
    <n v="-254.94456741524826"/>
    <n v="-475.78165309787721"/>
    <n v="-17.939121935471082"/>
    <n v="0"/>
    <n v="0"/>
    <n v="0"/>
    <n v="0"/>
    <n v="-26.894514706610096"/>
    <m/>
    <n v="-1.1394405867441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6.060519478469509"/>
    <n v="0"/>
    <n v="0"/>
    <n v="0"/>
    <n v="0"/>
    <n v="0"/>
    <m/>
    <m/>
    <m/>
    <m/>
    <m/>
    <n v="-166.29059999999993"/>
    <m/>
    <m/>
    <m/>
    <n v="-521.84217257634668"/>
    <m/>
    <m/>
    <m/>
    <m/>
    <m/>
    <m/>
    <m/>
    <m/>
    <m/>
    <m/>
    <m/>
    <m/>
    <n v="-1013.7311999999999"/>
    <n v="-2.1479999999883148E-2"/>
    <m/>
    <m/>
    <m/>
    <m/>
    <n v="69.105540000000019"/>
    <n v="-64.761269999999968"/>
    <n v="30"/>
    <n v="-50.789531255861448"/>
    <n v="0"/>
    <n v="0"/>
    <n v="0"/>
    <n v="0"/>
    <n v="0"/>
    <n v="0"/>
    <n v="0"/>
    <n v="-6.9101505804848955"/>
    <n v="0"/>
    <n v="0"/>
    <n v="-64.776652313333102"/>
    <n v="0"/>
    <n v="0"/>
    <n v="0"/>
    <n v="-6.2710410042114901"/>
    <n v="0"/>
    <n v="23.890540480699144"/>
    <m/>
    <n v="0"/>
    <n v="0"/>
    <n v="0"/>
    <n v="0"/>
    <n v="3.0994209983193812"/>
    <n v="0.17835116314944643"/>
    <n v="0"/>
    <n v="0"/>
    <m/>
    <m/>
    <m/>
    <n v="-254.94456741524826"/>
    <n v="0"/>
    <n v="0"/>
    <n v="69.105540000000019"/>
    <n v="-64.761270000000025"/>
    <n v="0"/>
    <n v="0"/>
    <n v="55.117639900950621"/>
    <n v="0"/>
    <n v="0"/>
    <n v="0"/>
    <n v="0"/>
    <n v="0"/>
    <n v="0"/>
    <n v="0"/>
    <n v="0"/>
    <n v="0"/>
    <n v="0"/>
    <n v="0"/>
    <n v="0"/>
    <n v="-33.16892320792622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0"/>
    <s v="Regular"/>
    <s v="Convencional"/>
    <s v="B2"/>
    <s v="Rural"/>
    <s v="Aquicultura"/>
    <s v="IRRIG./AQUIC. PR"/>
    <s v="Não se aplica"/>
    <s v="Não se aplica"/>
    <s v="CATIVO"/>
    <x v="0"/>
    <n v="0"/>
    <n v="0"/>
    <n v="55.173999999999999"/>
    <n v="22.069600000000001"/>
    <n v="55.173999999999999"/>
    <n v="22.069600000000001"/>
    <m/>
    <n v="239.69"/>
    <n v="171.61"/>
    <m/>
    <n v="22693.066200000001"/>
    <n v="22693.066200000001"/>
    <n v="22609.75346"/>
    <n v="0"/>
    <n v="3335.6710323414218"/>
    <n v="0"/>
    <n v="0"/>
    <n v="0"/>
    <n v="2942.7600793402739"/>
    <n v="4889.2289060024013"/>
    <n v="9124.3576392152518"/>
    <n v="344.02958417368143"/>
    <n v="0"/>
    <n v="0"/>
    <n v="0"/>
    <n v="0"/>
    <n v="515.77266403284864"/>
    <m/>
    <n v="21.851753539458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3.3309355943959"/>
    <n v="0"/>
    <n v="0"/>
    <n v="0"/>
    <n v="0"/>
    <n v="0"/>
    <m/>
    <m/>
    <m/>
    <m/>
    <m/>
    <m/>
    <n v="14841.474955999998"/>
    <m/>
    <m/>
    <n v="10007.688574809648"/>
    <m/>
    <m/>
    <m/>
    <m/>
    <m/>
    <m/>
    <m/>
    <m/>
    <m/>
    <m/>
    <m/>
    <m/>
    <n v="7768.4193000000005"/>
    <n v="-8.0549560000008569"/>
    <m/>
    <m/>
    <m/>
    <m/>
    <n v="-1325.2794800000006"/>
    <n v="1241.9667399999994"/>
    <n v="30"/>
    <n v="974.02210549562733"/>
    <n v="0"/>
    <n v="0"/>
    <n v="0"/>
    <n v="0"/>
    <n v="0"/>
    <n v="0"/>
    <n v="0"/>
    <n v="132.52021137562542"/>
    <n v="0"/>
    <n v="0"/>
    <n v="1242.2617360917066"/>
    <n v="0"/>
    <n v="0"/>
    <n v="0"/>
    <n v="120.26361361361296"/>
    <n v="0"/>
    <n v="-458.16360114080408"/>
    <m/>
    <n v="0"/>
    <n v="0"/>
    <n v="0"/>
    <n v="0"/>
    <n v="-59.439504400859732"/>
    <n v="-3.4203500436592122"/>
    <n v="0"/>
    <n v="0"/>
    <m/>
    <m/>
    <m/>
    <n v="4889.2289060024013"/>
    <n v="0"/>
    <n v="0"/>
    <n v="-1325.2794799999992"/>
    <n v="1241.9667399999998"/>
    <n v="0"/>
    <n v="0"/>
    <n v="-1057.0249092440217"/>
    <n v="0"/>
    <n v="0"/>
    <n v="0"/>
    <n v="0"/>
    <n v="0"/>
    <n v="0"/>
    <n v="0"/>
    <n v="0"/>
    <n v="0"/>
    <n v="0"/>
    <n v="0"/>
    <n v="0"/>
    <n v="636.1008582113736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1"/>
    <s v="Regular"/>
    <s v="Convencional"/>
    <s v="B1"/>
    <s v="Residencial"/>
    <s v="Residencial"/>
    <s v="Não se aplica"/>
    <s v="Não se aplica"/>
    <s v="Não se aplica"/>
    <s v="CATIVO"/>
    <x v="1"/>
    <n v="0"/>
    <n v="0"/>
    <n v="1160.691"/>
    <n v="1160.691"/>
    <n v="1160.691"/>
    <n v="1160.691"/>
    <m/>
    <n v="239.69"/>
    <n v="171.61"/>
    <m/>
    <n v="477392.2083"/>
    <n v="477392.2083"/>
    <n v="475639.56488999998"/>
    <n v="0"/>
    <n v="70172.243197872143"/>
    <n v="0"/>
    <n v="0"/>
    <n v="0"/>
    <n v="61906.607083944284"/>
    <n v="102854.31522341743"/>
    <n v="191948.37772534872"/>
    <n v="7237.3226897476079"/>
    <n v="0"/>
    <n v="0"/>
    <n v="0"/>
    <n v="0"/>
    <n v="10850.268046343406"/>
    <m/>
    <n v="459.69358153237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82.561840105758"/>
    <n v="0"/>
    <n v="0"/>
    <n v="0"/>
    <n v="144968.72"/>
    <n v="4709"/>
    <m/>
    <m/>
    <m/>
    <m/>
    <m/>
    <m/>
    <m/>
    <m/>
    <m/>
    <n v="210530.93956545449"/>
    <m/>
    <m/>
    <m/>
    <m/>
    <m/>
    <m/>
    <m/>
    <m/>
    <m/>
    <m/>
    <m/>
    <m/>
    <n v="475639.15509999997"/>
    <n v="-1753.0832000000519"/>
    <m/>
    <m/>
    <m/>
    <m/>
    <n v="-27879.797820000014"/>
    <n v="26127.154409999992"/>
    <n v="31"/>
    <n v="20490.424686443177"/>
    <n v="0"/>
    <n v="0"/>
    <n v="0"/>
    <n v="0"/>
    <n v="0"/>
    <n v="0"/>
    <n v="0"/>
    <n v="2787.8170272553398"/>
    <n v="0"/>
    <n v="0"/>
    <n v="26133.360219052789"/>
    <n v="0"/>
    <n v="0"/>
    <n v="0"/>
    <n v="2529.9759660129421"/>
    <n v="0"/>
    <n v="-9638.3508241512609"/>
    <m/>
    <n v="0"/>
    <n v="0"/>
    <n v="0"/>
    <n v="0"/>
    <n v="-1250.4240729789071"/>
    <n v="-71.953628747686537"/>
    <n v="0"/>
    <n v="0"/>
    <m/>
    <m/>
    <m/>
    <n v="102854.31522341743"/>
    <n v="0"/>
    <n v="0"/>
    <n v="-27879.797820000007"/>
    <n v="26127.154409999988"/>
    <n v="0"/>
    <n v="0"/>
    <n v="-22236.547992448497"/>
    <n v="0"/>
    <n v="0"/>
    <n v="0"/>
    <n v="0"/>
    <n v="0"/>
    <n v="0"/>
    <n v="0"/>
    <n v="0"/>
    <n v="0"/>
    <n v="0"/>
    <n v="0"/>
    <n v="0"/>
    <n v="13381.60258850577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0.58199999999999996"/>
    <n v="-0.58199999999999996"/>
    <n v="-0.58199999999999996"/>
    <n v="-0.58199999999999996"/>
    <m/>
    <n v="239.69"/>
    <n v="171.61"/>
    <m/>
    <n v="-239.3766"/>
    <n v="-239.3766"/>
    <n v="-238.49777999999998"/>
    <n v="0"/>
    <n v="-35.186148200650806"/>
    <n v="0"/>
    <n v="0"/>
    <n v="0"/>
    <n v="-31.041547942437369"/>
    <n v="-51.573770676285882"/>
    <n v="-96.247800522406862"/>
    <n v="-3.6289777429420123"/>
    <n v="0"/>
    <n v="0"/>
    <n v="0"/>
    <n v="0"/>
    <n v="-5.4406004724529282"/>
    <m/>
    <n v="-0.230502058215186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3177693209834054"/>
    <n v="0"/>
    <n v="0"/>
    <n v="0"/>
    <n v="-88.46"/>
    <n v="0"/>
    <m/>
    <m/>
    <m/>
    <m/>
    <m/>
    <m/>
    <m/>
    <m/>
    <m/>
    <n v="-105.56556984339026"/>
    <m/>
    <m/>
    <m/>
    <m/>
    <m/>
    <m/>
    <m/>
    <m/>
    <m/>
    <m/>
    <m/>
    <m/>
    <n v="-237.67819999999998"/>
    <n v="1.6684000000000481"/>
    <m/>
    <m/>
    <m/>
    <m/>
    <n v="13.979640000000005"/>
    <n v="-13.100819999999993"/>
    <n v="31"/>
    <n v="-10.274420295763434"/>
    <n v="0"/>
    <n v="0"/>
    <n v="0"/>
    <n v="0"/>
    <n v="0"/>
    <n v="0"/>
    <n v="0"/>
    <n v="-1.3978823906298956"/>
    <n v="0"/>
    <n v="0"/>
    <n v="-13.103931750559568"/>
    <n v="0"/>
    <n v="0"/>
    <n v="0"/>
    <n v="-1.2685943220198421"/>
    <n v="0"/>
    <n v="4.8329143412467523"/>
    <m/>
    <n v="0"/>
    <n v="0"/>
    <n v="0"/>
    <n v="0"/>
    <n v="0.62699444595824705"/>
    <n v="3.6079380240868208E-2"/>
    <n v="0"/>
    <n v="0"/>
    <m/>
    <m/>
    <m/>
    <n v="-51.573770676285882"/>
    <n v="0"/>
    <n v="0"/>
    <n v="13.979639999999989"/>
    <n v="-13.100819999999999"/>
    <n v="0"/>
    <n v="0"/>
    <n v="11.14997094972307"/>
    <n v="0"/>
    <n v="0"/>
    <n v="0"/>
    <n v="0"/>
    <n v="0"/>
    <n v="0"/>
    <n v="0"/>
    <n v="0"/>
    <n v="0"/>
    <n v="0"/>
    <n v="0"/>
    <n v="0"/>
    <n v="-6.709876019121677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3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1.395"/>
    <n v="1.395"/>
    <n v="1.395"/>
    <n v="1.395"/>
    <m/>
    <n v="239.69"/>
    <n v="171.61"/>
    <m/>
    <n v="573.76350000000002"/>
    <n v="573.76350000000002"/>
    <n v="571.65705000000003"/>
    <n v="0"/>
    <n v="84.337932542797034"/>
    <n v="0"/>
    <n v="0"/>
    <n v="0"/>
    <n v="74.403710274398847"/>
    <n v="123.61754311583988"/>
    <n v="230.69704764391335"/>
    <n v="8.6983229405568849"/>
    <n v="0"/>
    <n v="0"/>
    <n v="0"/>
    <n v="0"/>
    <n v="13.040614534487691"/>
    <m/>
    <n v="0.55249204675289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333828527099399"/>
    <n v="0"/>
    <n v="0"/>
    <n v="0"/>
    <n v="377.96"/>
    <n v="7"/>
    <m/>
    <m/>
    <m/>
    <m/>
    <m/>
    <m/>
    <m/>
    <m/>
    <m/>
    <n v="253.03087617101275"/>
    <m/>
    <m/>
    <m/>
    <m/>
    <m/>
    <m/>
    <m/>
    <m/>
    <m/>
    <m/>
    <m/>
    <m/>
    <n v="573.7059999999999"/>
    <n v="-8.7500000000090949E-2"/>
    <m/>
    <m/>
    <m/>
    <m/>
    <n v="-33.507900000000014"/>
    <n v="31.401449999999986"/>
    <n v="31"/>
    <n v="24.626832152216423"/>
    <n v="0"/>
    <n v="0"/>
    <n v="0"/>
    <n v="0"/>
    <n v="0"/>
    <n v="0"/>
    <n v="0"/>
    <n v="3.350594389911862"/>
    <n v="0"/>
    <n v="0"/>
    <n v="31.408908577372159"/>
    <n v="0"/>
    <n v="0"/>
    <n v="0"/>
    <n v="3.0407028852537472"/>
    <n v="0"/>
    <n v="-11.584047261235767"/>
    <m/>
    <n v="0"/>
    <n v="0"/>
    <n v="0"/>
    <n v="0"/>
    <n v="-1.5028475122195122"/>
    <n v="-8.6478926865998507E-2"/>
    <n v="0"/>
    <n v="0"/>
    <m/>
    <m/>
    <m/>
    <n v="123.61754311583988"/>
    <n v="0"/>
    <n v="0"/>
    <n v="-33.507900000000006"/>
    <n v="31.401449999999954"/>
    <n v="0"/>
    <n v="0"/>
    <n v="-26.725445833099101"/>
    <n v="0"/>
    <n v="0"/>
    <n v="0"/>
    <n v="0"/>
    <n v="0"/>
    <n v="0"/>
    <n v="0"/>
    <n v="0"/>
    <n v="0"/>
    <n v="0"/>
    <n v="0"/>
    <n v="0"/>
    <n v="16.08295025201845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4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6.54"/>
    <n v="6.54"/>
    <n v="6.54"/>
    <n v="6.54"/>
    <m/>
    <n v="158.36000000000001"/>
    <n v="171.61"/>
    <m/>
    <n v="2158.0038000000004"/>
    <n v="2158.0038000000004"/>
    <n v="2209.4736000000003"/>
    <n v="0"/>
    <n v="0"/>
    <n v="0"/>
    <n v="0"/>
    <n v="0"/>
    <n v="348.81739440470858"/>
    <n v="579.5403096613569"/>
    <n v="1081.5474491693142"/>
    <n v="40.779234430997874"/>
    <n v="0"/>
    <n v="0"/>
    <n v="0"/>
    <n v="0"/>
    <n v="0"/>
    <m/>
    <n v="2.5901777675727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.70483051414342"/>
    <n v="0"/>
    <n v="0"/>
    <n v="0"/>
    <n v="104.19"/>
    <n v="2"/>
    <m/>
    <m/>
    <m/>
    <m/>
    <m/>
    <m/>
    <m/>
    <n v="1436.1840000000002"/>
    <m/>
    <n v="1186.2522796834576"/>
    <m/>
    <m/>
    <m/>
    <m/>
    <m/>
    <m/>
    <m/>
    <m/>
    <m/>
    <m/>
    <m/>
    <m/>
    <n v="773.28959999999995"/>
    <n v="18.020399999999995"/>
    <m/>
    <m/>
    <m/>
    <m/>
    <n v="-95.745600000000096"/>
    <n v="147.21539999999993"/>
    <n v="31"/>
    <n v="176.80844021067628"/>
    <n v="0"/>
    <n v="0"/>
    <n v="0"/>
    <n v="0"/>
    <n v="0"/>
    <n v="0"/>
    <n v="0"/>
    <n v="15.708162946253481"/>
    <n v="0"/>
    <n v="0"/>
    <n v="147.25036709391679"/>
    <n v="0"/>
    <n v="0"/>
    <n v="0"/>
    <n v="14.255338257748733"/>
    <n v="0"/>
    <n v="0"/>
    <m/>
    <n v="0"/>
    <n v="0"/>
    <n v="0"/>
    <n v="0"/>
    <n v="0"/>
    <n v="-0.40542808724274559"/>
    <n v="0"/>
    <n v="0"/>
    <m/>
    <m/>
    <m/>
    <n v="579.5403096613569"/>
    <n v="0"/>
    <n v="0"/>
    <n v="-95.745600000000081"/>
    <n v="147.21540000000005"/>
    <n v="0"/>
    <n v="0"/>
    <n v="-125.29348799173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5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4.625999999999999"/>
    <n v="14.625999999999999"/>
    <n v="14.625999999999999"/>
    <n v="14.625999999999999"/>
    <m/>
    <n v="158.36000000000001"/>
    <n v="171.61"/>
    <m/>
    <n v="4826.1412200000004"/>
    <n v="4826.1412200000004"/>
    <n v="4941.24784"/>
    <n v="0"/>
    <n v="0"/>
    <n v="0"/>
    <n v="0"/>
    <n v="0"/>
    <n v="780.09223403108069"/>
    <n v="1296.0789861019884"/>
    <n v="2418.7634543655031"/>
    <n v="91.198330701494626"/>
    <n v="0"/>
    <n v="0"/>
    <n v="0"/>
    <n v="0"/>
    <n v="0"/>
    <m/>
    <n v="5.7926513805074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.16098640670668"/>
    <n v="0"/>
    <n v="0"/>
    <n v="0"/>
    <n v="412.49"/>
    <n v="26"/>
    <m/>
    <m/>
    <m/>
    <m/>
    <m/>
    <m/>
    <m/>
    <n v="1976.55764"/>
    <m/>
    <n v="2652.9244407722099"/>
    <m/>
    <m/>
    <m/>
    <m/>
    <m/>
    <m/>
    <m/>
    <m/>
    <m/>
    <m/>
    <m/>
    <m/>
    <n v="2965.5010000000002"/>
    <n v="69.815520000000106"/>
    <m/>
    <m/>
    <m/>
    <m/>
    <n v="-214.1246400000002"/>
    <n v="329.23125999999985"/>
    <n v="31"/>
    <n v="395.41288173109297"/>
    <n v="0"/>
    <n v="0"/>
    <n v="0"/>
    <n v="0"/>
    <n v="0"/>
    <n v="0"/>
    <n v="0"/>
    <n v="35.129601108853649"/>
    <n v="0"/>
    <n v="0"/>
    <n v="329.30946010942307"/>
    <n v="0"/>
    <n v="0"/>
    <n v="0"/>
    <n v="31.88051641557081"/>
    <n v="0"/>
    <n v="0"/>
    <m/>
    <n v="0"/>
    <n v="0"/>
    <n v="0"/>
    <n v="0"/>
    <n v="0"/>
    <n v="-0.90669590275418965"/>
    <n v="0"/>
    <n v="0"/>
    <m/>
    <m/>
    <m/>
    <n v="1296.0789861019884"/>
    <n v="0"/>
    <n v="0"/>
    <n v="-214.12464000000045"/>
    <n v="329.23125999999957"/>
    <n v="0"/>
    <n v="0"/>
    <n v="-280.20528369527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6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17.609000000000002"/>
    <n v="17.609000000000002"/>
    <n v="17.609000000000002"/>
    <n v="17.609000000000002"/>
    <m/>
    <n v="158.36000000000001"/>
    <n v="171.61"/>
    <m/>
    <n v="5810.4417300000005"/>
    <n v="5810.4417300000005"/>
    <n v="5949.0245599999998"/>
    <n v="0"/>
    <n v="0"/>
    <n v="0"/>
    <n v="0"/>
    <n v="0"/>
    <n v="939.19350123432935"/>
    <n v="1560.4167144995158"/>
    <n v="2912.0747755997641"/>
    <n v="109.79840047330912"/>
    <n v="0"/>
    <n v="0"/>
    <n v="0"/>
    <n v="0"/>
    <n v="0"/>
    <m/>
    <n v="6.9740734417718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1.91855665497735"/>
    <n v="0"/>
    <n v="0"/>
    <n v="0"/>
    <n v="1409.01"/>
    <n v="91"/>
    <m/>
    <m/>
    <m/>
    <m/>
    <m/>
    <m/>
    <m/>
    <n v="594.83202000000006"/>
    <m/>
    <n v="3193.9933322547413"/>
    <m/>
    <m/>
    <m/>
    <m/>
    <m/>
    <m/>
    <m/>
    <m/>
    <m/>
    <m/>
    <m/>
    <m/>
    <n v="5354.4966000000004"/>
    <n v="125.12186999999903"/>
    <m/>
    <m/>
    <m/>
    <m/>
    <n v="-257.79576000000031"/>
    <n v="396.37858999999986"/>
    <n v="31"/>
    <n v="476.05807701373033"/>
    <n v="0"/>
    <n v="0"/>
    <n v="0"/>
    <n v="0"/>
    <n v="0"/>
    <n v="0"/>
    <n v="0"/>
    <n v="42.29434882577641"/>
    <n v="0"/>
    <n v="0"/>
    <n v="396.47273916770337"/>
    <n v="0"/>
    <n v="0"/>
    <n v="0"/>
    <n v="38.382607244754979"/>
    <n v="0"/>
    <n v="0"/>
    <m/>
    <n v="0"/>
    <n v="0"/>
    <n v="0"/>
    <n v="0"/>
    <n v="0"/>
    <n v="-1.0916182245042068"/>
    <n v="0"/>
    <n v="0"/>
    <m/>
    <m/>
    <m/>
    <n v="1560.4167144995158"/>
    <n v="0"/>
    <n v="0"/>
    <n v="-257.79576000000043"/>
    <n v="396.3785899999998"/>
    <n v="0"/>
    <n v="0"/>
    <n v="-337.3536743190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7"/>
    <s v="Refaturamento - 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8.5999999999999993E-2"/>
    <n v="8.5999999999999993E-2"/>
    <n v="8.5999999999999993E-2"/>
    <n v="8.5999999999999993E-2"/>
    <m/>
    <n v="158.36000000000001"/>
    <n v="171.61"/>
    <m/>
    <n v="28.377420000000001"/>
    <n v="28.377420000000001"/>
    <n v="29.054239999999997"/>
    <n v="0"/>
    <n v="0"/>
    <n v="0"/>
    <n v="0"/>
    <n v="0"/>
    <n v="4.5868954004288893"/>
    <n v="7.6208664573205942"/>
    <n v="14.22218358234878"/>
    <n v="0.53624069741067537"/>
    <n v="0"/>
    <n v="0"/>
    <n v="0"/>
    <n v="0"/>
    <n v="0"/>
    <m/>
    <n v="3.406044159193483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768525113480632"/>
    <n v="0"/>
    <n v="0"/>
    <n v="0"/>
    <n v="5.82"/>
    <n v="0"/>
    <m/>
    <m/>
    <m/>
    <m/>
    <m/>
    <m/>
    <m/>
    <n v="2.9050799999999999"/>
    <m/>
    <n v="15.599036093696844"/>
    <m/>
    <m/>
    <m/>
    <m/>
    <m/>
    <m/>
    <m/>
    <m/>
    <m/>
    <m/>
    <m/>
    <m/>
    <n v="27.365400000000001"/>
    <n v="1.7959800000000037"/>
    <m/>
    <m/>
    <m/>
    <m/>
    <n v="-1.2590400000000013"/>
    <n v="1.935859999999999"/>
    <n v="31"/>
    <n v="2.3250039538406959"/>
    <n v="0"/>
    <n v="0"/>
    <n v="0"/>
    <n v="0"/>
    <n v="0"/>
    <n v="0"/>
    <n v="0"/>
    <n v="0.20655994088345508"/>
    <n v="0"/>
    <n v="0"/>
    <n v="1.936319811938354"/>
    <n v="0"/>
    <n v="0"/>
    <n v="0"/>
    <n v="0.18745551837406604"/>
    <n v="0"/>
    <n v="0"/>
    <m/>
    <n v="0"/>
    <n v="0"/>
    <n v="0"/>
    <n v="0"/>
    <n v="0"/>
    <n v="-5.3313173551798355E-3"/>
    <n v="0"/>
    <n v="0"/>
    <m/>
    <m/>
    <m/>
    <n v="7.6208664573205942"/>
    <n v="0"/>
    <n v="0"/>
    <n v="-1.2590400000000006"/>
    <n v="1.9358599999999981"/>
    <n v="0"/>
    <n v="0"/>
    <n v="-1.6475902090656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8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1.222"/>
    <n v="11.222"/>
    <n v="11.222"/>
    <n v="11.222"/>
    <m/>
    <n v="158.36000000000001"/>
    <n v="171.61"/>
    <m/>
    <n v="3702.9233400000003"/>
    <n v="3702.9233400000003"/>
    <n v="3791.2404799999999"/>
    <n v="0"/>
    <n v="0"/>
    <n v="0"/>
    <n v="0"/>
    <n v="0"/>
    <n v="598.53651376294181"/>
    <n v="994.43445795408968"/>
    <n v="1855.8295832688141"/>
    <n v="69.973175655146505"/>
    <n v="0"/>
    <n v="0"/>
    <n v="0"/>
    <n v="0"/>
    <n v="0"/>
    <m/>
    <n v="4.4444915761010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.66324281799962"/>
    <n v="0"/>
    <n v="0"/>
    <n v="0"/>
    <n v="1885.49"/>
    <n v="98"/>
    <m/>
    <m/>
    <m/>
    <m/>
    <m/>
    <m/>
    <m/>
    <m/>
    <m/>
    <n v="2035.4928260868137"/>
    <m/>
    <m/>
    <m/>
    <m/>
    <m/>
    <m/>
    <m/>
    <m/>
    <m/>
    <m/>
    <m/>
    <m/>
    <n v="3790.5648000000001"/>
    <n v="87.611459999999624"/>
    <m/>
    <m/>
    <m/>
    <m/>
    <n v="-164.29008000000016"/>
    <n v="252.6072199999999"/>
    <n v="31"/>
    <n v="303.3859810465151"/>
    <n v="0"/>
    <n v="0"/>
    <n v="0"/>
    <n v="0"/>
    <n v="0"/>
    <n v="0"/>
    <n v="0"/>
    <n v="26.953670425513224"/>
    <n v="0"/>
    <n v="0"/>
    <n v="252.66722011130469"/>
    <n v="0"/>
    <n v="0"/>
    <n v="0"/>
    <n v="24.460765432485658"/>
    <n v="0"/>
    <n v="0"/>
    <m/>
    <n v="0"/>
    <n v="0"/>
    <n v="0"/>
    <n v="0"/>
    <n v="0"/>
    <n v="-0.69567492278869958"/>
    <n v="0"/>
    <n v="0"/>
    <m/>
    <m/>
    <m/>
    <n v="994.43445795408968"/>
    <n v="0"/>
    <n v="0"/>
    <n v="-164.29008000000022"/>
    <n v="252.60721999999987"/>
    <n v="0"/>
    <n v="0"/>
    <n v="-214.9913642573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9"/>
    <s v="Refaturamento - 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114"/>
    <n v="0.114"/>
    <n v="0.114"/>
    <n v="0.114"/>
    <m/>
    <n v="158.36000000000001"/>
    <n v="171.61"/>
    <m/>
    <n v="37.616580000000006"/>
    <n v="37.616580000000006"/>
    <n v="38.513760000000005"/>
    <n v="0"/>
    <n v="0"/>
    <n v="0"/>
    <n v="0"/>
    <n v="0"/>
    <n v="6.0803032052196908"/>
    <n v="10.102078792262184"/>
    <n v="18.852661957997221"/>
    <n v="0.71083069191647674"/>
    <n v="0"/>
    <n v="0"/>
    <n v="0"/>
    <n v="0"/>
    <n v="0"/>
    <m/>
    <n v="4.514988769163456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251300731823166"/>
    <n v="0"/>
    <n v="0"/>
    <n v="0"/>
    <n v="17.79"/>
    <n v="0"/>
    <m/>
    <m/>
    <m/>
    <m/>
    <m/>
    <m/>
    <m/>
    <m/>
    <m/>
    <n v="20.677792031179536"/>
    <m/>
    <m/>
    <m/>
    <m/>
    <m/>
    <m/>
    <m/>
    <m/>
    <m/>
    <m/>
    <m/>
    <m/>
    <n v="37.162400000000005"/>
    <n v="-0.48418000000000205"/>
    <m/>
    <m/>
    <m/>
    <m/>
    <n v="-1.6689600000000018"/>
    <n v="2.566139999999999"/>
    <n v="31"/>
    <n v="3.0819819853237114"/>
    <n v="0"/>
    <n v="0"/>
    <n v="0"/>
    <n v="0"/>
    <n v="0"/>
    <n v="0"/>
    <n v="0"/>
    <n v="0.27381201465946425"/>
    <n v="0"/>
    <n v="0"/>
    <n v="2.5667495181508428"/>
    <n v="0"/>
    <n v="0"/>
    <n v="0"/>
    <n v="0.24848754761213399"/>
    <n v="0"/>
    <n v="0"/>
    <m/>
    <n v="0"/>
    <n v="0"/>
    <n v="0"/>
    <n v="0"/>
    <n v="0"/>
    <n v="-7.0670950987267653E-3"/>
    <n v="0"/>
    <n v="0"/>
    <m/>
    <m/>
    <m/>
    <n v="10.102078792262184"/>
    <n v="0"/>
    <n v="0"/>
    <n v="-1.668960000000002"/>
    <n v="2.5661399999999972"/>
    <n v="0"/>
    <n v="0"/>
    <n v="-2.1840149282962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60"/>
    <s v="Regular"/>
    <s v="Convencional"/>
    <s v="B3"/>
    <s v="Industrial"/>
    <s v="Não se aplica"/>
    <s v="Não se aplica"/>
    <s v="Não se aplica"/>
    <s v="Não se aplica"/>
    <s v="CATIVO"/>
    <x v="1"/>
    <n v="0"/>
    <n v="0"/>
    <n v="249.876"/>
    <n v="249.876"/>
    <n v="249.876"/>
    <n v="249.876"/>
    <m/>
    <n v="239.69"/>
    <n v="171.61"/>
    <m/>
    <n v="102773.9988"/>
    <n v="102773.9988"/>
    <n v="102396.68604"/>
    <n v="0"/>
    <n v="15106.828123343334"/>
    <n v="0"/>
    <n v="0"/>
    <n v="0"/>
    <n v="13327.384593925224"/>
    <n v="22142.693335923734"/>
    <n v="41323.050521197489"/>
    <n v="1558.0660523975573"/>
    <n v="0"/>
    <n v="0"/>
    <n v="0"/>
    <n v="0"/>
    <n v="2335.868528616234"/>
    <m/>
    <n v="98.963801200305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00.4930014605661"/>
    <n v="0"/>
    <n v="0"/>
    <n v="0"/>
    <n v="45733.58"/>
    <n v="78"/>
    <m/>
    <m/>
    <m/>
    <m/>
    <m/>
    <m/>
    <m/>
    <m/>
    <m/>
    <n v="45323.543522658052"/>
    <m/>
    <m/>
    <m/>
    <m/>
    <m/>
    <m/>
    <m/>
    <m/>
    <m/>
    <m/>
    <m/>
    <m/>
    <n v="102398.32519999999"/>
    <n v="-375.70360000002256"/>
    <m/>
    <m/>
    <m/>
    <m/>
    <n v="-6002.021520000003"/>
    <n v="5624.7087599999977"/>
    <n v="31"/>
    <n v="4411.2217282202619"/>
    <n v="0"/>
    <n v="0"/>
    <n v="0"/>
    <n v="0"/>
    <n v="0"/>
    <n v="0"/>
    <n v="0"/>
    <n v="600.1671138162128"/>
    <n v="0"/>
    <n v="0"/>
    <n v="5626.0447596268423"/>
    <n v="0"/>
    <n v="0"/>
    <n v="0"/>
    <n v="544.65854778183893"/>
    <n v="0"/>
    <n v="-2074.9644397480624"/>
    <m/>
    <n v="0"/>
    <n v="0"/>
    <n v="0"/>
    <n v="0"/>
    <n v="-269.19392470491948"/>
    <n v="-15.490328551661833"/>
    <n v="0"/>
    <n v="0"/>
    <m/>
    <m/>
    <m/>
    <n v="22142.693335923734"/>
    <n v="0"/>
    <n v="0"/>
    <n v="-6002.0215200000021"/>
    <n v="5624.7087599999941"/>
    <n v="0"/>
    <n v="0"/>
    <n v="-4787.1308265171865"/>
    <n v="0"/>
    <n v="0"/>
    <n v="0"/>
    <n v="0"/>
    <n v="0"/>
    <n v="0"/>
    <n v="0"/>
    <n v="0"/>
    <n v="0"/>
    <n v="0"/>
    <n v="0"/>
    <n v="0"/>
    <n v="2880.81955352929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61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6.4710000000000001"/>
    <n v="6.4710000000000001"/>
    <n v="6.4710000000000001"/>
    <n v="6.4710000000000001"/>
    <m/>
    <n v="239.69"/>
    <n v="171.61"/>
    <m/>
    <n v="2661.5223000000001"/>
    <n v="2661.5223000000001"/>
    <n v="2651.7510899999997"/>
    <n v="0"/>
    <n v="391.21918385981331"/>
    <n v="0"/>
    <n v="0"/>
    <n v="0"/>
    <n v="345.13721088575983"/>
    <n v="573.42589355025086"/>
    <n v="1070.136627457895"/>
    <n v="40.348994801680007"/>
    <n v="0"/>
    <n v="0"/>
    <n v="0"/>
    <n v="0"/>
    <n v="60.491624840623544"/>
    <m/>
    <n v="2.5628502039698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60014652248044"/>
    <n v="0"/>
    <n v="0"/>
    <n v="0"/>
    <n v="1195.3900000000001"/>
    <n v="4"/>
    <m/>
    <m/>
    <m/>
    <m/>
    <m/>
    <m/>
    <m/>
    <m/>
    <m/>
    <n v="1173.7367739803753"/>
    <m/>
    <m/>
    <m/>
    <m/>
    <m/>
    <m/>
    <m/>
    <m/>
    <m/>
    <m/>
    <m/>
    <m/>
    <n v="2651.3413"/>
    <n v="-10.21100000000024"/>
    <m/>
    <m/>
    <m/>
    <m/>
    <n v="-155.43342000000007"/>
    <n v="145.66220999999993"/>
    <n v="31"/>
    <n v="114.23672462866898"/>
    <n v="0"/>
    <n v="0"/>
    <n v="0"/>
    <n v="0"/>
    <n v="0"/>
    <n v="0"/>
    <n v="0"/>
    <n v="15.542434621591156"/>
    <n v="0"/>
    <n v="0"/>
    <n v="145.69680817503604"/>
    <n v="0"/>
    <n v="0"/>
    <n v="0"/>
    <n v="14.104937899983497"/>
    <n v="0"/>
    <n v="-53.735032134377491"/>
    <m/>
    <n v="0"/>
    <n v="0"/>
    <n v="0"/>
    <n v="0"/>
    <n v="-6.9712732986182502"/>
    <n v="-0.40115063494614844"/>
    <n v="0"/>
    <n v="0"/>
    <m/>
    <m/>
    <m/>
    <n v="573.42589355025086"/>
    <n v="0"/>
    <n v="0"/>
    <n v="-155.43342000000007"/>
    <n v="145.66220999999996"/>
    <n v="0"/>
    <n v="0"/>
    <n v="-123.97158421934364"/>
    <n v="0"/>
    <n v="0"/>
    <n v="0"/>
    <n v="0"/>
    <n v="0"/>
    <n v="0"/>
    <n v="0"/>
    <n v="0"/>
    <n v="0"/>
    <n v="0"/>
    <n v="0"/>
    <n v="0"/>
    <n v="74.60413697549205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62"/>
    <s v="Regular"/>
    <s v="Azul"/>
    <s v="A4"/>
    <s v="Industrial"/>
    <s v="Não se aplica"/>
    <s v="Não se aplica"/>
    <s v="Não se aplica"/>
    <s v="Ponta"/>
    <s v="CATIVO"/>
    <x v="1"/>
    <n v="19549"/>
    <n v="19549"/>
    <n v="912.226"/>
    <n v="912.226"/>
    <n v="912.226"/>
    <n v="912.226"/>
    <n v="37.64"/>
    <n v="78.42"/>
    <n v="171.61"/>
    <n v="735824.36"/>
    <n v="228083.86678000001"/>
    <n v="963908.22678000003"/>
    <n v="901946.10904000001"/>
    <n v="0"/>
    <n v="47981.126681758731"/>
    <n v="0"/>
    <n v="0"/>
    <n v="0"/>
    <n v="319511.10911431018"/>
    <n v="416246.68040036852"/>
    <n v="150858.67023943836"/>
    <n v="5688.0547260017529"/>
    <n v="0"/>
    <n v="0"/>
    <n v="0"/>
    <n v="0"/>
    <n v="8527.5897020340981"/>
    <m/>
    <n v="240.882830746612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38.732325047019"/>
    <n v="0"/>
    <n v="0"/>
    <n v="0"/>
    <n v="0"/>
    <n v="0"/>
    <m/>
    <m/>
    <m/>
    <m/>
    <m/>
    <m/>
    <m/>
    <m/>
    <m/>
    <n v="156497.40256448538"/>
    <m/>
    <m/>
    <m/>
    <m/>
    <m/>
    <m/>
    <m/>
    <m/>
    <m/>
    <m/>
    <m/>
    <m/>
    <n v="901947.16920000012"/>
    <n v="-61961.087579999934"/>
    <m/>
    <m/>
    <m/>
    <m/>
    <n v="-82496.324999999953"/>
    <n v="20534.207259999992"/>
    <n v="31"/>
    <n v="28084.415589653305"/>
    <n v="0"/>
    <n v="0"/>
    <n v="0"/>
    <n v="0"/>
    <n v="0"/>
    <n v="0"/>
    <n v="0"/>
    <n v="14388.4239880612"/>
    <n v="0"/>
    <n v="0"/>
    <n v="20539.084613549727"/>
    <n v="0"/>
    <n v="0"/>
    <n v="0"/>
    <n v="767.70132040457884"/>
    <n v="0"/>
    <n v="-6590.339866901304"/>
    <m/>
    <n v="0"/>
    <n v="0"/>
    <n v="0"/>
    <n v="0"/>
    <n v="-982.75023274692103"/>
    <n v="-37.704232714010487"/>
    <n v="0"/>
    <n v="0"/>
    <m/>
    <m/>
    <n v="416246.68040036852"/>
    <n v="0"/>
    <n v="0"/>
    <n v="0"/>
    <n v="-82496.324999999953"/>
    <n v="20534.207259999996"/>
    <n v="0"/>
    <n v="0"/>
    <n v="-89990.286409613676"/>
    <n v="0"/>
    <n v="0"/>
    <n v="0"/>
    <n v="0"/>
    <n v="0"/>
    <n v="0"/>
    <n v="0"/>
    <n v="0"/>
    <n v="0"/>
    <n v="0"/>
    <n v="0"/>
    <n v="0"/>
    <n v="9149.833890781388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63"/>
    <s v="Sistema de Compensação"/>
    <s v="Azul"/>
    <s v="A4"/>
    <s v="Industrial"/>
    <s v="Não se aplica"/>
    <s v="Não se aplica"/>
    <s v="Não se aplica"/>
    <s v="Ponta"/>
    <s v="CATIVO"/>
    <x v="1"/>
    <n v="1345"/>
    <n v="1345"/>
    <n v="69.906000000000006"/>
    <n v="69.906000000000006"/>
    <n v="69.906000000000006"/>
    <n v="69.906000000000006"/>
    <n v="37.64"/>
    <n v="78.42"/>
    <n v="171.61"/>
    <n v="50625.8"/>
    <n v="17478.597180000004"/>
    <n v="68104.39718"/>
    <n v="63948.536240000001"/>
    <n v="0"/>
    <n v="3676.9053302745438"/>
    <n v="0"/>
    <n v="0"/>
    <n v="0"/>
    <n v="21982.835017583875"/>
    <n v="28638.384834952973"/>
    <n v="11560.650761717139"/>
    <n v="435.88886271151949"/>
    <n v="0"/>
    <n v="0"/>
    <n v="0"/>
    <n v="0"/>
    <n v="653.48903200566065"/>
    <m/>
    <n v="18.459411556097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10917241422294"/>
    <n v="0"/>
    <n v="0"/>
    <n v="0"/>
    <n v="0"/>
    <n v="0"/>
    <m/>
    <m/>
    <m/>
    <m/>
    <m/>
    <m/>
    <m/>
    <m/>
    <m/>
    <n v="11992.759934131362"/>
    <m/>
    <m/>
    <m/>
    <m/>
    <m/>
    <m/>
    <m/>
    <m/>
    <m/>
    <m/>
    <m/>
    <m/>
    <n v="63949.596400000002"/>
    <n v="-4154.8307799999966"/>
    <m/>
    <m/>
    <m/>
    <m/>
    <n v="-5729.444999999997"/>
    <n v="1573.5840599999995"/>
    <n v="31"/>
    <n v="2039.5004577472864"/>
    <n v="0"/>
    <n v="0"/>
    <n v="0"/>
    <n v="0"/>
    <n v="0"/>
    <n v="0"/>
    <n v="0"/>
    <n v="989.94476770895562"/>
    <n v="0"/>
    <n v="0"/>
    <n v="1573.9578229460767"/>
    <n v="0"/>
    <n v="0"/>
    <n v="0"/>
    <n v="58.830737672684734"/>
    <n v="0"/>
    <n v="-505.03307155858556"/>
    <m/>
    <n v="0"/>
    <n v="0"/>
    <n v="0"/>
    <n v="0"/>
    <n v="-75.31043597793348"/>
    <n v="-2.8893630439229057"/>
    <n v="0"/>
    <n v="0"/>
    <m/>
    <m/>
    <n v="28638.384834952973"/>
    <n v="0"/>
    <n v="0"/>
    <n v="0"/>
    <n v="-5729.4449999999997"/>
    <n v="1573.5840599999992"/>
    <n v="0"/>
    <n v="0"/>
    <n v="-6191.4642805734511"/>
    <n v="0"/>
    <n v="0"/>
    <n v="0"/>
    <n v="0"/>
    <n v="0"/>
    <n v="0"/>
    <n v="0"/>
    <n v="0"/>
    <n v="0"/>
    <n v="0"/>
    <n v="0"/>
    <n v="0"/>
    <n v="701.1730513808680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64"/>
    <s v="Regular"/>
    <s v="Azul"/>
    <s v="A4"/>
    <s v="Industrial"/>
    <s v="Não se aplica"/>
    <s v="Não se aplica"/>
    <s v="Não se aplica"/>
    <s v="Fora ponta"/>
    <s v="CATIVO"/>
    <x v="1"/>
    <n v="22044"/>
    <n v="22044"/>
    <n v="8572.3619999999992"/>
    <n v="8572.3619999999992"/>
    <n v="8572.3619999999992"/>
    <n v="8572.3619999999992"/>
    <n v="12.58"/>
    <n v="78.42"/>
    <n v="171.61"/>
    <n v="277313.52"/>
    <n v="2143347.67086"/>
    <n v="2420661.19086"/>
    <n v="2527508.7844799999"/>
    <n v="0"/>
    <n v="450887.81407665927"/>
    <n v="0"/>
    <n v="0"/>
    <n v="0"/>
    <n v="146095.27462940305"/>
    <n v="131155.38575609858"/>
    <n v="1417647.7453296576"/>
    <n v="53451.736945776414"/>
    <n v="0"/>
    <n v="0"/>
    <n v="0"/>
    <n v="0"/>
    <n v="80135.389600064489"/>
    <m/>
    <n v="2263.62198045735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988.244921110236"/>
    <n v="0"/>
    <n v="0"/>
    <n v="0"/>
    <n v="0"/>
    <n v="0"/>
    <m/>
    <m/>
    <m/>
    <m/>
    <m/>
    <m/>
    <m/>
    <m/>
    <m/>
    <n v="1470635.9902507679"/>
    <m/>
    <m/>
    <m/>
    <m/>
    <m/>
    <m/>
    <m/>
    <m/>
    <m/>
    <m/>
    <m/>
    <m/>
    <n v="2527508.2544"/>
    <n v="106847.03354000021"/>
    <m/>
    <m/>
    <m/>
    <m/>
    <n v="-86116.274999999994"/>
    <n v="192963.86861999991"/>
    <n v="31"/>
    <n v="135282.90338711068"/>
    <n v="0"/>
    <n v="0"/>
    <n v="0"/>
    <n v="0"/>
    <n v="0"/>
    <n v="0"/>
    <n v="0"/>
    <n v="6579.0537294527749"/>
    <n v="0"/>
    <n v="0"/>
    <n v="193009.7020431105"/>
    <n v="0"/>
    <n v="0"/>
    <n v="0"/>
    <n v="7214.2359748418094"/>
    <n v="0"/>
    <n v="-61930.682793638611"/>
    <m/>
    <n v="0"/>
    <n v="0"/>
    <n v="0"/>
    <n v="0"/>
    <n v="-9235.0916885627812"/>
    <n v="-354.31387809242483"/>
    <n v="0"/>
    <n v="0"/>
    <m/>
    <m/>
    <n v="131155.38575609858"/>
    <n v="0"/>
    <n v="0"/>
    <n v="0"/>
    <n v="-86116.27500000014"/>
    <n v="192963.86861999985"/>
    <n v="0"/>
    <n v="0"/>
    <n v="-28355.086740877712"/>
    <n v="0"/>
    <n v="0"/>
    <n v="0"/>
    <n v="0"/>
    <n v="0"/>
    <n v="0"/>
    <n v="0"/>
    <n v="0"/>
    <n v="0"/>
    <n v="0"/>
    <n v="0"/>
    <n v="0"/>
    <n v="85982.73711958057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65"/>
    <s v="Sistema de Compensação"/>
    <s v="Azul"/>
    <s v="A4"/>
    <s v="Industrial"/>
    <s v="Não se aplica"/>
    <s v="Não se aplica"/>
    <s v="Não se aplica"/>
    <s v="Fora ponta"/>
    <s v="CATIVO"/>
    <x v="1"/>
    <n v="1343"/>
    <n v="1343"/>
    <n v="649.84699999999998"/>
    <n v="649.84699999999998"/>
    <n v="649.84699999999998"/>
    <n v="649.84699999999998"/>
    <n v="12.58"/>
    <n v="78.42"/>
    <n v="171.61"/>
    <n v="16894.939999999999"/>
    <n v="162481.24541"/>
    <n v="179376.18541000001"/>
    <n v="187800.81887999998"/>
    <n v="0"/>
    <n v="34180.555290860888"/>
    <n v="0"/>
    <n v="0"/>
    <n v="0"/>
    <n v="8900.6511444061107"/>
    <n v="7990.4592211232266"/>
    <n v="107467.94574928614"/>
    <n v="4052.0280057004088"/>
    <n v="0"/>
    <n v="0"/>
    <n v="0"/>
    <n v="0"/>
    <n v="6074.8417443679009"/>
    <m/>
    <n v="171.59890741131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16.8919601445582"/>
    <n v="0"/>
    <n v="0"/>
    <n v="0"/>
    <n v="0"/>
    <n v="0"/>
    <m/>
    <m/>
    <m/>
    <m/>
    <m/>
    <m/>
    <m/>
    <m/>
    <m/>
    <n v="111484.83770943069"/>
    <m/>
    <m/>
    <m/>
    <m/>
    <m/>
    <m/>
    <m/>
    <m/>
    <m/>
    <m/>
    <m/>
    <m/>
    <n v="187801.614"/>
    <n v="8425.3985899999971"/>
    <m/>
    <m/>
    <m/>
    <m/>
    <n v="-6203.4225000000006"/>
    <n v="14628.055969999994"/>
    <n v="31"/>
    <n v="10157.501752000418"/>
    <n v="0"/>
    <n v="0"/>
    <n v="0"/>
    <n v="0"/>
    <n v="0"/>
    <n v="0"/>
    <n v="0"/>
    <n v="400.8196860213684"/>
    <n v="0"/>
    <n v="0"/>
    <n v="14631.530474752377"/>
    <n v="0"/>
    <n v="0"/>
    <n v="0"/>
    <n v="546.89123085831261"/>
    <n v="0"/>
    <n v="-4694.7933861633101"/>
    <m/>
    <n v="0"/>
    <n v="0"/>
    <n v="0"/>
    <n v="0"/>
    <n v="-700.08670055434595"/>
    <n v="-26.859552913972578"/>
    <n v="0"/>
    <n v="0"/>
    <m/>
    <m/>
    <n v="7990.4592211232266"/>
    <n v="0"/>
    <n v="0"/>
    <n v="0"/>
    <n v="-6203.4225000000006"/>
    <n v="14628.055969999987"/>
    <n v="0"/>
    <n v="0"/>
    <n v="-1727.494170431808"/>
    <n v="0"/>
    <n v="0"/>
    <n v="0"/>
    <n v="0"/>
    <n v="0"/>
    <n v="0"/>
    <n v="0"/>
    <n v="0"/>
    <n v="0"/>
    <n v="0"/>
    <n v="0"/>
    <n v="0"/>
    <n v="6518.112950543629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66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84615.55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67"/>
    <s v="Sistema de Compensação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8193.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68"/>
    <s v="Regular"/>
    <s v="Verde"/>
    <s v="A4"/>
    <s v="Industrial"/>
    <s v="Não se aplica"/>
    <s v="Não se aplica"/>
    <s v="Não se aplica"/>
    <s v="Ponta"/>
    <s v="CATIVO"/>
    <x v="1"/>
    <n v="0"/>
    <n v="0"/>
    <n v="160.52099999999999"/>
    <n v="160.52099999999999"/>
    <n v="160.52099999999999"/>
    <n v="160.52099999999999"/>
    <m/>
    <n v="984.21"/>
    <n v="171.61"/>
    <m/>
    <n v="185533.38222"/>
    <n v="185533.38222"/>
    <n v="173017.55984999996"/>
    <n v="0"/>
    <n v="8443.0595445455328"/>
    <n v="0"/>
    <n v="0"/>
    <n v="0"/>
    <n v="63198.508678648839"/>
    <n v="82199.934114233154"/>
    <n v="26546.036404909399"/>
    <n v="1000.9057324309188"/>
    <n v="0"/>
    <n v="0"/>
    <n v="0"/>
    <n v="0"/>
    <n v="1500.5680901007156"/>
    <m/>
    <n v="42.3872514862292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2.22665386524"/>
    <n v="0"/>
    <n v="0"/>
    <n v="0"/>
    <n v="0"/>
    <n v="0"/>
    <m/>
    <m/>
    <m/>
    <m/>
    <m/>
    <m/>
    <m/>
    <m/>
    <m/>
    <n v="27538.263058774639"/>
    <m/>
    <m/>
    <m/>
    <m/>
    <m/>
    <m/>
    <m/>
    <m/>
    <m/>
    <m/>
    <m/>
    <m/>
    <n v="173016.48200000002"/>
    <n v="-12516.930220000009"/>
    <m/>
    <m/>
    <m/>
    <m/>
    <n v="-16129.150080000001"/>
    <n v="3613.3277099999982"/>
    <n v="31"/>
    <n v="5256.0272041565622"/>
    <n v="0"/>
    <n v="0"/>
    <n v="0"/>
    <n v="0"/>
    <n v="0"/>
    <n v="0"/>
    <n v="0"/>
    <n v="2845.9947474197979"/>
    <n v="0"/>
    <n v="0"/>
    <n v="3614.1859596762406"/>
    <n v="0"/>
    <n v="0"/>
    <n v="0"/>
    <n v="135.08953225698838"/>
    <n v="0"/>
    <n v="-1159.6774766065264"/>
    <m/>
    <n v="0"/>
    <n v="0"/>
    <n v="0"/>
    <n v="0"/>
    <n v="-172.93088566952542"/>
    <n v="-6.634672920400952"/>
    <n v="0"/>
    <n v="0"/>
    <m/>
    <m/>
    <m/>
    <n v="82199.934114233154"/>
    <n v="0"/>
    <n v="0"/>
    <n v="-16129.150080000021"/>
    <n v="3613.3277099999978"/>
    <n v="0"/>
    <n v="0"/>
    <n v="-17771.182239042231"/>
    <n v="0"/>
    <n v="0"/>
    <n v="0"/>
    <n v="0"/>
    <n v="0"/>
    <n v="0"/>
    <n v="0"/>
    <n v="0"/>
    <n v="0"/>
    <n v="0"/>
    <n v="0"/>
    <n v="0"/>
    <n v="1610.062074510175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69"/>
    <s v="Sistema de Compensação"/>
    <s v="Verde"/>
    <s v="A4"/>
    <s v="Industrial"/>
    <s v="Não se aplica"/>
    <s v="Não se aplica"/>
    <s v="Não se aplica"/>
    <s v="Ponta"/>
    <s v="CATIVO"/>
    <x v="1"/>
    <n v="0"/>
    <n v="0"/>
    <n v="1.107"/>
    <n v="1.107"/>
    <n v="1.107"/>
    <n v="1.107"/>
    <m/>
    <n v="984.21"/>
    <n v="171.61"/>
    <m/>
    <n v="1279.4927399999999"/>
    <n v="1279.4927399999999"/>
    <n v="1193.17995"/>
    <n v="0"/>
    <n v="58.225820396159413"/>
    <n v="0"/>
    <n v="0"/>
    <n v="0"/>
    <n v="435.8354925976306"/>
    <n v="566.8749077345401"/>
    <n v="183.06927006581512"/>
    <n v="6.9025401399257866"/>
    <n v="0"/>
    <n v="0"/>
    <n v="0"/>
    <n v="0"/>
    <n v="10.348358630593458"/>
    <m/>
    <n v="0.29231494567848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426866629837884"/>
    <n v="0"/>
    <n v="0"/>
    <n v="0"/>
    <n v="0"/>
    <n v="0"/>
    <m/>
    <m/>
    <m/>
    <m/>
    <m/>
    <m/>
    <m/>
    <m/>
    <m/>
    <n v="189.91195672879891"/>
    <m/>
    <m/>
    <m/>
    <m/>
    <m/>
    <m/>
    <m/>
    <m/>
    <m/>
    <m/>
    <m/>
    <m/>
    <n v="1196.4135000000001"/>
    <n v="-83.109239999999772"/>
    <m/>
    <m/>
    <m/>
    <m/>
    <n v="-111.23136000000002"/>
    <n v="24.918569999999988"/>
    <n v="31"/>
    <n v="36.247108571472381"/>
    <n v="0"/>
    <n v="0"/>
    <n v="0"/>
    <n v="0"/>
    <n v="0"/>
    <n v="0"/>
    <n v="0"/>
    <n v="19.626816338010144"/>
    <n v="0"/>
    <n v="0"/>
    <n v="24.924488742043707"/>
    <n v="0"/>
    <n v="0"/>
    <n v="0"/>
    <n v="0.9316171230461201"/>
    <n v="0"/>
    <n v="-7.997476757579534"/>
    <m/>
    <n v="0"/>
    <n v="0"/>
    <n v="0"/>
    <n v="0"/>
    <n v="-1.1925822193741933"/>
    <n v="-4.5754654673742678E-2"/>
    <n v="0"/>
    <n v="0"/>
    <m/>
    <m/>
    <m/>
    <n v="566.8749077345401"/>
    <n v="0"/>
    <n v="0"/>
    <n v="-111.23135999999988"/>
    <n v="24.918569999999988"/>
    <n v="0"/>
    <n v="0"/>
    <n v="-122.55529643236559"/>
    <n v="0"/>
    <n v="0"/>
    <n v="0"/>
    <n v="0"/>
    <n v="0"/>
    <n v="0"/>
    <n v="0"/>
    <n v="0"/>
    <n v="0"/>
    <n v="0"/>
    <n v="0"/>
    <n v="0"/>
    <n v="11.10346133205477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70"/>
    <s v="Regular"/>
    <s v="Verde"/>
    <s v="A4"/>
    <s v="Industrial"/>
    <s v="Não se aplica"/>
    <s v="Não se aplica"/>
    <s v="Não se aplica"/>
    <s v="Fora ponta"/>
    <s v="CATIVO"/>
    <x v="1"/>
    <n v="0"/>
    <n v="0"/>
    <n v="1968.095"/>
    <n v="1968.095"/>
    <n v="1968.095"/>
    <n v="1968.095"/>
    <m/>
    <n v="78.42"/>
    <n v="171.61"/>
    <m/>
    <n v="492082.79285000003"/>
    <n v="492082.79285000003"/>
    <n v="521623.89880000008"/>
    <n v="0"/>
    <n v="103517.56638896058"/>
    <n v="0"/>
    <n v="0"/>
    <n v="0"/>
    <n v="0"/>
    <n v="0"/>
    <n v="325472.19066863635"/>
    <n v="12271.774829889107"/>
    <n v="0"/>
    <n v="0"/>
    <n v="0"/>
    <n v="0"/>
    <n v="18397.970080467778"/>
    <m/>
    <n v="519.69610028463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65.363512181644"/>
    <n v="0"/>
    <n v="0"/>
    <n v="0"/>
    <n v="0"/>
    <n v="0"/>
    <m/>
    <m/>
    <m/>
    <m/>
    <m/>
    <m/>
    <m/>
    <m/>
    <m/>
    <n v="337637.55418081797"/>
    <m/>
    <m/>
    <m/>
    <m/>
    <m/>
    <m/>
    <m/>
    <m/>
    <m/>
    <m/>
    <m/>
    <m/>
    <n v="521625.22399999999"/>
    <n v="29542.401149999932"/>
    <m/>
    <m/>
    <m/>
    <m/>
    <n v="-14760.7125"/>
    <n v="44301.818449999984"/>
    <n v="31"/>
    <n v="29548.61250516359"/>
    <n v="0"/>
    <n v="0"/>
    <n v="0"/>
    <n v="0"/>
    <n v="0"/>
    <n v="0"/>
    <n v="0"/>
    <n v="0"/>
    <n v="0"/>
    <n v="0"/>
    <n v="44312.341166009486"/>
    <n v="0"/>
    <n v="0"/>
    <n v="0"/>
    <n v="1656.2881678242575"/>
    <n v="0"/>
    <n v="-14218.422781579487"/>
    <m/>
    <n v="0"/>
    <n v="0"/>
    <n v="0"/>
    <n v="0"/>
    <n v="-2120.2485122305789"/>
    <n v="-81.345534860090083"/>
    <n v="0"/>
    <n v="0"/>
    <m/>
    <m/>
    <m/>
    <n v="0"/>
    <n v="0"/>
    <n v="0"/>
    <n v="-14760.712499999994"/>
    <n v="44301.818450000021"/>
    <n v="0"/>
    <n v="0"/>
    <n v="0"/>
    <n v="0"/>
    <n v="0"/>
    <n v="0"/>
    <n v="0"/>
    <n v="0"/>
    <n v="0"/>
    <n v="0"/>
    <n v="0"/>
    <n v="0"/>
    <n v="0"/>
    <n v="0"/>
    <n v="0"/>
    <n v="19740.43968411051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71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4.1109999999999998"/>
    <n v="4.1109999999999998"/>
    <n v="4.1109999999999998"/>
    <n v="4.1109999999999998"/>
    <m/>
    <n v="78.42"/>
    <n v="171.61"/>
    <m/>
    <n v="1027.8733299999999"/>
    <n v="1027.8733299999999"/>
    <n v="1089.57944"/>
    <n v="0"/>
    <n v="216.22976300687563"/>
    <n v="0"/>
    <n v="0"/>
    <n v="0"/>
    <n v="0"/>
    <n v="0"/>
    <n v="679.85345008181207"/>
    <n v="25.633552407619611"/>
    <n v="0"/>
    <n v="0"/>
    <n v="0"/>
    <n v="0"/>
    <n v="38.430083405934688"/>
    <m/>
    <n v="1.08555261218088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11278113393273"/>
    <n v="0"/>
    <n v="0"/>
    <n v="0"/>
    <n v="0"/>
    <n v="0"/>
    <m/>
    <m/>
    <m/>
    <m/>
    <m/>
    <m/>
    <m/>
    <m/>
    <m/>
    <n v="705.26472819520529"/>
    <m/>
    <m/>
    <m/>
    <m/>
    <m/>
    <m/>
    <m/>
    <m/>
    <m/>
    <m/>
    <m/>
    <m/>
    <n v="1089.3144000000002"/>
    <n v="61.411070000000336"/>
    <m/>
    <m/>
    <m/>
    <m/>
    <n v="-30.8325"/>
    <n v="92.538609999999963"/>
    <n v="31"/>
    <n v="61.721789857058411"/>
    <n v="0"/>
    <n v="0"/>
    <n v="0"/>
    <n v="0"/>
    <n v="0"/>
    <n v="0"/>
    <n v="0"/>
    <n v="0"/>
    <n v="0"/>
    <n v="0"/>
    <n v="92.560590079983399"/>
    <n v="0"/>
    <n v="0"/>
    <n v="0"/>
    <n v="3.4596910504449845"/>
    <n v="0"/>
    <n v="-29.699753342736614"/>
    <m/>
    <n v="0"/>
    <n v="0"/>
    <n v="0"/>
    <n v="0"/>
    <n v="-4.428821593358002"/>
    <n v="-0.1699163372752992"/>
    <n v="0"/>
    <n v="0"/>
    <m/>
    <m/>
    <m/>
    <n v="0"/>
    <n v="0"/>
    <n v="0"/>
    <n v="-30.832499999999982"/>
    <n v="92.538609999999949"/>
    <n v="0"/>
    <n v="0"/>
    <n v="0"/>
    <n v="0"/>
    <n v="0"/>
    <n v="0"/>
    <n v="0"/>
    <n v="0"/>
    <n v="0"/>
    <n v="0"/>
    <n v="0"/>
    <n v="0"/>
    <n v="0"/>
    <n v="0"/>
    <n v="0"/>
    <n v="41.2342633568899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72"/>
    <s v="Regular"/>
    <s v="Verde"/>
    <s v="A4"/>
    <s v="Industrial"/>
    <s v="Não se aplica"/>
    <s v="Não se aplica"/>
    <s v="Não se aplica"/>
    <s v="Não se aplica"/>
    <s v="CATIVO"/>
    <x v="1"/>
    <n v="9537"/>
    <n v="9537"/>
    <n v="0"/>
    <n v="0"/>
    <n v="0"/>
    <n v="0"/>
    <n v="12.58"/>
    <m/>
    <m/>
    <n v="119975.46"/>
    <m/>
    <n v="119975.46"/>
    <n v="110533.83"/>
    <n v="0"/>
    <n v="0"/>
    <n v="0"/>
    <n v="0"/>
    <n v="0"/>
    <n v="63205.889772301627"/>
    <n v="56742.3749753180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68894.44"/>
    <n v="49"/>
    <m/>
    <m/>
    <m/>
    <m/>
    <m/>
    <m/>
    <m/>
    <m/>
    <m/>
    <n v="0"/>
    <m/>
    <m/>
    <m/>
    <m/>
    <m/>
    <m/>
    <m/>
    <m/>
    <m/>
    <m/>
    <m/>
    <m/>
    <n v="110533.83"/>
    <n v="-9441.6599999999889"/>
    <m/>
    <m/>
    <m/>
    <m/>
    <n v="-9441.6300000000028"/>
    <n v="0"/>
    <n v="31"/>
    <n v="2846.3271374428878"/>
    <n v="0"/>
    <n v="0"/>
    <n v="0"/>
    <n v="0"/>
    <m/>
    <m/>
    <m/>
    <n v="2846.32713744288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742.374975318096"/>
    <m/>
    <n v="0"/>
    <n v="0"/>
    <n v="-9441.6300000000047"/>
    <m/>
    <n v="0"/>
    <m/>
    <n v="-12267.39531154739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73"/>
    <s v="Sistema de Compensação"/>
    <s v="Verde"/>
    <s v="A4"/>
    <s v="Industrial"/>
    <s v="Não se aplica"/>
    <s v="Não se aplica"/>
    <s v="Não se aplica"/>
    <s v="Não se aplica"/>
    <s v="CATIVO"/>
    <x v="1"/>
    <n v="821"/>
    <n v="821"/>
    <n v="0"/>
    <n v="0"/>
    <n v="0"/>
    <n v="0"/>
    <n v="12.58"/>
    <m/>
    <m/>
    <n v="10328.18"/>
    <m/>
    <n v="10328.18"/>
    <n v="9515.39"/>
    <n v="0"/>
    <n v="0"/>
    <n v="0"/>
    <n v="0"/>
    <n v="0"/>
    <n v="5441.1277658655381"/>
    <n v="4884.7111098601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02.42"/>
    <n v="3"/>
    <m/>
    <m/>
    <m/>
    <m/>
    <m/>
    <m/>
    <m/>
    <m/>
    <m/>
    <n v="0"/>
    <m/>
    <m/>
    <m/>
    <m/>
    <m/>
    <m/>
    <m/>
    <m/>
    <m/>
    <m/>
    <m/>
    <m/>
    <n v="9515.39"/>
    <n v="-812.82000000000153"/>
    <m/>
    <m/>
    <m/>
    <m/>
    <n v="-812.79000000000019"/>
    <n v="0"/>
    <n v="31"/>
    <n v="245.02826673383697"/>
    <n v="0"/>
    <n v="0"/>
    <n v="0"/>
    <n v="0"/>
    <m/>
    <m/>
    <m/>
    <n v="245.028266733836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4.7111098601408"/>
    <m/>
    <n v="0"/>
    <n v="0"/>
    <n v="-812.79000000000087"/>
    <m/>
    <n v="0"/>
    <m/>
    <n v="-1056.04818609420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74"/>
    <s v="Regular"/>
    <s v="Convencional"/>
    <s v="B3"/>
    <s v="Comercial"/>
    <s v="Não se aplica"/>
    <s v="Não se aplica"/>
    <s v="Não se aplica"/>
    <s v="Não se aplica"/>
    <s v="CATIVO"/>
    <x v="1"/>
    <n v="0"/>
    <n v="0"/>
    <n v="472.48599999999999"/>
    <n v="472.48599999999999"/>
    <n v="472.48599999999999"/>
    <n v="472.48599999999999"/>
    <m/>
    <n v="239.69"/>
    <n v="171.61"/>
    <m/>
    <n v="194333.49180000002"/>
    <n v="194333.49180000002"/>
    <n v="193620.03794000001"/>
    <n v="0"/>
    <n v="28565.227523595699"/>
    <n v="0"/>
    <n v="0"/>
    <n v="0"/>
    <n v="25200.510001942377"/>
    <n v="41869.217545971842"/>
    <n v="78137.007349879597"/>
    <n v="2946.1188622881436"/>
    <n v="0"/>
    <n v="0"/>
    <n v="0"/>
    <n v="0"/>
    <n v="4416.8514687755924"/>
    <m/>
    <n v="187.12885820938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64.4597171721052"/>
    <n v="0"/>
    <n v="0"/>
    <n v="0"/>
    <n v="86573.91"/>
    <n v="550"/>
    <m/>
    <m/>
    <m/>
    <m/>
    <m/>
    <m/>
    <m/>
    <m/>
    <m/>
    <n v="85701.467067051708"/>
    <m/>
    <m/>
    <m/>
    <m/>
    <m/>
    <m/>
    <m/>
    <m/>
    <m/>
    <m/>
    <m/>
    <m/>
    <n v="193621.6771"/>
    <n v="-711.84469999998691"/>
    <m/>
    <m/>
    <m/>
    <m/>
    <n v="-11349.113720000005"/>
    <n v="10635.659859999996"/>
    <n v="31"/>
    <n v="8341.0992231341661"/>
    <n v="0"/>
    <n v="0"/>
    <n v="0"/>
    <n v="0"/>
    <n v="0"/>
    <n v="0"/>
    <n v="0"/>
    <n v="1134.8451189332591"/>
    <n v="0"/>
    <n v="0"/>
    <n v="10638.186077482635"/>
    <n v="0"/>
    <n v="0"/>
    <n v="0"/>
    <n v="1029.8849773777783"/>
    <n v="0"/>
    <n v="-3923.5126553922892"/>
    <m/>
    <n v="0"/>
    <n v="0"/>
    <n v="0"/>
    <n v="0"/>
    <n v="-509.01391373372644"/>
    <n v="-29.290381533482559"/>
    <n v="0"/>
    <n v="0"/>
    <m/>
    <m/>
    <m/>
    <n v="41869.217545971842"/>
    <n v="0"/>
    <n v="0"/>
    <n v="-11349.113719999994"/>
    <n v="10635.659859999985"/>
    <n v="0"/>
    <n v="0"/>
    <n v="-9051.8989246578203"/>
    <n v="0"/>
    <n v="0"/>
    <n v="0"/>
    <n v="0"/>
    <n v="0"/>
    <n v="0"/>
    <n v="0"/>
    <n v="0"/>
    <n v="0"/>
    <n v="0"/>
    <n v="0"/>
    <n v="0"/>
    <n v="5447.289485860352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75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8.0820000000000007"/>
    <n v="8.0820000000000007"/>
    <n v="8.0820000000000007"/>
    <n v="8.0820000000000007"/>
    <m/>
    <n v="239.69"/>
    <n v="171.61"/>
    <m/>
    <n v="3324.1266000000005"/>
    <n v="3324.1266000000005"/>
    <n v="3311.9227799999999"/>
    <n v="0"/>
    <n v="488.61589305439833"/>
    <n v="0"/>
    <n v="0"/>
    <n v="0"/>
    <n v="431.0614956542592"/>
    <n v="716.18421753564019"/>
    <n v="1336.5545082853821"/>
    <n v="50.394154842710222"/>
    <n v="0"/>
    <n v="0"/>
    <n v="0"/>
    <n v="0"/>
    <n v="75.551431303031919"/>
    <m/>
    <n v="3.20088940634903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.39211624087267"/>
    <n v="0"/>
    <n v="0"/>
    <n v="0"/>
    <n v="2385.17"/>
    <n v="8"/>
    <m/>
    <m/>
    <m/>
    <m/>
    <m/>
    <m/>
    <m/>
    <m/>
    <m/>
    <n v="1465.9466245262547"/>
    <m/>
    <m/>
    <m/>
    <m/>
    <m/>
    <m/>
    <m/>
    <m/>
    <m/>
    <m/>
    <m/>
    <m/>
    <n v="3311.1032"/>
    <n v="-13.053400000000238"/>
    <m/>
    <m/>
    <m/>
    <m/>
    <n v="-194.12964000000011"/>
    <n v="181.92581999999993"/>
    <n v="31"/>
    <n v="142.67674369477663"/>
    <n v="0"/>
    <n v="0"/>
    <n v="0"/>
    <n v="0"/>
    <n v="0"/>
    <n v="0"/>
    <n v="0"/>
    <n v="19.411830723489345"/>
    <n v="0"/>
    <n v="0"/>
    <n v="181.96903162890453"/>
    <n v="0"/>
    <n v="0"/>
    <n v="0"/>
    <n v="17.616459296502342"/>
    <n v="0"/>
    <n v="-67.112738326385227"/>
    <m/>
    <n v="0"/>
    <n v="0"/>
    <n v="0"/>
    <n v="0"/>
    <n v="-8.7068197804717471"/>
    <n v="-0.50101984726236592"/>
    <n v="0"/>
    <n v="0"/>
    <m/>
    <m/>
    <m/>
    <n v="716.18421753564019"/>
    <n v="0"/>
    <n v="0"/>
    <n v="-194.12964000000011"/>
    <n v="181.92581999999993"/>
    <n v="0"/>
    <n v="0"/>
    <n v="-154.83516360079363"/>
    <n v="0"/>
    <n v="0"/>
    <n v="0"/>
    <n v="0"/>
    <n v="0"/>
    <n v="0"/>
    <n v="0"/>
    <n v="0"/>
    <n v="0"/>
    <n v="0"/>
    <n v="0"/>
    <n v="0"/>
    <n v="93.17735049233918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76"/>
    <s v="Regular"/>
    <s v="Verde"/>
    <s v="A4"/>
    <s v="Comercial"/>
    <s v="Não se aplica"/>
    <s v="Não se aplica"/>
    <s v="Não se aplica"/>
    <s v="Ponta"/>
    <s v="CATIVO"/>
    <x v="1"/>
    <n v="0"/>
    <n v="0"/>
    <n v="6.1159999999999997"/>
    <n v="6.1159999999999997"/>
    <n v="6.1159999999999997"/>
    <n v="6.1159999999999997"/>
    <m/>
    <n v="984.21"/>
    <n v="171.61"/>
    <m/>
    <n v="7068.9951199999996"/>
    <n v="7068.9951199999996"/>
    <n v="6592.1306000000004"/>
    <n v="0"/>
    <n v="321.68845306496019"/>
    <n v="0"/>
    <n v="0"/>
    <n v="0"/>
    <n v="2407.9221975854643"/>
    <n v="3131.8942508621922"/>
    <n v="1011.4287766237807"/>
    <n v="38.13544308562431"/>
    <n v="0"/>
    <n v="0"/>
    <n v="0"/>
    <n v="0"/>
    <n v="57.173045514642801"/>
    <m/>
    <n v="1.6149938642905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04762087451536"/>
    <n v="0"/>
    <n v="0"/>
    <n v="0"/>
    <n v="0"/>
    <n v="0"/>
    <m/>
    <m/>
    <m/>
    <m/>
    <m/>
    <m/>
    <m/>
    <m/>
    <m/>
    <n v="1049.2335387112321"/>
    <m/>
    <m/>
    <m/>
    <m/>
    <m/>
    <m/>
    <m/>
    <m/>
    <m/>
    <m/>
    <m/>
    <m/>
    <n v="6596.442"/>
    <n v="-472.58312000000024"/>
    <m/>
    <m/>
    <m/>
    <m/>
    <n v="-614.53568000000007"/>
    <n v="137.67115999999993"/>
    <n v="31"/>
    <n v="200.25954473633738"/>
    <n v="0"/>
    <n v="0"/>
    <n v="0"/>
    <n v="0"/>
    <n v="0"/>
    <n v="0"/>
    <n v="0"/>
    <n v="108.43505756392915"/>
    <n v="0"/>
    <n v="0"/>
    <n v="137.70386011412768"/>
    <n v="0"/>
    <n v="0"/>
    <n v="0"/>
    <n v="5.1470373302168611"/>
    <n v="0"/>
    <n v="-44.184794805199999"/>
    <m/>
    <n v="0"/>
    <n v="0"/>
    <n v="0"/>
    <n v="0"/>
    <n v="-6.5888282327846071"/>
    <n v="-0.25278723395177094"/>
    <n v="0"/>
    <n v="0"/>
    <m/>
    <m/>
    <m/>
    <n v="3131.8942508621922"/>
    <n v="0"/>
    <n v="0"/>
    <n v="-614.53567999999996"/>
    <n v="137.6711600000001"/>
    <n v="0"/>
    <n v="0"/>
    <n v="-677.09863864530053"/>
    <n v="0"/>
    <n v="0"/>
    <n v="0"/>
    <n v="0"/>
    <n v="0"/>
    <n v="0"/>
    <n v="0"/>
    <n v="0"/>
    <n v="0"/>
    <n v="0"/>
    <n v="0"/>
    <n v="0"/>
    <n v="61.34486856987080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77"/>
    <s v="Regular"/>
    <s v="Verde"/>
    <s v="A4"/>
    <s v="Comercial"/>
    <s v="Não se aplica"/>
    <s v="Não se aplica"/>
    <s v="Não se aplica"/>
    <s v="Fora ponta"/>
    <s v="CATIVO"/>
    <x v="1"/>
    <n v="0"/>
    <n v="0"/>
    <n v="67.387"/>
    <n v="67.387"/>
    <n v="67.387"/>
    <n v="67.387"/>
    <m/>
    <n v="78.42"/>
    <n v="171.61"/>
    <m/>
    <n v="16848.771610000003"/>
    <n v="16848.771610000003"/>
    <n v="17860.250480000002"/>
    <n v="0"/>
    <n v="3544.4113451092994"/>
    <n v="0"/>
    <n v="0"/>
    <n v="0"/>
    <n v="0"/>
    <n v="0"/>
    <n v="11144.07308213648"/>
    <n v="420.18199856294399"/>
    <n v="0"/>
    <n v="0"/>
    <n v="0"/>
    <n v="0"/>
    <n v="629.94114095736347"/>
    <m/>
    <n v="17.7942432199059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53850601489484"/>
    <n v="0"/>
    <n v="0"/>
    <n v="0"/>
    <n v="0"/>
    <n v="0"/>
    <m/>
    <m/>
    <m/>
    <m/>
    <m/>
    <m/>
    <m/>
    <m/>
    <m/>
    <n v="11560.611588151374"/>
    <m/>
    <m/>
    <m/>
    <m/>
    <m/>
    <m/>
    <m/>
    <m/>
    <m/>
    <m/>
    <m/>
    <m/>
    <n v="17861.045600000001"/>
    <n v="1012.2439900000027"/>
    <m/>
    <m/>
    <m/>
    <m/>
    <n v="-505.40250000000003"/>
    <n v="1516.8813699999994"/>
    <n v="31"/>
    <n v="1011.7358922640706"/>
    <n v="0"/>
    <n v="0"/>
    <n v="0"/>
    <n v="0"/>
    <n v="0"/>
    <n v="0"/>
    <n v="0"/>
    <n v="0"/>
    <n v="0"/>
    <n v="0"/>
    <n v="1517.2416647336049"/>
    <n v="0"/>
    <n v="0"/>
    <n v="0"/>
    <n v="56.710824815455169"/>
    <n v="0"/>
    <n v="-486.83465787083287"/>
    <m/>
    <n v="0"/>
    <n v="0"/>
    <n v="0"/>
    <n v="0"/>
    <n v="-72.596691975581507"/>
    <n v="-2.7852474385722665"/>
    <n v="0"/>
    <n v="0"/>
    <m/>
    <m/>
    <m/>
    <n v="0"/>
    <n v="0"/>
    <n v="0"/>
    <n v="-505.40250000000015"/>
    <n v="1516.8813699999992"/>
    <n v="0"/>
    <n v="0"/>
    <n v="0"/>
    <n v="0"/>
    <n v="0"/>
    <n v="0"/>
    <n v="0"/>
    <n v="0"/>
    <n v="0"/>
    <n v="0"/>
    <n v="0"/>
    <n v="0"/>
    <n v="0"/>
    <n v="0"/>
    <n v="0"/>
    <n v="675.9069094698960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78"/>
    <s v="Regular"/>
    <s v="Verde"/>
    <s v="A4"/>
    <s v="Comercial"/>
    <s v="Não se aplica"/>
    <s v="Não se aplica"/>
    <s v="Não se aplica"/>
    <s v="Não se aplica"/>
    <s v="CATIVO"/>
    <x v="1"/>
    <n v="407"/>
    <n v="407"/>
    <n v="0"/>
    <n v="0"/>
    <n v="0"/>
    <n v="0"/>
    <n v="12.58"/>
    <m/>
    <m/>
    <n v="5120.0600000000004"/>
    <m/>
    <n v="5120.0600000000004"/>
    <n v="4717.13"/>
    <n v="0"/>
    <n v="0"/>
    <n v="0"/>
    <n v="0"/>
    <n v="0"/>
    <n v="2697.3678449540485"/>
    <n v="2421.53157334114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352.93"/>
    <n v="5"/>
    <m/>
    <m/>
    <m/>
    <m/>
    <m/>
    <m/>
    <m/>
    <m/>
    <m/>
    <n v="0"/>
    <m/>
    <m/>
    <m/>
    <m/>
    <m/>
    <m/>
    <m/>
    <m/>
    <m/>
    <m/>
    <m/>
    <m/>
    <n v="4717.13"/>
    <n v="-402.96000000000095"/>
    <m/>
    <m/>
    <m/>
    <m/>
    <n v="-402.93000000000006"/>
    <n v="0"/>
    <n v="31"/>
    <n v="121.46955488510594"/>
    <n v="0"/>
    <n v="0"/>
    <n v="0"/>
    <n v="0"/>
    <m/>
    <m/>
    <m/>
    <n v="121.469554885105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21.5315733411417"/>
    <m/>
    <n v="0"/>
    <n v="0"/>
    <n v="-402.93000000000029"/>
    <m/>
    <n v="0"/>
    <m/>
    <n v="-523.5220605850677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79"/>
    <s v="Regular"/>
    <s v="Convencional"/>
    <s v="B2"/>
    <s v="Rural"/>
    <s v="Não se aplica"/>
    <s v="Não se aplica"/>
    <s v="Não se aplica"/>
    <s v="Não se aplica"/>
    <s v="CATIVO"/>
    <x v="1"/>
    <n v="0"/>
    <n v="0"/>
    <n v="583.15"/>
    <n v="583.15"/>
    <n v="583.15"/>
    <n v="583.15"/>
    <m/>
    <n v="239.69"/>
    <n v="171.61"/>
    <m/>
    <n v="239849.595"/>
    <n v="239849.595"/>
    <n v="238969.03849999997"/>
    <n v="0"/>
    <n v="35255.674094861708"/>
    <n v="0"/>
    <n v="0"/>
    <n v="0"/>
    <n v="31102.884334419847"/>
    <n v="51675.677611470986"/>
    <n v="96437.980884263845"/>
    <n v="3636.1484034306436"/>
    <n v="0"/>
    <n v="0"/>
    <n v="0"/>
    <n v="0"/>
    <n v="5451.3507998469504"/>
    <m/>
    <n v="230.95751760856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36.1807208444552"/>
    <n v="0"/>
    <n v="0"/>
    <n v="0"/>
    <n v="78540.53"/>
    <n v="738"/>
    <m/>
    <m/>
    <m/>
    <m/>
    <m/>
    <n v="28673.485499999992"/>
    <m/>
    <m/>
    <m/>
    <n v="105774.1616051083"/>
    <m/>
    <m/>
    <m/>
    <m/>
    <m/>
    <m/>
    <m/>
    <m/>
    <m/>
    <m/>
    <m/>
    <m/>
    <n v="210295.55300000001"/>
    <n v="-775.61949999997159"/>
    <m/>
    <m/>
    <m/>
    <m/>
    <n v="-14007.263000000006"/>
    <n v="13126.706499999995"/>
    <n v="31"/>
    <n v="10294.721985351294"/>
    <n v="0"/>
    <n v="0"/>
    <n v="0"/>
    <n v="0"/>
    <n v="0"/>
    <n v="0"/>
    <n v="0"/>
    <n v="1400.644529374269"/>
    <n v="0"/>
    <n v="0"/>
    <n v="13129.824399207588"/>
    <n v="0"/>
    <n v="0"/>
    <n v="0"/>
    <n v="1271.1009946492613"/>
    <n v="0"/>
    <n v="-4842.463914257798"/>
    <m/>
    <n v="0"/>
    <n v="0"/>
    <n v="0"/>
    <n v="0"/>
    <n v="-628.23335250953915"/>
    <n v="-36.150671112478193"/>
    <n v="0"/>
    <n v="0"/>
    <m/>
    <m/>
    <m/>
    <n v="51675.677611470986"/>
    <n v="0"/>
    <n v="0"/>
    <n v="-14007.263000000006"/>
    <n v="13126.706499999986"/>
    <n v="0"/>
    <n v="0"/>
    <n v="-11172.0026792629"/>
    <n v="0"/>
    <n v="0"/>
    <n v="0"/>
    <n v="0"/>
    <n v="0"/>
    <n v="0"/>
    <n v="0"/>
    <n v="0"/>
    <n v="0"/>
    <n v="0"/>
    <n v="0"/>
    <n v="0"/>
    <n v="6723.134365207571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80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1.3089999999999999"/>
    <n v="1.3089999999999999"/>
    <n v="1.3089999999999999"/>
    <n v="1.3089999999999999"/>
    <m/>
    <n v="239.69"/>
    <n v="171.61"/>
    <m/>
    <n v="538.39170000000001"/>
    <n v="538.39170000000001"/>
    <n v="536.41511000000003"/>
    <n v="0"/>
    <n v="79.138604801807389"/>
    <n v="0"/>
    <n v="0"/>
    <n v="0"/>
    <n v="69.81681487396996"/>
    <n v="115.99667665851928"/>
    <n v="216.47486406156457"/>
    <n v="8.1620822431462106"/>
    <n v="0"/>
    <n v="0"/>
    <n v="0"/>
    <n v="0"/>
    <n v="12.236677007630384"/>
    <m/>
    <n v="0.518431605160961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956976015751337"/>
    <n v="0"/>
    <n v="0"/>
    <n v="0"/>
    <n v="1152.6099999999999"/>
    <n v="5"/>
    <m/>
    <m/>
    <m/>
    <m/>
    <m/>
    <n v="64.363529999999983"/>
    <m/>
    <m/>
    <m/>
    <n v="237.43184007731591"/>
    <m/>
    <m/>
    <m/>
    <m/>
    <m/>
    <m/>
    <m/>
    <m/>
    <m/>
    <m/>
    <m/>
    <m/>
    <n v="472.41219999999998"/>
    <n v="-1.410349999999994"/>
    <m/>
    <m/>
    <m/>
    <m/>
    <n v="-31.442180000000011"/>
    <n v="29.465589999999988"/>
    <n v="31"/>
    <n v="23.10861884390772"/>
    <n v="0"/>
    <n v="0"/>
    <n v="0"/>
    <n v="0"/>
    <n v="0"/>
    <n v="0"/>
    <n v="0"/>
    <n v="3.1440344490284104"/>
    <n v="0"/>
    <n v="0"/>
    <n v="29.472588765433784"/>
    <n v="0"/>
    <n v="0"/>
    <n v="0"/>
    <n v="2.8532473668796783"/>
    <n v="0"/>
    <n v="-10.869905279539509"/>
    <m/>
    <n v="0"/>
    <n v="0"/>
    <n v="0"/>
    <n v="0"/>
    <n v="-1.4101988483837555"/>
    <n v="-8.1147609510818786E-2"/>
    <n v="0"/>
    <n v="0"/>
    <m/>
    <m/>
    <m/>
    <n v="115.99667665851928"/>
    <n v="0"/>
    <n v="0"/>
    <n v="-31.442180000000008"/>
    <n v="29.465589999999992"/>
    <n v="0"/>
    <n v="0"/>
    <n v="-25.077855624033489"/>
    <n v="0"/>
    <n v="0"/>
    <n v="0"/>
    <n v="0"/>
    <n v="0"/>
    <n v="0"/>
    <n v="0"/>
    <n v="0"/>
    <n v="0"/>
    <n v="0"/>
    <n v="0"/>
    <n v="0"/>
    <n v="15.0914565447255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81"/>
    <s v="Regular"/>
    <s v="Verde"/>
    <s v="A4"/>
    <s v="Rural"/>
    <s v="Não se aplica"/>
    <s v="Não se aplica"/>
    <s v="Não se aplica"/>
    <s v="Ponta"/>
    <s v="CATIVO"/>
    <x v="1"/>
    <n v="0"/>
    <n v="0"/>
    <n v="9.3620000000000001"/>
    <n v="8.98752"/>
    <n v="9.3620000000000001"/>
    <n v="8.98752"/>
    <m/>
    <n v="984.21"/>
    <n v="171.61"/>
    <m/>
    <n v="10820.786840000001"/>
    <n v="10820.786840000001"/>
    <n v="10090.831700000001"/>
    <n v="0"/>
    <n v="492.42107547321086"/>
    <n v="0"/>
    <n v="0"/>
    <n v="0"/>
    <n v="3685.9005254733679"/>
    <n v="4794.1128150052073"/>
    <n v="1548.2335197435964"/>
    <n v="58.37541173440399"/>
    <n v="0"/>
    <n v="0"/>
    <n v="0"/>
    <n v="0"/>
    <n v="87.517013098117388"/>
    <m/>
    <n v="2.4721341657108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86922541901918"/>
    <n v="0"/>
    <n v="0"/>
    <n v="0"/>
    <n v="0"/>
    <n v="0"/>
    <m/>
    <m/>
    <m/>
    <m/>
    <m/>
    <n v="403.63326800000016"/>
    <m/>
    <m/>
    <m/>
    <n v="1606.1027451626155"/>
    <m/>
    <m/>
    <m/>
    <m/>
    <m/>
    <m/>
    <m/>
    <m/>
    <m/>
    <m/>
    <m/>
    <m/>
    <n v="9689.8715000000011"/>
    <n v="-698.1138663999991"/>
    <m/>
    <m/>
    <m/>
    <m/>
    <n v="-940.69376000000022"/>
    <n v="210.73861999999991"/>
    <n v="31"/>
    <n v="306.54510428737649"/>
    <n v="0"/>
    <n v="0"/>
    <n v="0"/>
    <n v="0"/>
    <n v="0"/>
    <n v="0"/>
    <n v="0"/>
    <n v="165.98577647375805"/>
    <n v="0"/>
    <n v="0"/>
    <n v="210.78867534147525"/>
    <n v="0"/>
    <n v="0"/>
    <n v="0"/>
    <n v="7.8787710080919382"/>
    <n v="0"/>
    <n v="-67.635390609267915"/>
    <m/>
    <n v="0"/>
    <n v="0"/>
    <n v="0"/>
    <n v="0"/>
    <n v="-10.085776637562049"/>
    <n v="-0.3869512891197644"/>
    <n v="0"/>
    <n v="0"/>
    <m/>
    <m/>
    <m/>
    <n v="4794.1128150052073"/>
    <n v="0"/>
    <n v="0"/>
    <n v="-940.69376000000011"/>
    <n v="210.73862000000008"/>
    <n v="0"/>
    <n v="0"/>
    <n v="-1036.4613235770607"/>
    <n v="0"/>
    <n v="0"/>
    <n v="0"/>
    <n v="0"/>
    <n v="0"/>
    <n v="0"/>
    <n v="0"/>
    <n v="0"/>
    <n v="0"/>
    <n v="0"/>
    <n v="0"/>
    <n v="0"/>
    <n v="93.90298553811813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82"/>
    <s v="Regular"/>
    <s v="Verde"/>
    <s v="A4"/>
    <s v="Rural"/>
    <s v="Não se aplica"/>
    <s v="Não se aplica"/>
    <s v="Não se aplica"/>
    <s v="Fora ponta"/>
    <s v="CATIVO"/>
    <x v="1"/>
    <n v="0"/>
    <n v="0"/>
    <n v="166.39500000000001"/>
    <n v="159.73920000000001"/>
    <n v="166.39500000000001"/>
    <n v="159.73920000000001"/>
    <m/>
    <n v="78.42"/>
    <n v="171.61"/>
    <m/>
    <n v="41603.741850000006"/>
    <n v="41603.741850000006"/>
    <n v="44101.330800000003"/>
    <n v="0"/>
    <n v="8752.0193178129593"/>
    <n v="0"/>
    <n v="0"/>
    <n v="0"/>
    <n v="0"/>
    <n v="0"/>
    <n v="27517.444618429367"/>
    <n v="1037.5322191354574"/>
    <n v="0"/>
    <n v="0"/>
    <n v="0"/>
    <n v="0"/>
    <n v="1555.4788928072253"/>
    <m/>
    <n v="43.938342715601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8.5355440715334"/>
    <n v="0"/>
    <n v="0"/>
    <n v="0"/>
    <n v="0"/>
    <n v="0"/>
    <m/>
    <m/>
    <m/>
    <m/>
    <m/>
    <n v="1764.0532319999998"/>
    <m/>
    <m/>
    <m/>
    <n v="28545.980162500899"/>
    <m/>
    <m/>
    <m/>
    <m/>
    <m/>
    <m/>
    <m/>
    <m/>
    <m/>
    <m/>
    <m/>
    <m/>
    <n v="42337.489600000001"/>
    <n v="2397.8674239999964"/>
    <m/>
    <m/>
    <m/>
    <m/>
    <n v="-1247.9625000000001"/>
    <n v="3745.5514499999986"/>
    <n v="31"/>
    <n v="2498.2236008915788"/>
    <n v="0"/>
    <n v="0"/>
    <n v="0"/>
    <n v="0"/>
    <n v="0"/>
    <n v="0"/>
    <n v="0"/>
    <n v="0"/>
    <n v="0"/>
    <n v="0"/>
    <n v="3746.4411059009617"/>
    <n v="0"/>
    <n v="0"/>
    <n v="0"/>
    <n v="140.03290983672923"/>
    <n v="0"/>
    <n v="-1202.1139521928153"/>
    <m/>
    <n v="0"/>
    <n v="0"/>
    <n v="0"/>
    <n v="0"/>
    <n v="-179.25900487151648"/>
    <n v="-6.8774577817862834"/>
    <n v="0"/>
    <n v="0"/>
    <m/>
    <m/>
    <m/>
    <n v="0"/>
    <n v="0"/>
    <n v="0"/>
    <n v="-1247.9624999999996"/>
    <n v="3745.551449999999"/>
    <n v="0"/>
    <n v="0"/>
    <n v="0"/>
    <n v="0"/>
    <n v="0"/>
    <n v="0"/>
    <n v="0"/>
    <n v="0"/>
    <n v="0"/>
    <n v="0"/>
    <n v="0"/>
    <n v="0"/>
    <n v="0"/>
    <n v="0"/>
    <n v="0"/>
    <n v="1668.979628136634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Não se aplica"/>
    <s v="Não se aplica"/>
    <s v="Não se aplica"/>
    <s v="Não se aplica"/>
    <s v="CATIVO"/>
    <x v="1"/>
    <n v="1167"/>
    <n v="1120.32"/>
    <n v="0"/>
    <n v="0"/>
    <n v="0"/>
    <n v="0"/>
    <n v="12.58"/>
    <m/>
    <m/>
    <n v="14680.86"/>
    <m/>
    <n v="14680.86"/>
    <n v="13525.53"/>
    <n v="0"/>
    <n v="0"/>
    <n v="0"/>
    <n v="0"/>
    <n v="0"/>
    <n v="7734.2218060476034"/>
    <n v="6943.31043265138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875.599999999999"/>
    <n v="11"/>
    <m/>
    <m/>
    <m/>
    <m/>
    <m/>
    <n v="541.0212000000007"/>
    <m/>
    <m/>
    <m/>
    <n v="0"/>
    <m/>
    <m/>
    <m/>
    <m/>
    <m/>
    <m/>
    <m/>
    <m/>
    <m/>
    <m/>
    <m/>
    <m/>
    <n v="12984.5088"/>
    <n v="-1109.1468000000004"/>
    <m/>
    <m/>
    <m/>
    <m/>
    <n v="-1155.3300000000002"/>
    <n v="0"/>
    <n v="31"/>
    <n v="348.29231093591807"/>
    <n v="0"/>
    <n v="0"/>
    <n v="0"/>
    <n v="0"/>
    <m/>
    <m/>
    <m/>
    <n v="348.292310935918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6943.3104326513812"/>
    <m/>
    <n v="0"/>
    <n v="0"/>
    <n v="-1155.33"/>
    <m/>
    <n v="0"/>
    <m/>
    <n v="-1501.1062523409673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84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35.4"/>
    <n v="35.4"/>
    <n v="35.4"/>
    <n v="35.4"/>
    <m/>
    <n v="239.69"/>
    <n v="171.61"/>
    <m/>
    <n v="14560.02"/>
    <n v="14560.02"/>
    <n v="14506.565999999999"/>
    <n v="0"/>
    <n v="2140.1883957096879"/>
    <n v="0"/>
    <n v="0"/>
    <n v="0"/>
    <n v="1888.0941531997987"/>
    <n v="3136.9613091761516"/>
    <n v="5854.247660641242"/>
    <n v="220.73163591090591"/>
    <n v="0"/>
    <n v="0"/>
    <n v="0"/>
    <n v="0"/>
    <n v="330.92312152033276"/>
    <m/>
    <n v="14.020228283191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6.75091746187718"/>
    <n v="0"/>
    <n v="0"/>
    <n v="0"/>
    <n v="5887.58"/>
    <n v="45"/>
    <m/>
    <m/>
    <m/>
    <m/>
    <m/>
    <m/>
    <m/>
    <m/>
    <m/>
    <n v="6420.9985781031191"/>
    <m/>
    <m/>
    <m/>
    <m/>
    <m/>
    <m/>
    <m/>
    <m/>
    <m/>
    <m/>
    <m/>
    <m/>
    <n v="14506.565999999999"/>
    <n v="-53.484000000002197"/>
    <m/>
    <m/>
    <m/>
    <m/>
    <n v="-850.30800000000033"/>
    <n v="796.8539999999997"/>
    <n v="31"/>
    <n v="624.93896644334018"/>
    <n v="0"/>
    <n v="0"/>
    <n v="0"/>
    <n v="0"/>
    <n v="0"/>
    <n v="0"/>
    <n v="0"/>
    <n v="85.025836131096867"/>
    <n v="0"/>
    <n v="0"/>
    <n v="797.04327142578768"/>
    <n v="0"/>
    <n v="0"/>
    <n v="0"/>
    <n v="77.161922679557392"/>
    <n v="0"/>
    <n v="-293.96076920985365"/>
    <m/>
    <n v="0"/>
    <n v="0"/>
    <n v="0"/>
    <n v="0"/>
    <n v="-38.136775578903723"/>
    <n v="-2.1945190043414691"/>
    <n v="0"/>
    <n v="0"/>
    <m/>
    <m/>
    <m/>
    <n v="3136.9613091761516"/>
    <n v="0"/>
    <n v="0"/>
    <n v="-850.3080000000009"/>
    <n v="796.85399999999936"/>
    <n v="0"/>
    <n v="0"/>
    <n v="-678.19410931305265"/>
    <n v="0"/>
    <n v="0"/>
    <n v="0"/>
    <n v="0"/>
    <n v="0"/>
    <n v="0"/>
    <n v="0"/>
    <n v="0"/>
    <n v="0"/>
    <n v="0"/>
    <n v="0"/>
    <n v="0"/>
    <n v="408.1264795135865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85"/>
    <s v="Regular"/>
    <s v="Verde"/>
    <s v="A4"/>
    <s v="Poder público"/>
    <s v="Não se aplica"/>
    <s v="Não se aplica"/>
    <s v="Não se aplica"/>
    <s v="Ponta"/>
    <s v="CATIVO"/>
    <x v="1"/>
    <n v="0"/>
    <n v="0"/>
    <n v="1.0680000000000001"/>
    <n v="1.0680000000000001"/>
    <n v="1.0680000000000001"/>
    <n v="1.0680000000000001"/>
    <m/>
    <n v="984.21"/>
    <n v="171.61"/>
    <m/>
    <n v="1234.4157600000003"/>
    <n v="1234.4157600000003"/>
    <n v="1151.1438000000001"/>
    <n v="0"/>
    <n v="56.174504230441059"/>
    <n v="0"/>
    <n v="0"/>
    <n v="0"/>
    <n v="420.48085464703661"/>
    <n v="546.90370502302517"/>
    <n v="176.61967518544765"/>
    <n v="6.6593612190069926"/>
    <n v="0"/>
    <n v="0"/>
    <n v="0"/>
    <n v="0"/>
    <n v="9.9837823102744476"/>
    <m/>
    <n v="0.28201658715864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01616401144252"/>
    <n v="0"/>
    <n v="0"/>
    <n v="0"/>
    <n v="0"/>
    <n v="0"/>
    <m/>
    <m/>
    <m/>
    <m/>
    <m/>
    <m/>
    <m/>
    <m/>
    <m/>
    <n v="183.22129158659189"/>
    <m/>
    <m/>
    <m/>
    <m/>
    <m/>
    <m/>
    <m/>
    <m/>
    <m/>
    <m/>
    <m/>
    <m/>
    <n v="1153.2995000000001"/>
    <n v="-81.146260000000211"/>
    <m/>
    <m/>
    <m/>
    <m/>
    <n v="-107.31264000000003"/>
    <n v="24.040679999999991"/>
    <n v="31"/>
    <n v="34.970110166515383"/>
    <n v="0"/>
    <n v="0"/>
    <n v="0"/>
    <n v="0"/>
    <n v="0"/>
    <n v="0"/>
    <n v="0"/>
    <n v="18.935356683825489"/>
    <n v="0"/>
    <n v="0"/>
    <n v="24.046390222676337"/>
    <n v="0"/>
    <n v="0"/>
    <n v="0"/>
    <n v="0.89879592358921023"/>
    <n v="0"/>
    <n v="-7.715722833870764"/>
    <m/>
    <n v="0"/>
    <n v="0"/>
    <n v="0"/>
    <n v="0"/>
    <n v="-1.1505671276347229"/>
    <n v="-4.4142702070060685E-2"/>
    <n v="0"/>
    <n v="0"/>
    <m/>
    <m/>
    <m/>
    <n v="546.90370502302517"/>
    <n v="0"/>
    <n v="0"/>
    <n v="-107.3126400000001"/>
    <n v="24.040679999999981"/>
    <n v="0"/>
    <n v="0"/>
    <n v="-118.23763016239064"/>
    <n v="0"/>
    <n v="0"/>
    <n v="0"/>
    <n v="0"/>
    <n v="0"/>
    <n v="0"/>
    <n v="0"/>
    <n v="0"/>
    <n v="0"/>
    <n v="0"/>
    <n v="0"/>
    <n v="0"/>
    <n v="10.7122824775379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86"/>
    <s v="Regular"/>
    <s v="Verde"/>
    <s v="A4"/>
    <s v="Poder público"/>
    <s v="Não se aplica"/>
    <s v="Não se aplica"/>
    <s v="Não se aplica"/>
    <s v="Fora ponta"/>
    <s v="CATIVO"/>
    <x v="1"/>
    <n v="0"/>
    <n v="0"/>
    <n v="8.7569999999999997"/>
    <n v="8.7569999999999997"/>
    <n v="8.7569999999999997"/>
    <n v="8.7569999999999997"/>
    <m/>
    <n v="78.42"/>
    <n v="171.61"/>
    <m/>
    <n v="2189.51271"/>
    <n v="2189.51271"/>
    <n v="2320.9552800000001"/>
    <n v="0"/>
    <n v="460.59937597937483"/>
    <n v="0"/>
    <n v="0"/>
    <n v="0"/>
    <n v="0"/>
    <n v="0"/>
    <n v="1448.1821119840497"/>
    <n v="54.603020781689352"/>
    <n v="0"/>
    <n v="0"/>
    <n v="0"/>
    <n v="0"/>
    <n v="81.861406077784011"/>
    <m/>
    <n v="2.31237757841596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129545716123793"/>
    <n v="0"/>
    <n v="0"/>
    <n v="0"/>
    <n v="0"/>
    <n v="0"/>
    <m/>
    <m/>
    <m/>
    <m/>
    <m/>
    <m/>
    <m/>
    <m/>
    <m/>
    <n v="1502.3116577001736"/>
    <m/>
    <m/>
    <m/>
    <m/>
    <m/>
    <m/>
    <m/>
    <m/>
    <m/>
    <m/>
    <m/>
    <m/>
    <n v="2321.7503999999999"/>
    <n v="132.20768999999973"/>
    <m/>
    <m/>
    <m/>
    <m/>
    <n v="-65.677499999999995"/>
    <n v="197.12006999999991"/>
    <n v="31"/>
    <n v="131.4759702695842"/>
    <n v="0"/>
    <n v="0"/>
    <n v="0"/>
    <n v="0"/>
    <n v="0"/>
    <n v="0"/>
    <n v="0"/>
    <n v="0"/>
    <n v="0"/>
    <n v="0"/>
    <n v="197.16689061795546"/>
    <n v="0"/>
    <n v="0"/>
    <n v="0"/>
    <n v="7.3696216319014169"/>
    <n v="0"/>
    <n v="-63.264592561990924"/>
    <m/>
    <n v="0"/>
    <n v="0"/>
    <n v="0"/>
    <n v="0"/>
    <n v="-9.434004060577962"/>
    <n v="-0.36194535770367198"/>
    <n v="0"/>
    <n v="0"/>
    <m/>
    <m/>
    <m/>
    <n v="0"/>
    <n v="0"/>
    <n v="0"/>
    <n v="-65.677500000000009"/>
    <n v="197.12006999999994"/>
    <n v="0"/>
    <n v="0"/>
    <n v="0"/>
    <n v="0"/>
    <n v="0"/>
    <n v="0"/>
    <n v="0"/>
    <n v="0"/>
    <n v="0"/>
    <n v="0"/>
    <n v="0"/>
    <n v="0"/>
    <n v="0"/>
    <n v="0"/>
    <n v="0"/>
    <n v="87.83469817958774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87"/>
    <s v="Regular"/>
    <s v="Verde"/>
    <s v="A4"/>
    <s v="Poder público"/>
    <s v="Não se aplica"/>
    <s v="Não se aplica"/>
    <s v="Não se aplica"/>
    <s v="Não se aplica"/>
    <s v="CATIVO"/>
    <x v="1"/>
    <n v="155"/>
    <n v="155"/>
    <n v="0"/>
    <n v="0"/>
    <n v="0"/>
    <n v="0"/>
    <n v="12.58"/>
    <m/>
    <m/>
    <n v="1949.9"/>
    <m/>
    <n v="1949.9"/>
    <n v="1796.45"/>
    <n v="0"/>
    <n v="0"/>
    <n v="0"/>
    <n v="0"/>
    <n v="0"/>
    <n v="1027.2531104861855"/>
    <n v="922.20489893827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39.57"/>
    <n v="3"/>
    <m/>
    <m/>
    <m/>
    <m/>
    <m/>
    <m/>
    <m/>
    <m/>
    <m/>
    <n v="0"/>
    <m/>
    <m/>
    <m/>
    <m/>
    <m/>
    <m/>
    <m/>
    <m/>
    <m/>
    <m/>
    <m/>
    <m/>
    <n v="1796.45"/>
    <n v="-153.48000000000002"/>
    <m/>
    <m/>
    <m/>
    <m/>
    <n v="-153.45000000000005"/>
    <n v="0"/>
    <n v="31"/>
    <n v="46.259904194573437"/>
    <n v="0"/>
    <n v="0"/>
    <n v="0"/>
    <n v="0"/>
    <m/>
    <m/>
    <m/>
    <n v="46.2599041945734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2.20489893827255"/>
    <m/>
    <n v="0"/>
    <n v="0"/>
    <n v="-153.45000000000005"/>
    <m/>
    <n v="0"/>
    <m/>
    <n v="-199.3757233186374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88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100.986"/>
    <n v="100.986"/>
    <n v="100.986"/>
    <n v="100.986"/>
    <m/>
    <n v="131.83000000000001"/>
    <n v="94.39"/>
    <m/>
    <n v="22845.052920000002"/>
    <n v="22845.052920000002"/>
    <n v="22761.234540000001"/>
    <n v="0"/>
    <n v="3357.9374556787116"/>
    <n v="0"/>
    <n v="0"/>
    <n v="0"/>
    <n v="2962.4037255725761"/>
    <n v="4921.8657096795041"/>
    <n v="9185.264967277808"/>
    <n v="346.32606613712755"/>
    <n v="0"/>
    <n v="0"/>
    <n v="0"/>
    <n v="0"/>
    <n v="519.21557323216871"/>
    <m/>
    <n v="21.997619360834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9.22738652380713"/>
    <n v="0"/>
    <n v="0"/>
    <n v="0"/>
    <n v="12366.96"/>
    <n v="7"/>
    <m/>
    <m/>
    <m/>
    <m/>
    <m/>
    <m/>
    <m/>
    <m/>
    <m/>
    <n v="10074.492353801616"/>
    <m/>
    <m/>
    <m/>
    <m/>
    <m/>
    <m/>
    <m/>
    <m/>
    <m/>
    <m/>
    <m/>
    <m/>
    <n v="22762.1361"/>
    <n v="-82.946820000001026"/>
    <m/>
    <m/>
    <m/>
    <m/>
    <n v="-1334.0250600000008"/>
    <n v="1250.2066799999996"/>
    <n v="31"/>
    <n v="980.52394225667376"/>
    <n v="0"/>
    <n v="0"/>
    <n v="0"/>
    <n v="0"/>
    <n v="0"/>
    <n v="0"/>
    <n v="0"/>
    <n v="133.40481633175477"/>
    <n v="0"/>
    <n v="0"/>
    <n v="1250.5541382630781"/>
    <n v="0"/>
    <n v="0"/>
    <n v="0"/>
    <n v="121.06640276962855"/>
    <n v="0"/>
    <n v="-461.22195569730184"/>
    <m/>
    <n v="0"/>
    <n v="0"/>
    <n v="0"/>
    <n v="0"/>
    <n v="-59.836277690286522"/>
    <n v="-3.4431817201930706"/>
    <n v="0"/>
    <n v="0"/>
    <m/>
    <m/>
    <m/>
    <n v="4921.8657096795041"/>
    <n v="0"/>
    <n v="0"/>
    <n v="-1334.0250599999999"/>
    <n v="1250.2066799999993"/>
    <n v="0"/>
    <n v="0"/>
    <n v="-1064.0808101044672"/>
    <n v="0"/>
    <n v="0"/>
    <n v="0"/>
    <n v="0"/>
    <n v="0"/>
    <n v="0"/>
    <n v="0"/>
    <n v="0"/>
    <n v="0"/>
    <n v="0"/>
    <n v="0"/>
    <n v="0"/>
    <n v="640.3469876578365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89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33.595999999999997"/>
    <n v="31.418979199999999"/>
    <n v="33.595999999999997"/>
    <n v="31.418979199999999"/>
    <m/>
    <n v="239.69"/>
    <n v="171.61"/>
    <m/>
    <n v="13818.034799999999"/>
    <n v="13818.034799999999"/>
    <n v="13767.304839999997"/>
    <n v="0"/>
    <n v="2031.1234277475332"/>
    <n v="0"/>
    <n v="0"/>
    <n v="0"/>
    <n v="1791.8760217768483"/>
    <n v="2977.1003430249148"/>
    <n v="5555.9125538673206"/>
    <n v="209.48305197917497"/>
    <n v="0"/>
    <n v="0"/>
    <n v="0"/>
    <n v="0"/>
    <n v="314.05912967788419"/>
    <m/>
    <n v="13.305751113053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7.86903454941319"/>
    <n v="0"/>
    <n v="0"/>
    <n v="0"/>
    <n v="6145.7"/>
    <n v="40"/>
    <m/>
    <m/>
    <m/>
    <m/>
    <n v="892.121353631999"/>
    <m/>
    <m/>
    <m/>
    <m/>
    <n v="6093.7815884167339"/>
    <m/>
    <m/>
    <m/>
    <m/>
    <m/>
    <m/>
    <m/>
    <m/>
    <m/>
    <m/>
    <m/>
    <m/>
    <n v="12875.6018"/>
    <n v="-47.054344959999071"/>
    <m/>
    <m/>
    <m/>
    <m/>
    <n v="-806.97592000000031"/>
    <n v="756.24595999999963"/>
    <n v="31"/>
    <n v="593.09179425510229"/>
    <n v="0"/>
    <n v="0"/>
    <n v="0"/>
    <n v="0"/>
    <n v="0"/>
    <n v="0"/>
    <n v="0"/>
    <n v="80.692881092099697"/>
    <n v="0"/>
    <n v="0"/>
    <n v="756.42558606838338"/>
    <n v="0"/>
    <n v="0"/>
    <n v="0"/>
    <n v="73.229716224361823"/>
    <n v="0"/>
    <n v="-278.98039554729507"/>
    <m/>
    <n v="0"/>
    <n v="0"/>
    <n v="0"/>
    <n v="0"/>
    <n v="-36.19330825844213"/>
    <n v="-2.0826853240072314"/>
    <n v="0"/>
    <n v="0"/>
    <m/>
    <m/>
    <m/>
    <n v="2977.1003430249148"/>
    <n v="0"/>
    <n v="0"/>
    <n v="-806.97592000000077"/>
    <n v="756.24595999999929"/>
    <n v="0"/>
    <n v="0"/>
    <n v="-643.63303097404832"/>
    <n v="0"/>
    <n v="0"/>
    <n v="0"/>
    <n v="0"/>
    <n v="0"/>
    <n v="0"/>
    <n v="0"/>
    <n v="0"/>
    <n v="0"/>
    <n v="0"/>
    <n v="0"/>
    <n v="0"/>
    <n v="387.3281696536286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90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7.9820000000000002"/>
    <n v="7.9820000000000002"/>
    <n v="7.9820000000000002"/>
    <n v="7.9820000000000002"/>
    <m/>
    <n v="239.69"/>
    <n v="171.61"/>
    <m/>
    <n v="3282.9966000000004"/>
    <n v="3282.9966000000004"/>
    <n v="3270.9437800000001"/>
    <n v="0"/>
    <n v="482.57016312301499"/>
    <n v="0"/>
    <n v="0"/>
    <n v="0"/>
    <n v="425.72789635143488"/>
    <n v="707.32274491084877"/>
    <n v="1320.0170855152089"/>
    <n v="49.770619148046642"/>
    <n v="0"/>
    <n v="0"/>
    <n v="0"/>
    <n v="0"/>
    <n v="74.616620225290859"/>
    <m/>
    <n v="3.1612842417072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.79112494860746"/>
    <n v="0"/>
    <n v="0"/>
    <n v="0"/>
    <n v="1460.25"/>
    <n v="4"/>
    <m/>
    <m/>
    <m/>
    <m/>
    <m/>
    <m/>
    <m/>
    <m/>
    <m/>
    <n v="1447.8082104638163"/>
    <m/>
    <m/>
    <m/>
    <m/>
    <m/>
    <m/>
    <m/>
    <m/>
    <m/>
    <m/>
    <m/>
    <m/>
    <n v="3270.1242000000002"/>
    <n v="-12.902399999999943"/>
    <m/>
    <m/>
    <m/>
    <m/>
    <n v="-191.72764000000009"/>
    <n v="179.67481999999993"/>
    <n v="31"/>
    <n v="140.91137938279053"/>
    <n v="0"/>
    <n v="0"/>
    <n v="0"/>
    <n v="0"/>
    <n v="0"/>
    <n v="0"/>
    <n v="0"/>
    <n v="19.171644745717913"/>
    <n v="0"/>
    <n v="0"/>
    <n v="179.71749696385996"/>
    <n v="0"/>
    <n v="0"/>
    <n v="0"/>
    <n v="17.398487763509252"/>
    <n v="0"/>
    <n v="-66.282340673250076"/>
    <m/>
    <n v="0"/>
    <n v="0"/>
    <n v="0"/>
    <n v="0"/>
    <n v="-8.5990887760115697"/>
    <n v="-0.49482064103541257"/>
    <n v="0"/>
    <n v="0"/>
    <m/>
    <m/>
    <m/>
    <n v="707.32274491084877"/>
    <n v="0"/>
    <n v="0"/>
    <n v="-191.72764000000006"/>
    <n v="179.67481999999995"/>
    <n v="0"/>
    <n v="0"/>
    <n v="-152.91936103211265"/>
    <n v="0"/>
    <n v="0"/>
    <n v="0"/>
    <n v="0"/>
    <n v="0"/>
    <n v="0"/>
    <n v="0"/>
    <n v="0"/>
    <n v="0"/>
    <n v="0"/>
    <n v="0"/>
    <n v="0"/>
    <n v="92.02445083269627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91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4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92"/>
    <s v="Regular"/>
    <s v="Convencional"/>
    <s v="B2"/>
    <s v="Rural"/>
    <s v="Agropecuária rural"/>
    <s v="IRRIG./AQUIC."/>
    <s v="Não se aplica"/>
    <s v="Não se aplica"/>
    <s v="CATIVO"/>
    <x v="1"/>
    <n v="0"/>
    <n v="0"/>
    <n v="9.7000000000000003E-2"/>
    <n v="9.7000000000000003E-2"/>
    <n v="9.7000000000000003E-2"/>
    <n v="9.7000000000000003E-2"/>
    <m/>
    <n v="239.69"/>
    <n v="171.61"/>
    <m/>
    <n v="39.896100000000004"/>
    <n v="39.896100000000004"/>
    <n v="39.749629999999996"/>
    <n v="0"/>
    <n v="5.8643580334418006"/>
    <n v="0"/>
    <n v="0"/>
    <n v="0"/>
    <n v="5.1735913237395614"/>
    <n v="8.5956284460476482"/>
    <n v="16.04130008706781"/>
    <n v="0.60482962382366878"/>
    <n v="0"/>
    <n v="0"/>
    <n v="0"/>
    <n v="0"/>
    <n v="0.90676674540882152"/>
    <m/>
    <n v="3.8417009702531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529615534972343"/>
    <n v="0"/>
    <n v="0"/>
    <n v="0"/>
    <n v="0"/>
    <n v="0"/>
    <m/>
    <m/>
    <m/>
    <m/>
    <m/>
    <n v="5.6065999999999985"/>
    <m/>
    <m/>
    <m/>
    <n v="17.594261640565044"/>
    <m/>
    <m/>
    <m/>
    <m/>
    <m/>
    <m/>
    <m/>
    <m/>
    <m/>
    <m/>
    <m/>
    <m/>
    <n v="35.198999999999998"/>
    <n v="0.99007999999999186"/>
    <m/>
    <m/>
    <m/>
    <m/>
    <n v="-2.329940000000001"/>
    <n v="2.1834699999999994"/>
    <n v="31"/>
    <n v="1.7124033826272473"/>
    <n v="0"/>
    <n v="0"/>
    <n v="0"/>
    <n v="0"/>
    <n v="0"/>
    <n v="0"/>
    <n v="0"/>
    <n v="0.23298039843831653"/>
    <n v="0"/>
    <n v="0"/>
    <n v="2.1839886250932636"/>
    <n v="0"/>
    <n v="0"/>
    <n v="0"/>
    <n v="0.21143238700330702"/>
    <n v="0"/>
    <n v="-0.80548572354112391"/>
    <m/>
    <n v="0"/>
    <n v="0"/>
    <n v="0"/>
    <n v="0"/>
    <n v="-0.10449907432637462"/>
    <n v="-6.0132300401447014E-3"/>
    <n v="0"/>
    <n v="0"/>
    <m/>
    <m/>
    <m/>
    <n v="8.5956284460476482"/>
    <n v="0"/>
    <n v="0"/>
    <n v="-2.3299400000000006"/>
    <n v="2.1834699999999998"/>
    <n v="0"/>
    <n v="0"/>
    <n v="-1.8583284916205116"/>
    <n v="0"/>
    <n v="0"/>
    <n v="0"/>
    <n v="0"/>
    <n v="0"/>
    <n v="0"/>
    <n v="0"/>
    <n v="0"/>
    <n v="0"/>
    <n v="0"/>
    <n v="0"/>
    <n v="0"/>
    <n v="1.11831266985361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93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3.0000000000000001E-3"/>
    <n v="1.1999999999999999E-3"/>
    <n v="3.0000000000000001E-3"/>
    <n v="1.1999999999999999E-3"/>
    <m/>
    <n v="239.69"/>
    <n v="171.61"/>
    <m/>
    <n v="1.2339"/>
    <n v="1.2339"/>
    <n v="1.2293699999999999"/>
    <n v="0"/>
    <n v="0.18137189794149899"/>
    <n v="0"/>
    <n v="0"/>
    <n v="0"/>
    <n v="0.16000797908472872"/>
    <n v="0.26584417874374167"/>
    <n v="0.49612268310519003"/>
    <n v="1.8706070839907281E-2"/>
    <n v="0"/>
    <n v="0"/>
    <n v="0"/>
    <n v="0"/>
    <n v="2.8044332332231591E-2"/>
    <m/>
    <n v="1.18815493925354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029738767955701E-2"/>
    <n v="0"/>
    <n v="0"/>
    <n v="0"/>
    <n v="0"/>
    <n v="0"/>
    <m/>
    <m/>
    <m/>
    <m/>
    <m/>
    <m/>
    <n v="0.80698200000000009"/>
    <m/>
    <m/>
    <n v="0.54415242187314572"/>
    <m/>
    <m/>
    <m/>
    <m/>
    <m/>
    <m/>
    <m/>
    <m/>
    <m/>
    <m/>
    <m/>
    <m/>
    <n v="0"/>
    <n v="-0.45283200000000001"/>
    <m/>
    <m/>
    <m/>
    <m/>
    <n v="-7.2060000000000027E-2"/>
    <n v="6.7529999999999979E-2"/>
    <n v="31"/>
    <n v="5.296092935960528E-2"/>
    <n v="0"/>
    <n v="0"/>
    <n v="0"/>
    <n v="0"/>
    <n v="0"/>
    <n v="0"/>
    <n v="0"/>
    <n v="7.2055793331437801E-3"/>
    <n v="0"/>
    <n v="0"/>
    <n v="6.7546039951338011E-2"/>
    <n v="0"/>
    <n v="0"/>
    <n v="0"/>
    <n v="6.5391459897930007E-3"/>
    <n v="0"/>
    <n v="-2.4911929594055388E-2"/>
    <m/>
    <n v="0"/>
    <n v="0"/>
    <n v="0"/>
    <n v="0"/>
    <n v="-3.2319301338053982E-3"/>
    <n v="-1.8597618680859921E-4"/>
    <n v="0"/>
    <n v="0"/>
    <m/>
    <m/>
    <m/>
    <n v="0.26584417874374167"/>
    <n v="0"/>
    <n v="0"/>
    <n v="-7.2060000000000013E-2"/>
    <n v="6.7529999999999979E-2"/>
    <n v="0"/>
    <n v="0"/>
    <n v="-5.7474077060428175E-2"/>
    <n v="0"/>
    <n v="0"/>
    <n v="0"/>
    <n v="0"/>
    <n v="0"/>
    <n v="0"/>
    <n v="0"/>
    <n v="0"/>
    <n v="0"/>
    <n v="0"/>
    <n v="0"/>
    <n v="0"/>
    <n v="3.4586989789287002E-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94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253.49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95"/>
    <s v="Regular"/>
    <s v="Convencional"/>
    <s v="B2"/>
    <s v="Rural"/>
    <s v="Aquicultura"/>
    <s v="IRRIG./AQUIC."/>
    <s v="Não se aplica"/>
    <s v="Não se aplica"/>
    <s v="CATIVO"/>
    <x v="1"/>
    <n v="0"/>
    <n v="0"/>
    <n v="30.82"/>
    <n v="30.82"/>
    <n v="30.82"/>
    <n v="30.82"/>
    <m/>
    <n v="239.69"/>
    <n v="171.61"/>
    <m/>
    <n v="12676.266"/>
    <n v="12676.266"/>
    <n v="12629.727800000001"/>
    <n v="0"/>
    <n v="1863.2939648523329"/>
    <n v="0"/>
    <n v="0"/>
    <n v="0"/>
    <n v="1643.8153051304464"/>
    <n v="2731.1058629607064"/>
    <n v="5096.8336977673189"/>
    <n v="192.17370109531413"/>
    <n v="0"/>
    <n v="0"/>
    <n v="0"/>
    <n v="0"/>
    <n v="288.10877415979257"/>
    <m/>
    <n v="12.206311742598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3.42551627613153"/>
    <n v="0"/>
    <n v="0"/>
    <n v="0"/>
    <n v="0"/>
    <n v="0"/>
    <m/>
    <m/>
    <m/>
    <m/>
    <m/>
    <n v="1781.3959999999993"/>
    <m/>
    <m/>
    <m/>
    <n v="5590.2592140434508"/>
    <m/>
    <m/>
    <m/>
    <m/>
    <m/>
    <m/>
    <m/>
    <m/>
    <m/>
    <m/>
    <m/>
    <m/>
    <n v="10848.3318"/>
    <n v="-11.433400000001711"/>
    <m/>
    <m/>
    <m/>
    <m/>
    <n v="-740.29640000000029"/>
    <n v="693.75819999999976"/>
    <n v="31"/>
    <n v="544.08528095434485"/>
    <n v="0"/>
    <n v="0"/>
    <n v="0"/>
    <n v="0"/>
    <n v="0"/>
    <n v="0"/>
    <n v="0"/>
    <n v="74.025318349163854"/>
    <n v="0"/>
    <n v="0"/>
    <n v="693.92298376674535"/>
    <n v="0"/>
    <n v="0"/>
    <n v="0"/>
    <n v="67.17882646847346"/>
    <n v="0"/>
    <n v="-255.92855669626238"/>
    <m/>
    <n v="0"/>
    <n v="0"/>
    <n v="0"/>
    <n v="0"/>
    <n v="-33.202695574627484"/>
    <n v="-1.910595359147008"/>
    <n v="0"/>
    <n v="0"/>
    <m/>
    <m/>
    <m/>
    <n v="2731.1058629607064"/>
    <n v="0"/>
    <n v="0"/>
    <n v="-740.29640000000018"/>
    <n v="693.75819999999931"/>
    <n v="0"/>
    <n v="0"/>
    <n v="-590.45035166746584"/>
    <n v="0"/>
    <n v="0"/>
    <n v="0"/>
    <n v="0"/>
    <n v="0"/>
    <n v="0"/>
    <n v="0"/>
    <n v="0"/>
    <n v="0"/>
    <n v="0"/>
    <n v="0"/>
    <n v="0"/>
    <n v="355.3236751019417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96"/>
    <s v="Regular"/>
    <s v="Convencional"/>
    <s v="B2"/>
    <s v="Rural"/>
    <s v="Aquicultura"/>
    <s v="IRRIG./AQUIC. PR"/>
    <s v="Não se aplica"/>
    <s v="Não se aplica"/>
    <s v="CATIVO"/>
    <x v="1"/>
    <n v="0"/>
    <n v="0"/>
    <n v="51.676000000000002"/>
    <n v="20.670400000000001"/>
    <n v="51.676000000000002"/>
    <n v="20.670400000000001"/>
    <m/>
    <n v="239.69"/>
    <n v="171.61"/>
    <m/>
    <n v="21254.338800000001"/>
    <n v="21254.338800000001"/>
    <n v="21176.30804"/>
    <n v="0"/>
    <n v="3124.1913993416342"/>
    <n v="0"/>
    <n v="0"/>
    <n v="0"/>
    <n v="2756.1907757274803"/>
    <n v="4579.2545935871985"/>
    <n v="8545.8785907145993"/>
    <n v="322.21830557434959"/>
    <n v="0"/>
    <n v="0"/>
    <n v="0"/>
    <n v="0"/>
    <n v="483.07297253346661"/>
    <m/>
    <n v="20.466364880288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.32826019095955"/>
    <n v="0"/>
    <n v="0"/>
    <n v="0"/>
    <n v="0"/>
    <n v="0"/>
    <m/>
    <m/>
    <m/>
    <m/>
    <m/>
    <m/>
    <n v="13900.533943999999"/>
    <m/>
    <m/>
    <n v="9373.2068509055589"/>
    <m/>
    <m/>
    <m/>
    <m/>
    <m/>
    <m/>
    <m/>
    <m/>
    <m/>
    <m/>
    <m/>
    <m/>
    <n v="7275.6333000000013"/>
    <n v="-7.8188439999994443"/>
    <m/>
    <m/>
    <m/>
    <m/>
    <n v="-1241.2575200000006"/>
    <n v="1163.2267599999996"/>
    <n v="31"/>
    <n v="912.26966186232312"/>
    <n v="0"/>
    <n v="0"/>
    <n v="0"/>
    <n v="0"/>
    <n v="0"/>
    <n v="0"/>
    <n v="0"/>
    <n v="124.11850587317986"/>
    <n v="0"/>
    <n v="0"/>
    <n v="1163.5030535084479"/>
    <n v="0"/>
    <n v="0"/>
    <n v="0"/>
    <n v="112.63896938951439"/>
    <n v="0"/>
    <n v="-429.11629123413559"/>
    <m/>
    <n v="0"/>
    <n v="0"/>
    <n v="0"/>
    <n v="0"/>
    <n v="-55.67107386484264"/>
    <n v="-3.203501809840386"/>
    <n v="0"/>
    <n v="0"/>
    <m/>
    <m/>
    <m/>
    <n v="4579.2545935871985"/>
    <n v="0"/>
    <n v="0"/>
    <n v="-1241.257520000001"/>
    <n v="1163.2267599999996"/>
    <n v="0"/>
    <n v="0"/>
    <n v="-990.01013539156247"/>
    <n v="0"/>
    <n v="0"/>
    <n v="0"/>
    <n v="0"/>
    <n v="0"/>
    <n v="0"/>
    <n v="0"/>
    <n v="0"/>
    <n v="0"/>
    <n v="0"/>
    <n v="0"/>
    <n v="0"/>
    <n v="595.7724281170650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97"/>
    <s v="Regular"/>
    <s v="Convencional"/>
    <s v="B1"/>
    <s v="Residencial"/>
    <s v="Residencial"/>
    <s v="Não se aplica"/>
    <s v="Não se aplica"/>
    <s v="Não se aplica"/>
    <s v="CATIVO"/>
    <x v="2"/>
    <n v="0"/>
    <n v="0"/>
    <n v="1305.6949999999999"/>
    <n v="1305.6949999999999"/>
    <n v="1305.6949999999999"/>
    <n v="1305.6949999999999"/>
    <m/>
    <n v="239.69"/>
    <n v="171.61"/>
    <m/>
    <n v="537032.35349999997"/>
    <n v="537032.35349999997"/>
    <n v="535060.75404999999"/>
    <n v="0"/>
    <n v="78938.793427575176"/>
    <n v="0"/>
    <n v="0"/>
    <n v="0"/>
    <n v="69640.53941701162"/>
    <n v="115703.80498826993"/>
    <n v="215928.30223901034"/>
    <n v="8141.4743884375785"/>
    <n v="0"/>
    <n v="0"/>
    <n v="0"/>
    <n v="0"/>
    <n v="12205.781501511043"/>
    <m/>
    <n v="517.122654469550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04.063253541972"/>
    <n v="0"/>
    <n v="0"/>
    <n v="0"/>
    <n v="171313.45"/>
    <n v="4723"/>
    <m/>
    <m/>
    <m/>
    <m/>
    <m/>
    <m/>
    <m/>
    <m/>
    <m/>
    <n v="236832.36549255232"/>
    <m/>
    <m/>
    <m/>
    <m/>
    <m/>
    <m/>
    <m/>
    <m/>
    <m/>
    <m/>
    <m/>
    <m/>
    <n v="535062.80300000007"/>
    <n v="-1969.5804999999236"/>
    <m/>
    <m/>
    <m/>
    <m/>
    <n v="-31362.793900000011"/>
    <n v="29391.194449999988"/>
    <n v="30"/>
    <n v="23050.273553396692"/>
    <n v="0"/>
    <n v="0"/>
    <n v="0"/>
    <n v="0"/>
    <n v="0"/>
    <n v="0"/>
    <n v="0"/>
    <n v="3136.0963024630619"/>
    <n v="0"/>
    <n v="0"/>
    <n v="29398.175544754078"/>
    <n v="0"/>
    <n v="0"/>
    <n v="0"/>
    <n v="2846.0434077142563"/>
    <n v="0"/>
    <n v="-10842.460637103388"/>
    <m/>
    <n v="0"/>
    <n v="0"/>
    <n v="0"/>
    <n v="0"/>
    <n v="-1406.6383386863472"/>
    <n v="-80.942725745017924"/>
    <n v="0"/>
    <n v="0"/>
    <m/>
    <m/>
    <m/>
    <n v="115703.80498826993"/>
    <n v="0"/>
    <n v="0"/>
    <n v="-31362.79389999999"/>
    <n v="29391.194449999981"/>
    <n v="0"/>
    <n v="0"/>
    <n v="-25014.538349138587"/>
    <n v="0"/>
    <n v="0"/>
    <n v="0"/>
    <n v="0"/>
    <n v="0"/>
    <n v="0"/>
    <n v="0"/>
    <n v="0"/>
    <n v="0"/>
    <n v="0"/>
    <n v="0"/>
    <n v="0"/>
    <n v="15053.35321097436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98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.5209999999999999"/>
    <n v="-1.5209999999999999"/>
    <n v="-1.5209999999999999"/>
    <n v="-1.5209999999999999"/>
    <m/>
    <n v="239.69"/>
    <n v="171.61"/>
    <m/>
    <n v="-625.58730000000003"/>
    <n v="-625.58730000000003"/>
    <n v="-623.29058999999995"/>
    <n v="0"/>
    <n v="-91.955552256339985"/>
    <n v="0"/>
    <n v="0"/>
    <n v="0"/>
    <n v="-81.124045395957452"/>
    <n v="-134.78299862307702"/>
    <n v="-251.53420033433133"/>
    <n v="-9.4839779158329911"/>
    <n v="0"/>
    <n v="0"/>
    <n v="0"/>
    <n v="0"/>
    <n v="-14.218476492441416"/>
    <m/>
    <n v="-0.60239455420154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4.351077555353537"/>
    <n v="0"/>
    <n v="0"/>
    <n v="0"/>
    <n v="-298.32"/>
    <n v="0"/>
    <m/>
    <m/>
    <m/>
    <m/>
    <m/>
    <m/>
    <m/>
    <m/>
    <m/>
    <n v="-275.88527788968486"/>
    <m/>
    <m/>
    <m/>
    <m/>
    <m/>
    <m/>
    <m/>
    <m/>
    <m/>
    <m/>
    <m/>
    <m/>
    <n v="-622.88080000000002"/>
    <n v="2.6765000000000327"/>
    <m/>
    <m/>
    <m/>
    <m/>
    <n v="36.534420000000011"/>
    <n v="-34.237709999999986"/>
    <n v="30"/>
    <n v="-26.851191185319806"/>
    <n v="0"/>
    <n v="0"/>
    <n v="0"/>
    <n v="0"/>
    <n v="0"/>
    <n v="0"/>
    <n v="0"/>
    <n v="-3.6532287219039006"/>
    <n v="0"/>
    <n v="0"/>
    <n v="-34.245842255328341"/>
    <n v="0"/>
    <n v="0"/>
    <n v="0"/>
    <n v="-3.3153470168250507"/>
    <n v="0"/>
    <n v="12.630348304186086"/>
    <m/>
    <n v="0"/>
    <n v="0"/>
    <n v="0"/>
    <n v="0"/>
    <n v="1.6385885778393376"/>
    <n v="9.4289926711959793E-2"/>
    <n v="0"/>
    <n v="0"/>
    <m/>
    <m/>
    <m/>
    <n v="-134.78299862307702"/>
    <n v="0"/>
    <n v="0"/>
    <n v="36.534420000000011"/>
    <n v="-34.237709999999936"/>
    <n v="0"/>
    <n v="0"/>
    <n v="29.139357069637086"/>
    <n v="0"/>
    <n v="0"/>
    <n v="0"/>
    <n v="0"/>
    <n v="0"/>
    <n v="0"/>
    <n v="0"/>
    <n v="0"/>
    <n v="0"/>
    <n v="0"/>
    <n v="0"/>
    <n v="0"/>
    <n v="-17.53560382316850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99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.391"/>
    <n v="1.391"/>
    <n v="1.391"/>
    <n v="1.391"/>
    <m/>
    <n v="239.69"/>
    <n v="171.61"/>
    <m/>
    <n v="572.11830000000009"/>
    <n v="572.11830000000009"/>
    <n v="570.01788999999997"/>
    <n v="0"/>
    <n v="84.096103345541707"/>
    <n v="0"/>
    <n v="0"/>
    <n v="0"/>
    <n v="74.190366302285881"/>
    <n v="123.26308421084822"/>
    <n v="230.03555073310645"/>
    <n v="8.6733815127703426"/>
    <n v="0"/>
    <n v="0"/>
    <n v="0"/>
    <n v="0"/>
    <n v="13.003222091378049"/>
    <m/>
    <n v="0.55090784016722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69788875408793"/>
    <n v="0"/>
    <n v="0"/>
    <n v="0"/>
    <n v="408.49"/>
    <n v="7"/>
    <m/>
    <m/>
    <m/>
    <m/>
    <m/>
    <m/>
    <m/>
    <m/>
    <m/>
    <n v="252.30533960851523"/>
    <m/>
    <m/>
    <m/>
    <m/>
    <m/>
    <m/>
    <m/>
    <m/>
    <m/>
    <m/>
    <m/>
    <m/>
    <n v="569.60809999999992"/>
    <n v="-2.5402000000001408"/>
    <m/>
    <m/>
    <m/>
    <m/>
    <n v="-33.411820000000013"/>
    <n v="31.311409999999988"/>
    <n v="30"/>
    <n v="24.556217579737051"/>
    <n v="0"/>
    <n v="0"/>
    <n v="0"/>
    <n v="0"/>
    <n v="0"/>
    <n v="0"/>
    <n v="0"/>
    <n v="3.3409869508010104"/>
    <n v="0"/>
    <n v="0"/>
    <n v="31.318847190770384"/>
    <n v="0"/>
    <n v="0"/>
    <n v="0"/>
    <n v="3.0319840239340223"/>
    <n v="0"/>
    <n v="-11.550831355110361"/>
    <m/>
    <n v="0"/>
    <n v="0"/>
    <n v="0"/>
    <n v="0"/>
    <n v="-1.4985382720411042"/>
    <n v="-8.6230958616920372E-2"/>
    <n v="0"/>
    <n v="0"/>
    <m/>
    <m/>
    <m/>
    <n v="123.26308421084822"/>
    <n v="0"/>
    <n v="0"/>
    <n v="-33.411820000000034"/>
    <n v="31.311409999999967"/>
    <n v="0"/>
    <n v="0"/>
    <n v="-26.648813730351861"/>
    <n v="0"/>
    <n v="0"/>
    <n v="0"/>
    <n v="0"/>
    <n v="0"/>
    <n v="0"/>
    <n v="0"/>
    <n v="0"/>
    <n v="0"/>
    <n v="0"/>
    <n v="0"/>
    <n v="0"/>
    <n v="16.0368342656327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0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6.75"/>
    <n v="6.75"/>
    <n v="6.75"/>
    <n v="6.75"/>
    <m/>
    <n v="158.36000000000001"/>
    <n v="171.61"/>
    <m/>
    <n v="2227.2975000000001"/>
    <n v="2227.2975000000001"/>
    <n v="2280.42"/>
    <n v="0"/>
    <n v="0"/>
    <n v="0"/>
    <n v="0"/>
    <n v="0"/>
    <n v="360.01795294063959"/>
    <n v="598.14940217341882"/>
    <n v="1116.2760369866776"/>
    <n v="42.088659389791381"/>
    <n v="0"/>
    <n v="0"/>
    <n v="0"/>
    <n v="0"/>
    <n v="0"/>
    <m/>
    <n v="2.6733486133204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06691222790032"/>
    <n v="0"/>
    <n v="0"/>
    <n v="0"/>
    <n v="108.12"/>
    <n v="3"/>
    <m/>
    <m/>
    <m/>
    <m/>
    <m/>
    <m/>
    <m/>
    <n v="1482.3000000000002"/>
    <m/>
    <n v="1224.3429492145779"/>
    <m/>
    <m/>
    <m/>
    <m/>
    <m/>
    <m/>
    <m/>
    <m/>
    <m/>
    <m/>
    <m/>
    <m/>
    <n v="798.11999999999989"/>
    <n v="18.599999999999909"/>
    <m/>
    <m/>
    <m/>
    <m/>
    <n v="-98.820000000000107"/>
    <n v="151.94249999999994"/>
    <n v="30"/>
    <n v="182.48577544679893"/>
    <n v="0"/>
    <n v="0"/>
    <n v="0"/>
    <n v="0"/>
    <n v="0"/>
    <n v="0"/>
    <n v="0"/>
    <n v="16.212553499573573"/>
    <n v="0"/>
    <n v="0"/>
    <n v="151.97858989051042"/>
    <n v="0"/>
    <n v="0"/>
    <n v="0"/>
    <n v="14.713078477034259"/>
    <n v="0"/>
    <n v="0"/>
    <m/>
    <n v="0"/>
    <n v="0"/>
    <n v="0"/>
    <n v="0"/>
    <n v="0"/>
    <n v="-0.41844642031934765"/>
    <n v="0"/>
    <n v="0"/>
    <m/>
    <m/>
    <m/>
    <n v="598.14940217341882"/>
    <n v="0"/>
    <n v="0"/>
    <n v="-98.82000000000005"/>
    <n v="151.94249999999988"/>
    <n v="0"/>
    <n v="0"/>
    <n v="-129.31667338596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1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5.118"/>
    <n v="15.118"/>
    <n v="15.118"/>
    <n v="15.118"/>
    <m/>
    <n v="158.36000000000001"/>
    <n v="171.61"/>
    <m/>
    <n v="4988.4864600000001"/>
    <n v="4988.4864600000001"/>
    <n v="5107.4651200000008"/>
    <n v="0"/>
    <n v="0"/>
    <n v="0"/>
    <n v="0"/>
    <n v="0"/>
    <n v="806.33354260097622"/>
    <n v="1339.6774314159622"/>
    <n v="2500.1275743947544"/>
    <n v="94.266126319239433"/>
    <n v="0"/>
    <n v="0"/>
    <n v="0"/>
    <n v="0"/>
    <n v="0"/>
    <m/>
    <n v="5.9875087905450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.03786356465142"/>
    <n v="0"/>
    <n v="0"/>
    <n v="0"/>
    <n v="419.31"/>
    <n v="23"/>
    <m/>
    <m/>
    <m/>
    <m/>
    <m/>
    <m/>
    <m/>
    <n v="2043.0465199999999"/>
    <m/>
    <n v="2742.1654379594061"/>
    <m/>
    <m/>
    <m/>
    <m/>
    <m/>
    <m/>
    <m/>
    <m/>
    <m/>
    <m/>
    <m/>
    <m/>
    <n v="3064.8240000000001"/>
    <n v="71.732359999999517"/>
    <m/>
    <m/>
    <m/>
    <m/>
    <n v="-221.32752000000022"/>
    <n v="340.30617999999987"/>
    <n v="30"/>
    <n v="408.71406714143723"/>
    <n v="0"/>
    <n v="0"/>
    <n v="0"/>
    <n v="0"/>
    <n v="0"/>
    <n v="0"/>
    <n v="0"/>
    <n v="36.311316119489334"/>
    <n v="0"/>
    <n v="0"/>
    <n v="340.38701066144222"/>
    <n v="0"/>
    <n v="0"/>
    <n v="0"/>
    <n v="32.952936357896846"/>
    <n v="0"/>
    <n v="0"/>
    <m/>
    <n v="0"/>
    <n v="0"/>
    <n v="0"/>
    <n v="0"/>
    <n v="0"/>
    <n v="-0.93719599739080106"/>
    <n v="0"/>
    <n v="0"/>
    <m/>
    <m/>
    <m/>
    <n v="1339.6774314159622"/>
    <n v="0"/>
    <n v="0"/>
    <n v="-221.32752000000028"/>
    <n v="340.30618000000004"/>
    <n v="0"/>
    <n v="0"/>
    <n v="-289.63103233318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2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19.46"/>
    <n v="19.46"/>
    <n v="19.46"/>
    <n v="19.46"/>
    <m/>
    <n v="158.36000000000001"/>
    <n v="171.61"/>
    <m/>
    <n v="6421.2162000000008"/>
    <n v="6421.2162000000008"/>
    <n v="6574.3664000000008"/>
    <n v="0"/>
    <n v="0"/>
    <n v="0"/>
    <n v="0"/>
    <n v="0"/>
    <n v="1037.918424329607"/>
    <n v="1724.4425727844045"/>
    <n v="3218.1824710756659"/>
    <n v="121.3400461815319"/>
    <n v="0"/>
    <n v="0"/>
    <n v="0"/>
    <n v="0"/>
    <n v="0"/>
    <m/>
    <n v="7.7071650392913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1.55290547480598"/>
    <n v="0"/>
    <n v="0"/>
    <n v="0"/>
    <n v="1472.26"/>
    <n v="85"/>
    <m/>
    <m/>
    <m/>
    <m/>
    <m/>
    <m/>
    <m/>
    <n v="657.35879999999997"/>
    <m/>
    <n v="3529.7353765504718"/>
    <m/>
    <m/>
    <m/>
    <m/>
    <m/>
    <m/>
    <m/>
    <m/>
    <m/>
    <m/>
    <m/>
    <m/>
    <n v="5917.0076000000008"/>
    <n v="137.9413999999997"/>
    <m/>
    <m/>
    <m/>
    <m/>
    <n v="-284.8944000000003"/>
    <n v="438.04459999999983"/>
    <n v="30"/>
    <n v="526.09973188069853"/>
    <n v="0"/>
    <n v="0"/>
    <n v="0"/>
    <n v="0"/>
    <n v="0"/>
    <n v="0"/>
    <n v="0"/>
    <n v="46.74019127432598"/>
    <n v="0"/>
    <n v="0"/>
    <n v="438.14864581767915"/>
    <n v="0"/>
    <n v="0"/>
    <n v="0"/>
    <n v="42.417260320457274"/>
    <n v="0"/>
    <n v="0"/>
    <m/>
    <n v="0"/>
    <n v="0"/>
    <n v="0"/>
    <n v="0"/>
    <n v="0"/>
    <n v="-1.2063655317651127"/>
    <n v="0"/>
    <n v="0"/>
    <m/>
    <m/>
    <m/>
    <n v="1724.4425727844045"/>
    <n v="0"/>
    <n v="0"/>
    <n v="-284.89440000000013"/>
    <n v="438.04459999999972"/>
    <n v="0"/>
    <n v="0"/>
    <n v="-372.8151798653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3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4.26"/>
    <n v="14.26"/>
    <n v="14.26"/>
    <n v="14.26"/>
    <m/>
    <n v="158.36000000000001"/>
    <n v="171.61"/>
    <m/>
    <n v="4705.3721999999998"/>
    <n v="4705.3721999999998"/>
    <n v="4817.5984000000008"/>
    <n v="0"/>
    <n v="0"/>
    <n v="0"/>
    <n v="0"/>
    <n v="0"/>
    <n v="760.57126058274378"/>
    <n v="1263.6459962952522"/>
    <n v="2358.2364870266697"/>
    <n v="88.916190059025936"/>
    <n v="0"/>
    <n v="0"/>
    <n v="0"/>
    <n v="0"/>
    <n v="0"/>
    <m/>
    <n v="5.6476964779184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.30135827701608"/>
    <n v="0"/>
    <n v="0"/>
    <n v="0"/>
    <n v="1857.98"/>
    <n v="113"/>
    <m/>
    <m/>
    <m/>
    <m/>
    <m/>
    <m/>
    <m/>
    <m/>
    <m/>
    <n v="2586.5378453036856"/>
    <m/>
    <m/>
    <m/>
    <m/>
    <m/>
    <m/>
    <m/>
    <m/>
    <m/>
    <m/>
    <m/>
    <m/>
    <n v="4817.5984000000008"/>
    <n v="112.19620000000032"/>
    <m/>
    <m/>
    <m/>
    <m/>
    <n v="-208.7664000000002"/>
    <n v="320.99259999999987"/>
    <n v="30"/>
    <n v="385.5180974624227"/>
    <n v="0"/>
    <n v="0"/>
    <n v="0"/>
    <n v="0"/>
    <n v="0"/>
    <n v="0"/>
    <n v="0"/>
    <n v="34.250520430210145"/>
    <n v="0"/>
    <n v="0"/>
    <n v="321.06884323535996"/>
    <n v="0"/>
    <n v="0"/>
    <n v="0"/>
    <n v="31.082740604816053"/>
    <n v="0"/>
    <n v="0"/>
    <m/>
    <n v="0"/>
    <n v="0"/>
    <n v="0"/>
    <n v="0"/>
    <n v="0"/>
    <n v="-0.88400680796354081"/>
    <n v="0"/>
    <n v="0"/>
    <m/>
    <m/>
    <m/>
    <n v="1263.6459962952522"/>
    <n v="0"/>
    <n v="0"/>
    <n v="-208.76639999999998"/>
    <n v="320.99260000000004"/>
    <n v="0"/>
    <n v="0"/>
    <n v="-273.19344629390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4"/>
    <s v="Regular"/>
    <s v="Convencional"/>
    <s v="B3"/>
    <s v="Industrial"/>
    <s v="Não se aplica"/>
    <s v="Não se aplica"/>
    <s v="Não se aplica"/>
    <s v="Não se aplica"/>
    <s v="CATIVO"/>
    <x v="2"/>
    <n v="0"/>
    <n v="0"/>
    <n v="241.899"/>
    <n v="241.899"/>
    <n v="241.899"/>
    <n v="241.899"/>
    <m/>
    <n v="239.69"/>
    <n v="171.61"/>
    <m/>
    <n v="99493.058699999994"/>
    <n v="99493.058699999994"/>
    <n v="99127.791209999996"/>
    <n v="0"/>
    <n v="14624.560246716888"/>
    <n v="0"/>
    <n v="0"/>
    <n v="0"/>
    <n v="12901.923377538929"/>
    <n v="21435.813664644123"/>
    <n v="40003.860306820789"/>
    <n v="1508.3266100342437"/>
    <n v="0"/>
    <n v="0"/>
    <n v="0"/>
    <n v="0"/>
    <n v="2261.2986489448299"/>
    <m/>
    <n v="95.8044972168307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2.7819260765718"/>
    <n v="0"/>
    <n v="0"/>
    <n v="0"/>
    <n v="44491.72"/>
    <n v="79"/>
    <m/>
    <m/>
    <m/>
    <m/>
    <m/>
    <m/>
    <m/>
    <m/>
    <m/>
    <n v="43876.642232897357"/>
    <m/>
    <m/>
    <m/>
    <m/>
    <m/>
    <m/>
    <m/>
    <m/>
    <m/>
    <m/>
    <m/>
    <m/>
    <n v="99128.201000000001"/>
    <n v="-364.88770000000659"/>
    <m/>
    <m/>
    <m/>
    <m/>
    <n v="-5810.4139800000021"/>
    <n v="5445.1464899999983"/>
    <n v="30"/>
    <n v="4270.3986170530552"/>
    <n v="0"/>
    <n v="0"/>
    <n v="0"/>
    <n v="0"/>
    <n v="0"/>
    <n v="0"/>
    <n v="0"/>
    <n v="581.00747836938353"/>
    <n v="0"/>
    <n v="0"/>
    <n v="5446.4398393962329"/>
    <n v="0"/>
    <n v="0"/>
    <n v="0"/>
    <n v="527.27095859497877"/>
    <n v="0"/>
    <n v="-2008.7236189574687"/>
    <m/>
    <n v="0"/>
    <n v="0"/>
    <n v="0"/>
    <n v="0"/>
    <n v="-260.60022247913071"/>
    <n v="-14.995817870937771"/>
    <n v="0"/>
    <n v="0"/>
    <m/>
    <m/>
    <m/>
    <n v="21435.813664644123"/>
    <n v="0"/>
    <n v="0"/>
    <n v="-5810.4139799999975"/>
    <n v="5445.1464899999992"/>
    <n v="0"/>
    <n v="0"/>
    <n v="-4634.3072556135048"/>
    <n v="0"/>
    <n v="0"/>
    <n v="0"/>
    <n v="0"/>
    <n v="0"/>
    <n v="0"/>
    <n v="0"/>
    <n v="0"/>
    <n v="0"/>
    <n v="0"/>
    <n v="0"/>
    <n v="0"/>
    <n v="2788.852747679578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5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7.5039999999999996"/>
    <n v="7.5039999999999996"/>
    <n v="7.5039999999999996"/>
    <n v="7.5039999999999996"/>
    <m/>
    <n v="239.69"/>
    <n v="171.61"/>
    <m/>
    <n v="3086.3951999999999"/>
    <n v="3086.3951999999999"/>
    <n v="3075.0641599999999"/>
    <n v="0"/>
    <n v="453.67157405100278"/>
    <n v="0"/>
    <n v="0"/>
    <n v="0"/>
    <n v="400.23329168393474"/>
    <n v="664.96490576434576"/>
    <n v="1240.9682046737819"/>
    <n v="46.790118527554746"/>
    <n v="0"/>
    <n v="0"/>
    <n v="0"/>
    <n v="0"/>
    <n v="70.148223273688615"/>
    <m/>
    <n v="2.9719715547195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.13838657157984"/>
    <n v="0"/>
    <n v="0"/>
    <n v="0"/>
    <n v="1449.58"/>
    <n v="5"/>
    <m/>
    <m/>
    <m/>
    <m/>
    <m/>
    <m/>
    <m/>
    <m/>
    <m/>
    <n v="1361.1065912453616"/>
    <m/>
    <m/>
    <m/>
    <m/>
    <m/>
    <m/>
    <m/>
    <m/>
    <m/>
    <m/>
    <m/>
    <m/>
    <n v="3073.4250000000002"/>
    <n v="-13.00019999999995"/>
    <m/>
    <m/>
    <m/>
    <m/>
    <n v="-180.24608000000006"/>
    <n v="168.91503999999992"/>
    <n v="30"/>
    <n v="132.47293797149314"/>
    <n v="0"/>
    <n v="0"/>
    <n v="0"/>
    <n v="0"/>
    <n v="0"/>
    <n v="0"/>
    <n v="0"/>
    <n v="18.023555771970337"/>
    <n v="0"/>
    <n v="0"/>
    <n v="168.95516126494681"/>
    <n v="0"/>
    <n v="0"/>
    <n v="0"/>
    <n v="16.356583835802212"/>
    <n v="0"/>
    <n v="-62.313039891263884"/>
    <m/>
    <n v="0"/>
    <n v="0"/>
    <n v="0"/>
    <n v="0"/>
    <n v="-8.0841345746919018"/>
    <n v="-0.46518843527057596"/>
    <n v="0"/>
    <n v="0"/>
    <m/>
    <m/>
    <m/>
    <n v="664.96490576434576"/>
    <n v="0"/>
    <n v="0"/>
    <n v="-180.24608000000012"/>
    <n v="168.91503999999986"/>
    <n v="0"/>
    <n v="0"/>
    <n v="-143.76182475381768"/>
    <n v="0"/>
    <n v="0"/>
    <n v="0"/>
    <n v="0"/>
    <n v="0"/>
    <n v="0"/>
    <n v="0"/>
    <n v="0"/>
    <n v="0"/>
    <n v="0"/>
    <n v="0"/>
    <n v="0"/>
    <n v="86.51359045960320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6"/>
    <s v="Regular"/>
    <s v="Azul"/>
    <s v="A4"/>
    <s v="Industrial"/>
    <s v="Não se aplica"/>
    <s v="Não se aplica"/>
    <s v="Não se aplica"/>
    <s v="Ponta"/>
    <s v="CATIVO"/>
    <x v="2"/>
    <n v="19432"/>
    <n v="19432"/>
    <n v="907.28399999999999"/>
    <n v="907.28399999999999"/>
    <n v="907.28399999999999"/>
    <n v="907.28399999999999"/>
    <n v="37.64"/>
    <n v="78.42"/>
    <n v="171.61"/>
    <n v="731420.48"/>
    <n v="226848.21851999999"/>
    <n v="958268.69852000009"/>
    <n v="896685.19136000006"/>
    <n v="0"/>
    <n v="47721.188105066933"/>
    <n v="0"/>
    <n v="0"/>
    <n v="0"/>
    <n v="317598.84762950923"/>
    <n v="413755.46030691906"/>
    <n v="150041.39080613642"/>
    <n v="5657.2395919714791"/>
    <n v="0"/>
    <n v="0"/>
    <n v="0"/>
    <n v="0"/>
    <n v="8481.3913385721353"/>
    <m/>
    <n v="239.57784387981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08.1843959698135"/>
    <n v="0"/>
    <n v="0"/>
    <n v="0"/>
    <n v="0"/>
    <n v="0"/>
    <m/>
    <m/>
    <m/>
    <m/>
    <m/>
    <m/>
    <m/>
    <m/>
    <m/>
    <n v="155649.57520210624"/>
    <m/>
    <m/>
    <m/>
    <m/>
    <m/>
    <m/>
    <m/>
    <m/>
    <m/>
    <m/>
    <m/>
    <m/>
    <n v="896684.13120000006"/>
    <n v="-61584.597320000059"/>
    <m/>
    <m/>
    <m/>
    <m/>
    <n v="-82006.469999999958"/>
    <n v="20422.962839999993"/>
    <n v="30"/>
    <n v="27924.103165746084"/>
    <n v="0"/>
    <n v="0"/>
    <n v="0"/>
    <n v="0"/>
    <n v="0"/>
    <n v="0"/>
    <n v="0"/>
    <n v="14302.309833546751"/>
    <n v="0"/>
    <n v="0"/>
    <n v="20427.813770403212"/>
    <n v="0"/>
    <n v="0"/>
    <n v="0"/>
    <n v="763.54228533493733"/>
    <n v="0"/>
    <n v="-6554.6365876456985"/>
    <m/>
    <n v="0"/>
    <n v="0"/>
    <n v="0"/>
    <n v="0"/>
    <n v="-977.4261665064987"/>
    <n v="-37.499969386641339"/>
    <n v="0"/>
    <n v="0"/>
    <m/>
    <m/>
    <n v="413755.46030691906"/>
    <n v="0"/>
    <n v="0"/>
    <n v="0"/>
    <n v="-82006.469999999972"/>
    <n v="20422.962839999993"/>
    <n v="0"/>
    <n v="0"/>
    <n v="-89451.698066991288"/>
    <n v="0"/>
    <n v="0"/>
    <n v="0"/>
    <n v="0"/>
    <n v="0"/>
    <n v="0"/>
    <n v="0"/>
    <n v="0"/>
    <n v="0"/>
    <n v="0"/>
    <n v="0"/>
    <n v="0"/>
    <n v="9100.264508755177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7"/>
    <s v="Sistema de Compensação"/>
    <s v="Azul"/>
    <s v="A4"/>
    <s v="Industrial"/>
    <s v="Não se aplica"/>
    <s v="Não se aplica"/>
    <s v="Não se aplica"/>
    <s v="Ponta"/>
    <s v="CATIVO"/>
    <x v="2"/>
    <n v="1321"/>
    <n v="1321"/>
    <n v="67.569000000000003"/>
    <n v="67.569000000000003"/>
    <n v="67.569000000000003"/>
    <n v="67.569000000000003"/>
    <n v="37.64"/>
    <n v="78.42"/>
    <n v="171.61"/>
    <n v="49722.44"/>
    <n v="16894.27707"/>
    <n v="66616.717069999999"/>
    <n v="62518.657760000002"/>
    <n v="0"/>
    <n v="3553.9841538826518"/>
    <n v="0"/>
    <n v="0"/>
    <n v="0"/>
    <n v="21590.576251470855"/>
    <n v="28127.36532860437"/>
    <n v="11174.171191578196"/>
    <n v="421.31683352723172"/>
    <n v="0"/>
    <n v="0"/>
    <n v="0"/>
    <n v="0"/>
    <n v="631.64249711885213"/>
    <m/>
    <n v="17.842302226331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7.66350057014603"/>
    <n v="0"/>
    <n v="0"/>
    <n v="0"/>
    <n v="0"/>
    <n v="0"/>
    <m/>
    <m/>
    <m/>
    <m/>
    <m/>
    <m/>
    <m/>
    <m/>
    <m/>
    <n v="11591.834692148343"/>
    <m/>
    <m/>
    <m/>
    <m/>
    <m/>
    <m/>
    <m/>
    <m/>
    <m/>
    <m/>
    <m/>
    <m/>
    <n v="62518.9228"/>
    <n v="-4097.8242699999973"/>
    <m/>
    <m/>
    <m/>
    <m/>
    <n v="-5619.0374999999967"/>
    <n v="1520.9781899999994"/>
    <n v="30"/>
    <n v="1986.7487321915978"/>
    <n v="0"/>
    <n v="0"/>
    <n v="0"/>
    <n v="0"/>
    <n v="0"/>
    <n v="0"/>
    <n v="0"/>
    <n v="972.28032575727048"/>
    <n v="0"/>
    <n v="0"/>
    <n v="1521.339457823984"/>
    <n v="0"/>
    <n v="0"/>
    <n v="0"/>
    <n v="56.863990412920714"/>
    <n v="0"/>
    <n v="-488.14950951480705"/>
    <m/>
    <n v="0"/>
    <n v="0"/>
    <n v="0"/>
    <n v="0"/>
    <n v="-72.792762403699044"/>
    <n v="-2.792769884056117"/>
    <n v="0"/>
    <n v="0"/>
    <m/>
    <m/>
    <n v="28127.36532860437"/>
    <n v="0"/>
    <n v="0"/>
    <n v="0"/>
    <n v="-5619.0374999999985"/>
    <n v="1520.9781899999998"/>
    <n v="0"/>
    <n v="0"/>
    <n v="-6080.9846205483482"/>
    <n v="0"/>
    <n v="0"/>
    <n v="0"/>
    <n v="0"/>
    <n v="0"/>
    <n v="0"/>
    <n v="0"/>
    <n v="0"/>
    <n v="0"/>
    <n v="0"/>
    <n v="0"/>
    <n v="0"/>
    <n v="677.7324107909746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8"/>
    <s v="Regular"/>
    <s v="Azul"/>
    <s v="A4"/>
    <s v="Industrial"/>
    <s v="Não se aplica"/>
    <s v="Não se aplica"/>
    <s v="Não se aplica"/>
    <s v="Fora ponta"/>
    <s v="CATIVO"/>
    <x v="2"/>
    <n v="21998"/>
    <n v="21998"/>
    <n v="8541.3169999999991"/>
    <n v="8541.3169999999991"/>
    <n v="8541.3169999999991"/>
    <n v="8541.3169999999991"/>
    <n v="12.58"/>
    <n v="78.42"/>
    <n v="171.61"/>
    <n v="276734.84000000003"/>
    <n v="2135585.4895099998"/>
    <n v="2412320.3295099996"/>
    <n v="2518747.4776799995"/>
    <n v="0"/>
    <n v="449254.91381089709"/>
    <n v="0"/>
    <n v="0"/>
    <n v="0"/>
    <n v="145790.41241596846"/>
    <n v="130881.69914092981"/>
    <n v="1412513.7024306573"/>
    <n v="53258.160289368105"/>
    <n v="0"/>
    <n v="0"/>
    <n v="0"/>
    <n v="0"/>
    <n v="79845.177500979771"/>
    <m/>
    <n v="2255.4242230150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796.346811397198"/>
    <n v="0"/>
    <n v="0"/>
    <n v="0"/>
    <n v="0"/>
    <n v="0"/>
    <m/>
    <m/>
    <m/>
    <m/>
    <m/>
    <m/>
    <m/>
    <m/>
    <m/>
    <n v="1465310.0492420546"/>
    <m/>
    <m/>
    <m/>
    <m/>
    <m/>
    <m/>
    <m/>
    <m/>
    <m/>
    <m/>
    <m/>
    <m/>
    <n v="2518748.2727999999"/>
    <n v="106427.91329000005"/>
    <m/>
    <m/>
    <m/>
    <m/>
    <n v="-85837.897499999992"/>
    <n v="192265.0456699999"/>
    <n v="30"/>
    <n v="134803.07078192104"/>
    <n v="0"/>
    <n v="0"/>
    <n v="0"/>
    <n v="0"/>
    <n v="0"/>
    <n v="0"/>
    <n v="0"/>
    <n v="6565.3249836917967"/>
    <n v="0"/>
    <n v="0"/>
    <n v="192310.71310634725"/>
    <n v="0"/>
    <n v="0"/>
    <n v="0"/>
    <n v="7188.1094585048922"/>
    <n v="0"/>
    <n v="-61706.399445906922"/>
    <m/>
    <n v="0"/>
    <n v="0"/>
    <n v="0"/>
    <n v="0"/>
    <n v="-9201.6465982281079"/>
    <n v="-353.03072248777607"/>
    <n v="0"/>
    <n v="0"/>
    <m/>
    <m/>
    <n v="130881.69914092981"/>
    <n v="0"/>
    <n v="0"/>
    <n v="0"/>
    <n v="-85837.897499999963"/>
    <n v="192265.0456699999"/>
    <n v="0"/>
    <n v="0"/>
    <n v="-28295.917171376699"/>
    <n v="0"/>
    <n v="0"/>
    <n v="0"/>
    <n v="0"/>
    <n v="0"/>
    <n v="0"/>
    <n v="0"/>
    <n v="0"/>
    <n v="0"/>
    <n v="0"/>
    <n v="0"/>
    <n v="0"/>
    <n v="85671.3487211581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09"/>
    <s v="Sistema de Compensação"/>
    <s v="Azul"/>
    <s v="A4"/>
    <s v="Industrial"/>
    <s v="Não se aplica"/>
    <s v="Não se aplica"/>
    <s v="Não se aplica"/>
    <s v="Fora ponta"/>
    <s v="CATIVO"/>
    <x v="2"/>
    <n v="1326"/>
    <n v="1326"/>
    <n v="622.34699999999998"/>
    <n v="622.34699999999998"/>
    <n v="622.34699999999998"/>
    <n v="622.34699999999998"/>
    <n v="12.58"/>
    <n v="78.42"/>
    <n v="171.61"/>
    <n v="16681.080000000002"/>
    <n v="155605.42040999999"/>
    <n v="172286.50041000001"/>
    <n v="180315.18888"/>
    <n v="0"/>
    <n v="32734.114404777436"/>
    <n v="0"/>
    <n v="0"/>
    <n v="0"/>
    <n v="8787.9846742237551"/>
    <n v="7889.3141676912865"/>
    <n v="102920.15448748856"/>
    <n v="3880.5556896679254"/>
    <n v="0"/>
    <n v="0"/>
    <n v="0"/>
    <n v="0"/>
    <n v="5817.7686979891114"/>
    <m/>
    <n v="164.337244352454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46.906519103859"/>
    <n v="0"/>
    <n v="0"/>
    <n v="0"/>
    <n v="0"/>
    <n v="0"/>
    <m/>
    <m/>
    <m/>
    <m/>
    <m/>
    <m/>
    <m/>
    <m/>
    <m/>
    <n v="106767.06100659241"/>
    <m/>
    <m/>
    <m/>
    <m/>
    <m/>
    <m/>
    <m/>
    <m/>
    <m/>
    <m/>
    <m/>
    <m/>
    <n v="180315.984"/>
    <n v="8029.4535899999901"/>
    <m/>
    <m/>
    <m/>
    <m/>
    <n v="-5980.3425000000007"/>
    <n v="14009.030969999994"/>
    <n v="30"/>
    <n v="9739.5481967236265"/>
    <n v="0"/>
    <n v="0"/>
    <n v="0"/>
    <n v="0"/>
    <n v="0"/>
    <n v="0"/>
    <n v="0"/>
    <n v="395.74601910970523"/>
    <n v="0"/>
    <n v="0"/>
    <n v="14012.358441865115"/>
    <n v="0"/>
    <n v="0"/>
    <n v="0"/>
    <n v="523.74807739510652"/>
    <n v="0"/>
    <n v="-4496.1207476507225"/>
    <m/>
    <n v="0"/>
    <n v="0"/>
    <n v="0"/>
    <n v="0"/>
    <n v="-670.46067432779637"/>
    <n v="-25.722919667786584"/>
    <n v="0"/>
    <n v="0"/>
    <m/>
    <m/>
    <n v="7889.3141676912865"/>
    <n v="0"/>
    <n v="0"/>
    <n v="0"/>
    <n v="-5980.3424999999916"/>
    <n v="14009.030969999993"/>
    <n v="0"/>
    <n v="0"/>
    <n v="-1705.6271556162155"/>
    <n v="0"/>
    <n v="0"/>
    <n v="0"/>
    <n v="0"/>
    <n v="0"/>
    <n v="0"/>
    <n v="0"/>
    <n v="0"/>
    <n v="0"/>
    <n v="0"/>
    <n v="0"/>
    <n v="0"/>
    <n v="6242.281706974065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10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72919.49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11"/>
    <s v="Sistema de Compensação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3673.1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12"/>
    <s v="Regular"/>
    <s v="Verde"/>
    <s v="A4"/>
    <s v="Industrial"/>
    <s v="Não se aplica"/>
    <s v="Não se aplica"/>
    <s v="Não se aplica"/>
    <s v="Ponta"/>
    <s v="CATIVO"/>
    <x v="2"/>
    <n v="0"/>
    <n v="0"/>
    <n v="167.90100000000001"/>
    <n v="167.90100000000001"/>
    <n v="167.90100000000001"/>
    <n v="167.90100000000001"/>
    <m/>
    <n v="984.21"/>
    <n v="171.61"/>
    <m/>
    <n v="194063.33382000003"/>
    <n v="194063.33382000003"/>
    <n v="180972.09285000002"/>
    <n v="0"/>
    <n v="8831.2316805199298"/>
    <n v="0"/>
    <n v="0"/>
    <n v="0"/>
    <n v="66104.078629299722"/>
    <n v="85979.100165796772"/>
    <n v="27766.498205348173"/>
    <n v="1046.9226666970908"/>
    <n v="0"/>
    <n v="0"/>
    <n v="0"/>
    <n v="0"/>
    <n v="1569.5571476380055"/>
    <m/>
    <n v="44.3360177907524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7.8445649517987"/>
    <n v="0"/>
    <n v="0"/>
    <n v="0"/>
    <n v="0"/>
    <n v="0"/>
    <m/>
    <m/>
    <m/>
    <m/>
    <m/>
    <m/>
    <m/>
    <m/>
    <m/>
    <n v="28804.342770299972"/>
    <m/>
    <m/>
    <m/>
    <m/>
    <m/>
    <m/>
    <m/>
    <m/>
    <m/>
    <m/>
    <m/>
    <m/>
    <n v="180971.01500000001"/>
    <n v="-13092.348820000043"/>
    <m/>
    <m/>
    <m/>
    <m/>
    <n v="-16870.692480000005"/>
    <n v="3779.4515099999985"/>
    <n v="30"/>
    <n v="5497.6745946330775"/>
    <n v="0"/>
    <n v="0"/>
    <n v="0"/>
    <n v="0"/>
    <n v="0"/>
    <n v="0"/>
    <n v="0"/>
    <n v="2976.8401896731957"/>
    <n v="0"/>
    <n v="0"/>
    <n v="3780.3492179565328"/>
    <n v="0"/>
    <n v="0"/>
    <n v="0"/>
    <n v="141.30031307729587"/>
    <n v="0"/>
    <n v="-1212.993988323723"/>
    <m/>
    <n v="0"/>
    <n v="0"/>
    <n v="0"/>
    <n v="0"/>
    <n v="-180.88143379868666"/>
    <n v="-6.9397039515592311"/>
    <n v="0"/>
    <n v="0"/>
    <m/>
    <m/>
    <m/>
    <n v="85979.100165796772"/>
    <n v="0"/>
    <n v="0"/>
    <n v="-16870.692479999998"/>
    <n v="3779.451509999999"/>
    <n v="0"/>
    <n v="0"/>
    <n v="-18588.217548591347"/>
    <n v="0"/>
    <n v="0"/>
    <n v="0"/>
    <n v="0"/>
    <n v="0"/>
    <n v="0"/>
    <n v="0"/>
    <n v="0"/>
    <n v="0"/>
    <n v="0"/>
    <n v="0"/>
    <n v="0"/>
    <n v="1684.085150057207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13"/>
    <s v="Sistema de Compensação"/>
    <s v="Verde"/>
    <s v="A4"/>
    <s v="Industrial"/>
    <s v="Não se aplica"/>
    <s v="Não se aplica"/>
    <s v="Não se aplica"/>
    <s v="Ponta"/>
    <s v="CATIVO"/>
    <x v="2"/>
    <n v="0"/>
    <n v="0"/>
    <n v="1.131"/>
    <n v="1.131"/>
    <n v="1.131"/>
    <n v="1.131"/>
    <m/>
    <n v="984.21"/>
    <n v="171.61"/>
    <m/>
    <n v="1307.2324200000003"/>
    <n v="1307.2324200000003"/>
    <n v="1219.04835"/>
    <n v="0"/>
    <n v="59.488168805832245"/>
    <n v="0"/>
    <n v="0"/>
    <n v="0"/>
    <n v="445.28450056722698"/>
    <n v="579.16487863393388"/>
    <n v="187.03825153065665"/>
    <n v="7.0521887066450448"/>
    <n v="0"/>
    <n v="0"/>
    <n v="0"/>
    <n v="0"/>
    <n v="10.572713289251311"/>
    <m/>
    <n v="0.2986523970753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910375933465811"/>
    <n v="0"/>
    <n v="0"/>
    <n v="0"/>
    <n v="0"/>
    <n v="0"/>
    <m/>
    <m/>
    <m/>
    <m/>
    <m/>
    <m/>
    <m/>
    <m/>
    <m/>
    <n v="194.02928912400324"/>
    <m/>
    <m/>
    <m/>
    <m/>
    <m/>
    <m/>
    <m/>
    <m/>
    <m/>
    <m/>
    <m/>
    <m/>
    <n v="1217.9704999999999"/>
    <n v="-89.291920000000346"/>
    <m/>
    <m/>
    <m/>
    <m/>
    <n v="-113.64288000000002"/>
    <n v="25.458809999999989"/>
    <n v="30"/>
    <n v="37.032953743753751"/>
    <n v="0"/>
    <n v="0"/>
    <n v="0"/>
    <n v="0"/>
    <n v="0"/>
    <n v="0"/>
    <n v="0"/>
    <n v="20.052329971354482"/>
    <n v="0"/>
    <n v="0"/>
    <n v="25.464857061654413"/>
    <n v="0"/>
    <n v="0"/>
    <n v="0"/>
    <n v="0.95181478425037103"/>
    <n v="0"/>
    <n v="-8.1708637875541541"/>
    <m/>
    <n v="0"/>
    <n v="0"/>
    <n v="0"/>
    <n v="0"/>
    <n v="-1.2184376604446374"/>
    <n v="-4.6746625506777773E-2"/>
    <n v="0"/>
    <n v="0"/>
    <m/>
    <m/>
    <m/>
    <n v="579.16487863393388"/>
    <n v="0"/>
    <n v="0"/>
    <n v="-113.6428800000001"/>
    <n v="25.45881"/>
    <n v="0"/>
    <n v="0"/>
    <n v="-125.21232182927321"/>
    <n v="0"/>
    <n v="0"/>
    <n v="0"/>
    <n v="0"/>
    <n v="0"/>
    <n v="0"/>
    <n v="0"/>
    <n v="0"/>
    <n v="0"/>
    <n v="0"/>
    <n v="0"/>
    <n v="0"/>
    <n v="11.3441867809882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14"/>
    <s v="Regular"/>
    <s v="Verde"/>
    <s v="A4"/>
    <s v="Industrial"/>
    <s v="Não se aplica"/>
    <s v="Não se aplica"/>
    <s v="Não se aplica"/>
    <s v="Fora ponta"/>
    <s v="CATIVO"/>
    <x v="2"/>
    <n v="0"/>
    <n v="0"/>
    <n v="2013.1569999999999"/>
    <n v="2013.1569999999999"/>
    <n v="2013.1569999999999"/>
    <n v="2013.1569999999999"/>
    <m/>
    <n v="78.42"/>
    <n v="171.61"/>
    <m/>
    <n v="503349.64471000002"/>
    <n v="503349.64471000002"/>
    <n v="533567.13127999997"/>
    <n v="0"/>
    <n v="105887.73072382213"/>
    <n v="0"/>
    <n v="0"/>
    <n v="0"/>
    <n v="0"/>
    <n v="0"/>
    <n v="332924.28411733167"/>
    <n v="12552.752484618406"/>
    <n v="0"/>
    <n v="0"/>
    <n v="0"/>
    <n v="0"/>
    <n v="18819.214648319452"/>
    <m/>
    <n v="531.595193403123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43.904746515316"/>
    <n v="0"/>
    <n v="0"/>
    <n v="0"/>
    <n v="0"/>
    <n v="0"/>
    <m/>
    <m/>
    <m/>
    <m/>
    <m/>
    <m/>
    <m/>
    <m/>
    <m/>
    <n v="345368.188863847"/>
    <m/>
    <m/>
    <m/>
    <m/>
    <m/>
    <m/>
    <m/>
    <m/>
    <m/>
    <m/>
    <m/>
    <m/>
    <n v="533567.9264"/>
    <n v="30218.251689999946"/>
    <m/>
    <m/>
    <m/>
    <m/>
    <n v="-15098.6775"/>
    <n v="45316.164069999977"/>
    <n v="30"/>
    <n v="30225.164997145708"/>
    <n v="0"/>
    <n v="0"/>
    <n v="0"/>
    <n v="0"/>
    <n v="0"/>
    <n v="0"/>
    <n v="0"/>
    <n v="0"/>
    <n v="0"/>
    <n v="0"/>
    <n v="45326.927716771897"/>
    <n v="0"/>
    <n v="0"/>
    <n v="0"/>
    <n v="1694.2109598736733"/>
    <n v="0"/>
    <n v="-14543.971379276001"/>
    <m/>
    <n v="0"/>
    <n v="0"/>
    <n v="0"/>
    <n v="0"/>
    <n v="-2168.7942574604276"/>
    <n v="-83.208042763349454"/>
    <n v="0"/>
    <n v="0"/>
    <m/>
    <m/>
    <m/>
    <n v="0"/>
    <n v="0"/>
    <n v="0"/>
    <n v="-15098.67750000002"/>
    <n v="45316.164069999999"/>
    <n v="0"/>
    <n v="0"/>
    <n v="0"/>
    <n v="0"/>
    <n v="0"/>
    <n v="0"/>
    <n v="0"/>
    <n v="0"/>
    <n v="0"/>
    <n v="0"/>
    <n v="0"/>
    <n v="0"/>
    <n v="0"/>
    <n v="0"/>
    <n v="0"/>
    <n v="20192.42177493711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15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16.120999999999999"/>
    <n v="16.120999999999999"/>
    <n v="16.120999999999999"/>
    <n v="16.120999999999999"/>
    <m/>
    <n v="78.42"/>
    <n v="171.61"/>
    <m/>
    <n v="4030.7336299999997"/>
    <n v="4030.7336299999997"/>
    <n v="4272.7098399999995"/>
    <n v="0"/>
    <n v="847.92994634732236"/>
    <n v="0"/>
    <n v="0"/>
    <n v="0"/>
    <n v="0"/>
    <n v="0"/>
    <n v="2665.9979247795891"/>
    <n v="100.52018933671508"/>
    <n v="0"/>
    <n v="0"/>
    <n v="0"/>
    <n v="0"/>
    <n v="150.70089384263517"/>
    <m/>
    <n v="4.2569189153413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648556182440515"/>
    <n v="0"/>
    <n v="0"/>
    <n v="0"/>
    <n v="0"/>
    <n v="0"/>
    <m/>
    <m/>
    <m/>
    <m/>
    <m/>
    <m/>
    <m/>
    <m/>
    <m/>
    <n v="2765.6464809620297"/>
    <m/>
    <m/>
    <m/>
    <m/>
    <m/>
    <m/>
    <m/>
    <m/>
    <m/>
    <m/>
    <m/>
    <m/>
    <n v="4272.4448000000002"/>
    <n v="241.68117000000029"/>
    <m/>
    <m/>
    <m/>
    <m/>
    <n v="-120.90749999999998"/>
    <n v="362.88370999999984"/>
    <n v="30"/>
    <n v="242.03769746670923"/>
    <n v="0"/>
    <n v="0"/>
    <n v="0"/>
    <n v="0"/>
    <n v="0"/>
    <n v="0"/>
    <n v="0"/>
    <n v="0"/>
    <n v="0"/>
    <n v="0"/>
    <n v="362.96990335184"/>
    <n v="0"/>
    <n v="0"/>
    <n v="0"/>
    <n v="13.566937344739372"/>
    <n v="0"/>
    <n v="-116.46551292587139"/>
    <m/>
    <n v="0"/>
    <n v="0"/>
    <n v="0"/>
    <n v="0"/>
    <n v="-17.367315229025621"/>
    <n v="-0.6663150749732667"/>
    <n v="0"/>
    <n v="0"/>
    <m/>
    <m/>
    <m/>
    <n v="0"/>
    <n v="0"/>
    <n v="0"/>
    <n v="-120.9074999999998"/>
    <n v="362.88371000000006"/>
    <n v="0"/>
    <n v="0"/>
    <n v="0"/>
    <n v="0"/>
    <n v="0"/>
    <n v="0"/>
    <n v="0"/>
    <n v="0"/>
    <n v="0"/>
    <n v="0"/>
    <n v="0"/>
    <n v="0"/>
    <n v="0"/>
    <n v="0"/>
    <n v="0"/>
    <n v="161.6972900939972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16"/>
    <s v="Regular"/>
    <s v="Verde"/>
    <s v="A4"/>
    <s v="Industrial"/>
    <s v="Não se aplica"/>
    <s v="Não se aplica"/>
    <s v="Não se aplica"/>
    <s v="Não se aplica"/>
    <s v="CATIVO"/>
    <x v="2"/>
    <n v="9582"/>
    <n v="9582"/>
    <n v="0"/>
    <n v="0"/>
    <n v="0"/>
    <n v="0"/>
    <n v="12.58"/>
    <m/>
    <m/>
    <n v="120541.56"/>
    <m/>
    <n v="120541.56"/>
    <n v="111055.38"/>
    <n v="0"/>
    <n v="0"/>
    <n v="0"/>
    <n v="0"/>
    <n v="0"/>
    <n v="63504.124546313746"/>
    <n v="57010.1118814614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7228.9"/>
    <n v="49"/>
    <m/>
    <m/>
    <m/>
    <m/>
    <m/>
    <m/>
    <m/>
    <m/>
    <m/>
    <n v="0"/>
    <m/>
    <m/>
    <m/>
    <m/>
    <m/>
    <m/>
    <m/>
    <m/>
    <m/>
    <m/>
    <m/>
    <m/>
    <n v="111055.38"/>
    <n v="-9486.2099999999773"/>
    <m/>
    <m/>
    <m/>
    <m/>
    <n v="-9486.1800000000021"/>
    <n v="0"/>
    <n v="30"/>
    <n v="2859.7574322090513"/>
    <n v="0"/>
    <n v="0"/>
    <n v="0"/>
    <n v="0"/>
    <m/>
    <m/>
    <m/>
    <n v="2859.75743220905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010.111881461467"/>
    <m/>
    <n v="0"/>
    <n v="0"/>
    <n v="-9486.179999999993"/>
    <m/>
    <n v="0"/>
    <m/>
    <n v="-12325.27858605925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17"/>
    <s v="Sistema de Compensação"/>
    <s v="Verde"/>
    <s v="A4"/>
    <s v="Industrial"/>
    <s v="Não se aplica"/>
    <s v="Não se aplica"/>
    <s v="Não se aplica"/>
    <s v="Não se aplica"/>
    <s v="CATIVO"/>
    <x v="2"/>
    <n v="840"/>
    <n v="840"/>
    <n v="0"/>
    <n v="0"/>
    <n v="0"/>
    <n v="0"/>
    <n v="12.58"/>
    <m/>
    <m/>
    <n v="10567.2"/>
    <m/>
    <n v="10567.2"/>
    <n v="9735.6"/>
    <n v="0"/>
    <n v="0"/>
    <n v="0"/>
    <n v="0"/>
    <n v="0"/>
    <n v="5567.0491148928768"/>
    <n v="4997.75558134289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547.88"/>
    <n v="3"/>
    <m/>
    <m/>
    <m/>
    <m/>
    <m/>
    <m/>
    <m/>
    <m/>
    <m/>
    <n v="0"/>
    <m/>
    <m/>
    <m/>
    <m/>
    <m/>
    <m/>
    <m/>
    <m/>
    <m/>
    <m/>
    <m/>
    <m/>
    <n v="9735.6"/>
    <n v="-831.63000000000102"/>
    <m/>
    <m/>
    <m/>
    <m/>
    <n v="-831.60000000000014"/>
    <n v="0"/>
    <n v="30"/>
    <n v="250.69883563510757"/>
    <n v="0"/>
    <n v="0"/>
    <n v="0"/>
    <n v="0"/>
    <m/>
    <m/>
    <m/>
    <n v="250.698835635107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97.7555813428962"/>
    <m/>
    <n v="0"/>
    <n v="0"/>
    <n v="-831.60000000000036"/>
    <m/>
    <n v="0"/>
    <m/>
    <n v="-1080.4877908880999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18"/>
    <s v="Regular"/>
    <s v="Convencional"/>
    <s v="B3"/>
    <s v="Comercial"/>
    <s v="Não se aplica"/>
    <s v="Não se aplica"/>
    <s v="Não se aplica"/>
    <s v="Não se aplica"/>
    <s v="CATIVO"/>
    <x v="2"/>
    <n v="0"/>
    <n v="0"/>
    <n v="559.09900000000005"/>
    <n v="559.09900000000005"/>
    <n v="559.09900000000005"/>
    <n v="559.09900000000005"/>
    <m/>
    <n v="239.69"/>
    <n v="171.61"/>
    <m/>
    <n v="229957.41870000004"/>
    <n v="229957.41870000004"/>
    <n v="229113.17921000003"/>
    <n v="0"/>
    <n v="33801.615589064721"/>
    <n v="0"/>
    <n v="0"/>
    <n v="0"/>
    <n v="29820.10036609758"/>
    <n v="49544.404830482417"/>
    <n v="92460.565333809558"/>
    <n v="3486.1818335071071"/>
    <n v="0"/>
    <n v="0"/>
    <n v="0"/>
    <n v="0"/>
    <n v="5226.5193875394507"/>
    <m/>
    <n v="221.43207946057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51.1263051417554"/>
    <n v="0"/>
    <n v="0"/>
    <n v="0"/>
    <n v="102719.54"/>
    <n v="551"/>
    <m/>
    <m/>
    <m/>
    <m/>
    <m/>
    <m/>
    <m/>
    <m/>
    <m/>
    <n v="101411.69163895131"/>
    <m/>
    <m/>
    <m/>
    <m/>
    <m/>
    <m/>
    <m/>
    <m/>
    <m/>
    <m/>
    <m/>
    <m/>
    <n v="229113.58900000001"/>
    <n v="-843.85970000005909"/>
    <m/>
    <m/>
    <m/>
    <m/>
    <n v="-13429.557980000007"/>
    <n v="12585.318489999996"/>
    <n v="30"/>
    <n v="9870.134214675345"/>
    <n v="0"/>
    <n v="0"/>
    <n v="0"/>
    <n v="0"/>
    <n v="0"/>
    <n v="0"/>
    <n v="0"/>
    <n v="1342.8773998604556"/>
    <n v="0"/>
    <n v="0"/>
    <n v="12588.307796917696"/>
    <n v="0"/>
    <n v="0"/>
    <n v="0"/>
    <n v="1218.6766612490919"/>
    <n v="0"/>
    <n v="-4642.744974702262"/>
    <m/>
    <n v="0"/>
    <n v="0"/>
    <n v="0"/>
    <n v="0"/>
    <n v="-602.32296862682233"/>
    <n v="-34.659700022833647"/>
    <n v="0"/>
    <n v="0"/>
    <m/>
    <m/>
    <m/>
    <n v="49544.404830482417"/>
    <n v="0"/>
    <n v="0"/>
    <n v="-13429.557980000012"/>
    <n v="12585.318489999991"/>
    <n v="0"/>
    <n v="0"/>
    <n v="-10711.233003469453"/>
    <n v="0"/>
    <n v="0"/>
    <n v="0"/>
    <n v="0"/>
    <n v="0"/>
    <n v="0"/>
    <n v="0"/>
    <n v="0"/>
    <n v="0"/>
    <n v="0"/>
    <n v="0"/>
    <n v="0"/>
    <n v="6445.850468066857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19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6.7460000000000004"/>
    <n v="6.7460000000000004"/>
    <n v="6.7460000000000004"/>
    <n v="6.7460000000000004"/>
    <m/>
    <n v="239.69"/>
    <n v="171.61"/>
    <m/>
    <n v="2774.6298000000002"/>
    <n v="2774.6298000000002"/>
    <n v="2764.4433400000003"/>
    <n v="0"/>
    <n v="407.84494117111745"/>
    <n v="0"/>
    <n v="0"/>
    <n v="0"/>
    <n v="359.80460896852662"/>
    <n v="597.79494326842712"/>
    <n v="1115.6145400758708"/>
    <n v="42.063717962004844"/>
    <n v="0"/>
    <n v="0"/>
    <n v="0"/>
    <n v="0"/>
    <n v="63.062355304411447"/>
    <m/>
    <n v="2.6717644067347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00287257620973"/>
    <n v="0"/>
    <n v="0"/>
    <n v="0"/>
    <n v="2339.4499999999998"/>
    <n v="7"/>
    <m/>
    <m/>
    <m/>
    <m/>
    <m/>
    <m/>
    <m/>
    <m/>
    <m/>
    <n v="1223.6174126520805"/>
    <m/>
    <m/>
    <m/>
    <m/>
    <m/>
    <m/>
    <m/>
    <m/>
    <m/>
    <m/>
    <m/>
    <m/>
    <n v="2766.0824999999995"/>
    <n v="-8.5773000000008324"/>
    <m/>
    <m/>
    <m/>
    <m/>
    <n v="-162.03892000000008"/>
    <n v="151.85245999999995"/>
    <n v="30"/>
    <n v="119.09147648663293"/>
    <n v="0"/>
    <n v="0"/>
    <n v="0"/>
    <n v="0"/>
    <n v="0"/>
    <n v="0"/>
    <n v="0"/>
    <n v="16.202946060462693"/>
    <n v="0"/>
    <n v="0"/>
    <n v="151.88852850390867"/>
    <n v="0"/>
    <n v="0"/>
    <n v="0"/>
    <n v="14.704359615714523"/>
    <n v="0"/>
    <n v="-56.018625680499269"/>
    <m/>
    <n v="0"/>
    <n v="0"/>
    <n v="0"/>
    <n v="0"/>
    <n v="-7.2675335608837486"/>
    <n v="-0.41819845207026995"/>
    <n v="0"/>
    <n v="0"/>
    <m/>
    <m/>
    <m/>
    <n v="597.79494326842712"/>
    <n v="0"/>
    <n v="0"/>
    <n v="-162.03891999999996"/>
    <n v="151.85246000000006"/>
    <n v="0"/>
    <n v="0"/>
    <n v="-129.24004128321616"/>
    <n v="0"/>
    <n v="0"/>
    <n v="0"/>
    <n v="0"/>
    <n v="0"/>
    <n v="0"/>
    <n v="0"/>
    <n v="0"/>
    <n v="0"/>
    <n v="0"/>
    <n v="0"/>
    <n v="0"/>
    <n v="77.77461103951003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20"/>
    <s v="Regular"/>
    <s v="Verde"/>
    <s v="A4"/>
    <s v="Comercial"/>
    <s v="Não se aplica"/>
    <s v="Não se aplica"/>
    <s v="Não se aplica"/>
    <s v="Ponta"/>
    <s v="CATIVO"/>
    <x v="2"/>
    <n v="0"/>
    <n v="0"/>
    <n v="7.6749999999999998"/>
    <n v="7.6749999999999998"/>
    <n v="7.6749999999999998"/>
    <n v="7.6749999999999998"/>
    <m/>
    <n v="984.21"/>
    <n v="171.61"/>
    <m/>
    <n v="8870.9184999999998"/>
    <n v="8870.9184999999998"/>
    <n v="8272.4987499999988"/>
    <n v="0"/>
    <n v="403.68850184329131"/>
    <n v="0"/>
    <n v="0"/>
    <n v="0"/>
    <n v="3021.7140069438256"/>
    <n v="3930.230277201983"/>
    <n v="1269.2471976107777"/>
    <n v="47.856364565429459"/>
    <n v="0"/>
    <n v="0"/>
    <n v="0"/>
    <n v="0"/>
    <n v="71.746750216625827"/>
    <m/>
    <n v="2.0266641446091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441391272267914"/>
    <n v="0"/>
    <n v="0"/>
    <n v="0"/>
    <n v="0"/>
    <n v="0"/>
    <m/>
    <m/>
    <m/>
    <m/>
    <m/>
    <m/>
    <m/>
    <m/>
    <m/>
    <n v="1316.6885888830457"/>
    <m/>
    <m/>
    <m/>
    <m/>
    <m/>
    <m/>
    <m/>
    <m/>
    <m/>
    <m/>
    <m/>
    <m/>
    <n v="8277.8880000000008"/>
    <n v="-593.06049999999959"/>
    <m/>
    <m/>
    <m/>
    <m/>
    <n v="-771.18400000000008"/>
    <n v="172.76424999999992"/>
    <n v="30"/>
    <n v="251.3067373857748"/>
    <n v="0"/>
    <n v="0"/>
    <n v="0"/>
    <n v="0"/>
    <n v="0"/>
    <n v="0"/>
    <n v="0"/>
    <n v="136.07571399659219"/>
    <n v="0"/>
    <n v="0"/>
    <n v="172.80528554217312"/>
    <n v="0"/>
    <n v="0"/>
    <n v="0"/>
    <n v="6.4590437392763889"/>
    <n v="0"/>
    <n v="-55.447727293968285"/>
    <m/>
    <n v="0"/>
    <n v="0"/>
    <n v="0"/>
    <n v="0"/>
    <n v="-8.268354592318822"/>
    <n v="-0.31722400598100764"/>
    <n v="0"/>
    <n v="0"/>
    <m/>
    <m/>
    <m/>
    <n v="3930.230277201983"/>
    <n v="0"/>
    <n v="0"/>
    <n v="-771.1840000000002"/>
    <n v="172.76424999999995"/>
    <n v="0"/>
    <n v="0"/>
    <n v="-849.69458005276056"/>
    <n v="0"/>
    <n v="0"/>
    <n v="0"/>
    <n v="0"/>
    <n v="0"/>
    <n v="0"/>
    <n v="0"/>
    <n v="0"/>
    <n v="0"/>
    <n v="0"/>
    <n v="0"/>
    <n v="0"/>
    <n v="76.98199252350531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21"/>
    <s v="Regular"/>
    <s v="Verde"/>
    <s v="A4"/>
    <s v="Comercial"/>
    <s v="Não se aplica"/>
    <s v="Não se aplica"/>
    <s v="Não se aplica"/>
    <s v="Fora ponta"/>
    <s v="CATIVO"/>
    <x v="2"/>
    <n v="0"/>
    <n v="0"/>
    <n v="72.671999999999997"/>
    <n v="72.671999999999997"/>
    <n v="72.671999999999997"/>
    <n v="72.671999999999997"/>
    <m/>
    <n v="78.42"/>
    <n v="171.61"/>
    <m/>
    <n v="18170.18016"/>
    <n v="18170.18016"/>
    <n v="19260.98688"/>
    <n v="0"/>
    <n v="3822.3909844893374"/>
    <n v="0"/>
    <n v="0"/>
    <n v="0"/>
    <n v="0"/>
    <n v="0"/>
    <n v="12018.075875540122"/>
    <n v="453.13586002591398"/>
    <n v="0"/>
    <n v="0"/>
    <n v="0"/>
    <n v="0"/>
    <n v="679.34590641597811"/>
    <m/>
    <n v="19.189802829581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9.20661713853468"/>
    <n v="0"/>
    <n v="0"/>
    <n v="0"/>
    <n v="0"/>
    <n v="0"/>
    <m/>
    <m/>
    <m/>
    <m/>
    <m/>
    <m/>
    <m/>
    <m/>
    <m/>
    <n v="12467.282492678656"/>
    <m/>
    <m/>
    <m/>
    <m/>
    <m/>
    <m/>
    <m/>
    <m/>
    <m/>
    <m/>
    <m/>
    <m/>
    <n v="19260.4568"/>
    <n v="1090.2466400000012"/>
    <m/>
    <m/>
    <m/>
    <m/>
    <n v="-545.04"/>
    <n v="1635.8467199999993"/>
    <n v="30"/>
    <n v="1091.0838999007974"/>
    <n v="0"/>
    <n v="0"/>
    <n v="0"/>
    <n v="0"/>
    <n v="0"/>
    <n v="0"/>
    <n v="0"/>
    <n v="0"/>
    <n v="0"/>
    <n v="0"/>
    <n v="1636.2352717812118"/>
    <n v="0"/>
    <n v="0"/>
    <n v="0"/>
    <n v="61.158518126474803"/>
    <n v="0"/>
    <n v="-525.01592676316113"/>
    <m/>
    <n v="0"/>
    <n v="0"/>
    <n v="0"/>
    <n v="0"/>
    <n v="-78.29027556130211"/>
    <n v="-3.003687682430197"/>
    <n v="0"/>
    <n v="0"/>
    <m/>
    <m/>
    <m/>
    <n v="0"/>
    <n v="0"/>
    <n v="0"/>
    <n v="-545.04"/>
    <n v="1635.8467199999996"/>
    <n v="0"/>
    <n v="0"/>
    <n v="0"/>
    <n v="0"/>
    <n v="0"/>
    <n v="0"/>
    <n v="0"/>
    <n v="0"/>
    <n v="0"/>
    <n v="0"/>
    <n v="0"/>
    <n v="0"/>
    <n v="0"/>
    <n v="0"/>
    <n v="0"/>
    <n v="728.9166593704466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22"/>
    <s v="Regular"/>
    <s v="Verde"/>
    <s v="A4"/>
    <s v="Comercial"/>
    <s v="Não se aplica"/>
    <s v="Não se aplica"/>
    <s v="Não se aplica"/>
    <s v="Não se aplica"/>
    <s v="CATIVO"/>
    <x v="2"/>
    <n v="419"/>
    <n v="419"/>
    <n v="0"/>
    <n v="0"/>
    <n v="0"/>
    <n v="0"/>
    <n v="12.58"/>
    <m/>
    <m/>
    <n v="5271.02"/>
    <m/>
    <n v="5271.02"/>
    <n v="4856.21"/>
    <n v="0"/>
    <n v="0"/>
    <n v="0"/>
    <n v="0"/>
    <n v="0"/>
    <n v="2776.8971180239469"/>
    <n v="2492.928081646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850.71"/>
    <n v="5"/>
    <m/>
    <m/>
    <m/>
    <m/>
    <m/>
    <m/>
    <m/>
    <m/>
    <m/>
    <n v="0"/>
    <m/>
    <m/>
    <m/>
    <m/>
    <m/>
    <m/>
    <m/>
    <m/>
    <m/>
    <m/>
    <m/>
    <m/>
    <n v="4856.21"/>
    <n v="-414.84000000000106"/>
    <m/>
    <m/>
    <m/>
    <m/>
    <n v="-414.81000000000012"/>
    <n v="0"/>
    <n v="30"/>
    <n v="125.05096682275007"/>
    <n v="0"/>
    <n v="0"/>
    <n v="0"/>
    <n v="0"/>
    <m/>
    <m/>
    <m/>
    <n v="125.05096682275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2.92808164604"/>
    <m/>
    <n v="0"/>
    <n v="0"/>
    <n v="-414.8100000000004"/>
    <m/>
    <n v="0"/>
    <m/>
    <n v="-538.957600454897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23"/>
    <s v="Regular"/>
    <s v="Convencional"/>
    <s v="B2"/>
    <s v="Rural"/>
    <s v="Não se aplica"/>
    <s v="Não se aplica"/>
    <s v="Não se aplica"/>
    <s v="Não se aplica"/>
    <s v="CATIVO"/>
    <x v="2"/>
    <n v="0"/>
    <n v="0"/>
    <n v="674.35"/>
    <n v="674.35"/>
    <n v="674.35"/>
    <n v="674.35"/>
    <m/>
    <n v="239.69"/>
    <n v="171.61"/>
    <m/>
    <n v="277360.15500000003"/>
    <n v="277360.15500000003"/>
    <n v="276341.88650000002"/>
    <n v="0"/>
    <n v="40769.379792283282"/>
    <n v="0"/>
    <n v="0"/>
    <n v="0"/>
    <n v="35967.126898595605"/>
    <n v="59757.340645280739"/>
    <n v="111520.11045066164"/>
    <n v="4204.8129569638249"/>
    <n v="0"/>
    <n v="0"/>
    <n v="0"/>
    <n v="0"/>
    <n v="6303.8985027467916"/>
    <m/>
    <n v="267.07742776187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96.284779390309"/>
    <n v="0"/>
    <n v="0"/>
    <n v="0"/>
    <n v="93808.38"/>
    <n v="737"/>
    <m/>
    <m/>
    <m/>
    <m/>
    <m/>
    <n v="33157.789499999992"/>
    <m/>
    <m/>
    <m/>
    <n v="122316.39523005194"/>
    <m/>
    <m/>
    <m/>
    <m/>
    <m/>
    <m/>
    <m/>
    <m/>
    <m/>
    <m/>
    <m/>
    <m/>
    <n v="243184.09700000001"/>
    <n v="-896.915500000061"/>
    <m/>
    <m/>
    <m/>
    <m/>
    <n v="-16197.887000000008"/>
    <n v="15179.618499999995"/>
    <n v="30"/>
    <n v="11904.734237883327"/>
    <n v="0"/>
    <n v="0"/>
    <n v="0"/>
    <n v="0"/>
    <n v="0"/>
    <n v="0"/>
    <n v="0"/>
    <n v="1619.6941411018342"/>
    <n v="0"/>
    <n v="0"/>
    <n v="15183.22401372825"/>
    <n v="0"/>
    <n v="0"/>
    <n v="0"/>
    <n v="1469.8910327389694"/>
    <n v="0"/>
    <n v="-5599.7865739170884"/>
    <m/>
    <n v="0"/>
    <n v="0"/>
    <n v="0"/>
    <n v="0"/>
    <n v="-726.48402857722431"/>
    <n v="-41.804347191459584"/>
    <n v="0"/>
    <n v="0"/>
    <m/>
    <m/>
    <m/>
    <n v="59757.340645280739"/>
    <n v="0"/>
    <n v="0"/>
    <n v="-16197.886999999988"/>
    <n v="15179.618499999997"/>
    <n v="0"/>
    <n v="0"/>
    <n v="-12919.214621899919"/>
    <n v="0"/>
    <n v="0"/>
    <n v="0"/>
    <n v="0"/>
    <n v="0"/>
    <n v="0"/>
    <n v="0"/>
    <n v="0"/>
    <n v="0"/>
    <n v="0"/>
    <n v="0"/>
    <n v="0"/>
    <n v="7774.578854801896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24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0.97099999999999997"/>
    <n v="-0.97099999999999997"/>
    <n v="-0.97099999999999997"/>
    <n v="-0.97099999999999997"/>
    <m/>
    <n v="239.69"/>
    <n v="171.61"/>
    <m/>
    <n v="-399.3723"/>
    <n v="-399.3723"/>
    <n v="-397.90608999999995"/>
    <n v="0"/>
    <n v="-58.704037633731836"/>
    <n v="0"/>
    <n v="0"/>
    <n v="0"/>
    <n v="-51.789249230423856"/>
    <n v="-86.044899186724393"/>
    <n v="-160.57837509837984"/>
    <n v="-6.054531595183323"/>
    <n v="0"/>
    <n v="0"/>
    <n v="0"/>
    <n v="0"/>
    <n v="-9.0770155648656257"/>
    <m/>
    <n v="-0.38456614867172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.545625447894993"/>
    <n v="0"/>
    <n v="0"/>
    <n v="0"/>
    <n v="-139.72"/>
    <n v="0"/>
    <m/>
    <m/>
    <m/>
    <m/>
    <m/>
    <n v="-47.744069999999986"/>
    <m/>
    <m/>
    <m/>
    <n v="-176.12400054627483"/>
    <m/>
    <m/>
    <m/>
    <m/>
    <m/>
    <m/>
    <m/>
    <m/>
    <m/>
    <m/>
    <m/>
    <m/>
    <n v="-349.8014"/>
    <n v="1.6220500000000015"/>
    <m/>
    <m/>
    <m/>
    <m/>
    <n v="23.323420000000009"/>
    <n v="-21.857209999999991"/>
    <n v="30"/>
    <n v="-17.141687469392195"/>
    <n v="0"/>
    <n v="0"/>
    <n v="0"/>
    <n v="0"/>
    <n v="0"/>
    <n v="0"/>
    <n v="0"/>
    <n v="-2.3322058441608746"/>
    <n v="0"/>
    <n v="0"/>
    <n v="-21.862401597583045"/>
    <n v="0"/>
    <n v="0"/>
    <n v="0"/>
    <n v="-2.1165035853630005"/>
    <n v="0"/>
    <n v="8.0631612119425924"/>
    <m/>
    <n v="0"/>
    <n v="0"/>
    <n v="0"/>
    <n v="0"/>
    <n v="1.046068053308348"/>
    <n v="6.0194292463716548E-2"/>
    <n v="0"/>
    <n v="0"/>
    <m/>
    <m/>
    <m/>
    <n v="-86.044899186724393"/>
    <n v="0"/>
    <n v="0"/>
    <n v="23.323420000000027"/>
    <n v="-21.857209999999981"/>
    <n v="0"/>
    <n v="0"/>
    <n v="18.602442941891923"/>
    <n v="0"/>
    <n v="0"/>
    <n v="0"/>
    <n v="0"/>
    <n v="0"/>
    <n v="0"/>
    <n v="0"/>
    <n v="0"/>
    <n v="0"/>
    <n v="0"/>
    <n v="0"/>
    <n v="0"/>
    <n v="-11.19465569513255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25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6.46"/>
    <n v="6.46"/>
    <n v="6.46"/>
    <n v="6.46"/>
    <m/>
    <n v="239.69"/>
    <n v="171.61"/>
    <m/>
    <n v="2656.998"/>
    <n v="2656.998"/>
    <n v="2647.2434000000003"/>
    <n v="0"/>
    <n v="390.55415356736114"/>
    <n v="0"/>
    <n v="0"/>
    <n v="0"/>
    <n v="344.55051496244914"/>
    <n v="572.45113156152377"/>
    <n v="1068.3175109531758"/>
    <n v="40.280405875267014"/>
    <n v="0"/>
    <n v="0"/>
    <n v="0"/>
    <n v="0"/>
    <n v="60.388795622072031"/>
    <m/>
    <n v="2.5584936358592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42403748033126"/>
    <n v="0"/>
    <n v="0"/>
    <n v="0"/>
    <n v="1879.82"/>
    <n v="6"/>
    <m/>
    <m/>
    <m/>
    <m/>
    <m/>
    <n v="317.63819999999993"/>
    <m/>
    <m/>
    <m/>
    <n v="1171.741548433507"/>
    <m/>
    <m/>
    <m/>
    <m/>
    <m/>
    <m/>
    <m/>
    <m/>
    <m/>
    <m/>
    <m/>
    <m/>
    <n v="2329.6052"/>
    <n v="-8.6218000000003485"/>
    <m/>
    <m/>
    <m/>
    <m/>
    <n v="-155.16920000000007"/>
    <n v="145.41459999999995"/>
    <n v="30"/>
    <n v="114.04253455435082"/>
    <n v="0"/>
    <n v="0"/>
    <n v="0"/>
    <n v="0"/>
    <n v="0"/>
    <n v="0"/>
    <n v="0"/>
    <n v="15.516014164036335"/>
    <n v="0"/>
    <n v="0"/>
    <n v="145.44913936188118"/>
    <n v="0"/>
    <n v="0"/>
    <n v="0"/>
    <n v="14.080961031354263"/>
    <n v="0"/>
    <n v="-53.643688392532624"/>
    <m/>
    <n v="0"/>
    <n v="0"/>
    <n v="0"/>
    <n v="0"/>
    <n v="-6.9594228881276337"/>
    <n v="-0.40046872226118335"/>
    <n v="0"/>
    <n v="0"/>
    <m/>
    <m/>
    <m/>
    <n v="572.45113156152377"/>
    <n v="0"/>
    <n v="0"/>
    <n v="-155.16920000000005"/>
    <n v="145.41460000000006"/>
    <n v="0"/>
    <n v="0"/>
    <n v="-123.76084593678871"/>
    <n v="0"/>
    <n v="0"/>
    <n v="0"/>
    <n v="0"/>
    <n v="0"/>
    <n v="0"/>
    <n v="0"/>
    <n v="0"/>
    <n v="0"/>
    <n v="0"/>
    <n v="0"/>
    <n v="0"/>
    <n v="74.47731801293133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26"/>
    <s v="Regular"/>
    <s v="Verde"/>
    <s v="A4"/>
    <s v="Rural"/>
    <s v="Não se aplica"/>
    <s v="Não se aplica"/>
    <s v="Não se aplica"/>
    <s v="Ponta"/>
    <s v="CATIVO"/>
    <x v="2"/>
    <n v="0"/>
    <n v="0"/>
    <n v="13.2"/>
    <n v="12.672000000000001"/>
    <n v="13.2"/>
    <n v="12.672000000000001"/>
    <m/>
    <n v="984.21"/>
    <n v="171.61"/>
    <m/>
    <n v="15256.824000000001"/>
    <n v="15256.824000000001"/>
    <n v="14227.619999999999"/>
    <n v="0"/>
    <n v="694.29162532005796"/>
    <n v="0"/>
    <n v="0"/>
    <n v="0"/>
    <n v="5196.95438327798"/>
    <n v="6759.4839946666025"/>
    <n v="2182.9398056628361"/>
    <n v="82.306711695592028"/>
    <n v="0"/>
    <n v="0"/>
    <n v="0"/>
    <n v="0"/>
    <n v="123.39506226181899"/>
    <m/>
    <n v="3.4855982682529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593011699535694"/>
    <n v="0"/>
    <n v="0"/>
    <n v="0"/>
    <n v="0"/>
    <n v="0"/>
    <m/>
    <m/>
    <m/>
    <m/>
    <m/>
    <n v="569.10479999999859"/>
    <m/>
    <m/>
    <m/>
    <n v="2264.5328173623716"/>
    <m/>
    <m/>
    <m/>
    <m/>
    <m/>
    <m/>
    <m/>
    <m/>
    <m/>
    <m/>
    <m/>
    <m/>
    <n v="13656.359499999999"/>
    <n v="-990.22154000000228"/>
    <m/>
    <m/>
    <m/>
    <m/>
    <n v="-1326.3360000000002"/>
    <n v="297.13199999999989"/>
    <n v="30"/>
    <n v="432.21484475468424"/>
    <n v="0"/>
    <n v="0"/>
    <n v="0"/>
    <n v="0"/>
    <n v="0"/>
    <n v="0"/>
    <n v="0"/>
    <n v="234.03249833941572"/>
    <n v="0"/>
    <n v="0"/>
    <n v="297.20257578588689"/>
    <n v="0"/>
    <n v="0"/>
    <n v="0"/>
    <n v="11.108713662338545"/>
    <n v="0"/>
    <n v="-95.362866486043117"/>
    <m/>
    <n v="0"/>
    <n v="0"/>
    <n v="0"/>
    <n v="0"/>
    <n v="-14.220492588743753"/>
    <n v="-0.5455839581692894"/>
    <n v="0"/>
    <n v="0"/>
    <m/>
    <m/>
    <m/>
    <n v="6759.4839946666025"/>
    <n v="0"/>
    <n v="0"/>
    <n v="-1326.3360000000011"/>
    <n v="297.13200000000006"/>
    <n v="0"/>
    <n v="0"/>
    <n v="-1461.3639682992098"/>
    <n v="0"/>
    <n v="0"/>
    <n v="0"/>
    <n v="0"/>
    <n v="0"/>
    <n v="0"/>
    <n v="0"/>
    <n v="0"/>
    <n v="0"/>
    <n v="0"/>
    <n v="0"/>
    <n v="0"/>
    <n v="132.3989969133902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27"/>
    <s v="Regular"/>
    <s v="Verde"/>
    <s v="A4"/>
    <s v="Rural"/>
    <s v="Não se aplica"/>
    <s v="Não se aplica"/>
    <s v="Não se aplica"/>
    <s v="Fora ponta"/>
    <s v="CATIVO"/>
    <x v="2"/>
    <n v="0"/>
    <n v="0"/>
    <n v="221.334"/>
    <n v="212.48063999999999"/>
    <n v="221.334"/>
    <n v="212.48063999999999"/>
    <m/>
    <n v="78.42"/>
    <n v="171.61"/>
    <m/>
    <n v="55340.140020000006"/>
    <n v="55340.140020000006"/>
    <n v="58662.363360000003"/>
    <n v="0"/>
    <n v="11641.692621105281"/>
    <n v="0"/>
    <n v="0"/>
    <n v="0"/>
    <n v="0"/>
    <n v="0"/>
    <n v="36602.93931413471"/>
    <n v="1380.0964944266793"/>
    <n v="0"/>
    <n v="0"/>
    <n v="0"/>
    <n v="0"/>
    <n v="2069.0547508073823"/>
    <m/>
    <n v="58.4455611443553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8.1293675382601"/>
    <n v="0"/>
    <n v="0"/>
    <n v="0"/>
    <n v="0"/>
    <n v="0"/>
    <m/>
    <m/>
    <m/>
    <m/>
    <m/>
    <n v="2346.4945344000025"/>
    <m/>
    <m/>
    <m/>
    <n v="37971.068681672972"/>
    <m/>
    <m/>
    <m/>
    <m/>
    <m/>
    <m/>
    <m/>
    <m/>
    <m/>
    <m/>
    <m/>
    <m/>
    <n v="56315.699199999995"/>
    <n v="3189.1347807999991"/>
    <m/>
    <m/>
    <m/>
    <m/>
    <n v="-1660.0050000000001"/>
    <n v="4982.2283399999978"/>
    <n v="30"/>
    <n v="3323.0675349604062"/>
    <n v="0"/>
    <n v="0"/>
    <n v="0"/>
    <n v="0"/>
    <n v="0"/>
    <n v="0"/>
    <n v="0"/>
    <n v="0"/>
    <n v="0"/>
    <n v="0"/>
    <n v="4983.4117355298149"/>
    <n v="0"/>
    <n v="0"/>
    <n v="0"/>
    <n v="186.26788104091224"/>
    <n v="0"/>
    <n v="-1599.0185371834759"/>
    <m/>
    <n v="0"/>
    <n v="0"/>
    <n v="0"/>
    <n v="0"/>
    <n v="-238.44534141189479"/>
    <n v="-9.1482030149576943"/>
    <n v="0"/>
    <n v="0"/>
    <m/>
    <m/>
    <m/>
    <n v="0"/>
    <n v="0"/>
    <n v="0"/>
    <n v="-1660.0049999999992"/>
    <n v="4982.2283400000015"/>
    <n v="0"/>
    <n v="0"/>
    <n v="0"/>
    <n v="0"/>
    <n v="0"/>
    <n v="0"/>
    <n v="0"/>
    <n v="0"/>
    <n v="0"/>
    <n v="0"/>
    <n v="0"/>
    <n v="0"/>
    <n v="0"/>
    <n v="0"/>
    <n v="0"/>
    <n v="2220.030271426387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28"/>
    <s v="Regular"/>
    <s v="Verde"/>
    <s v="A4"/>
    <s v="Rural"/>
    <s v="Não se aplica"/>
    <s v="Não se aplica"/>
    <s v="Não se aplica"/>
    <s v="Não se aplica"/>
    <s v="CATIVO"/>
    <x v="2"/>
    <n v="1317"/>
    <n v="1264.32"/>
    <n v="0"/>
    <n v="0"/>
    <n v="0"/>
    <n v="0"/>
    <n v="12.58"/>
    <m/>
    <m/>
    <n v="16567.86"/>
    <m/>
    <n v="16567.86"/>
    <n v="15264.03"/>
    <n v="0"/>
    <n v="0"/>
    <n v="0"/>
    <n v="0"/>
    <n v="0"/>
    <n v="8728.3377194213317"/>
    <n v="7835.76678646261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1227.019999999997"/>
    <n v="11"/>
    <m/>
    <m/>
    <m/>
    <m/>
    <m/>
    <n v="610.56120000000078"/>
    <m/>
    <m/>
    <m/>
    <n v="0"/>
    <m/>
    <m/>
    <m/>
    <m/>
    <m/>
    <m/>
    <m/>
    <m/>
    <m/>
    <m/>
    <m/>
    <m/>
    <n v="14653.468799999999"/>
    <n v="-1251.7068000000017"/>
    <m/>
    <m/>
    <m/>
    <m/>
    <n v="-1303.8300000000004"/>
    <n v="0"/>
    <n v="30"/>
    <n v="393.05996015647179"/>
    <n v="0"/>
    <n v="0"/>
    <n v="0"/>
    <n v="0"/>
    <m/>
    <m/>
    <m/>
    <n v="393.059960156471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7835.7667864626128"/>
    <m/>
    <n v="0"/>
    <n v="0"/>
    <n v="-1303.83"/>
    <m/>
    <n v="0"/>
    <m/>
    <n v="-1694.0505007138427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29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46.548999999999999"/>
    <n v="46.548999999999999"/>
    <n v="46.548999999999999"/>
    <n v="46.548999999999999"/>
    <m/>
    <n v="239.69"/>
    <n v="171.61"/>
    <m/>
    <n v="19145.6037"/>
    <n v="19145.6037"/>
    <n v="19075.314709999999"/>
    <n v="0"/>
    <n v="2814.226825759612"/>
    <n v="0"/>
    <n v="0"/>
    <n v="0"/>
    <n v="2482.7371394716788"/>
    <n v="4124.9268921141438"/>
    <n v="7698.0049252878298"/>
    <n v="290.24963050894803"/>
    <n v="0"/>
    <n v="0"/>
    <n v="0"/>
    <n v="0"/>
    <n v="435.14520857768281"/>
    <m/>
    <n v="18.4358080891043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5.24543663652332"/>
    <n v="0"/>
    <n v="0"/>
    <n v="0"/>
    <n v="7801.13"/>
    <n v="45"/>
    <m/>
    <m/>
    <m/>
    <m/>
    <m/>
    <m/>
    <m/>
    <m/>
    <m/>
    <n v="8443.2503619243525"/>
    <m/>
    <m/>
    <m/>
    <m/>
    <m/>
    <m/>
    <m/>
    <m/>
    <m/>
    <m/>
    <m/>
    <m/>
    <n v="19075.724499999997"/>
    <n v="-69.909200000001874"/>
    <m/>
    <m/>
    <m/>
    <m/>
    <n v="-1118.1069800000005"/>
    <n v="1047.8179899999996"/>
    <n v="30"/>
    <n v="821.75943358675431"/>
    <n v="0"/>
    <n v="0"/>
    <n v="0"/>
    <n v="0"/>
    <n v="0"/>
    <n v="0"/>
    <n v="0"/>
    <n v="111.80417079283689"/>
    <n v="0"/>
    <n v="0"/>
    <n v="1048.0668712316101"/>
    <n v="0"/>
    <n v="0"/>
    <n v="0"/>
    <n v="101.46356889295805"/>
    <n v="0"/>
    <n v="-386.54180355789458"/>
    <m/>
    <n v="0"/>
    <n v="0"/>
    <n v="0"/>
    <n v="0"/>
    <n v="-50.147705266169226"/>
    <n v="-2.8856685065844907"/>
    <n v="0"/>
    <n v="0"/>
    <m/>
    <m/>
    <m/>
    <n v="4124.9268921141438"/>
    <n v="0"/>
    <n v="0"/>
    <n v="-1118.1069800000005"/>
    <n v="1047.8179899999996"/>
    <n v="0"/>
    <n v="0"/>
    <n v="-891.78693769529036"/>
    <n v="0"/>
    <n v="0"/>
    <n v="0"/>
    <n v="0"/>
    <n v="0"/>
    <n v="0"/>
    <n v="0"/>
    <n v="0"/>
    <n v="0"/>
    <n v="0"/>
    <n v="0"/>
    <n v="0"/>
    <n v="536.6632625671735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30"/>
    <s v="Refaturamento - Regular"/>
    <s v="Convencional"/>
    <s v="B3"/>
    <s v="Poder público"/>
    <s v="Não se aplica"/>
    <s v="Não se aplica"/>
    <s v="Não se aplica"/>
    <s v="Não se aplica"/>
    <s v="CATIVO"/>
    <x v="2"/>
    <n v="0"/>
    <n v="0"/>
    <n v="0.16400000000000001"/>
    <n v="0.16400000000000001"/>
    <n v="0.16400000000000001"/>
    <n v="0.16400000000000001"/>
    <m/>
    <n v="239.69"/>
    <n v="171.61"/>
    <m/>
    <n v="67.45320000000001"/>
    <n v="67.45320000000001"/>
    <n v="67.205560000000006"/>
    <n v="0"/>
    <n v="9.9149970874686115"/>
    <n v="0"/>
    <n v="0"/>
    <n v="0"/>
    <n v="8.7471028566318374"/>
    <n v="14.53281510465788"/>
    <n v="27.121373343083722"/>
    <n v="1.0225985392482648"/>
    <n v="0"/>
    <n v="0"/>
    <n v="0"/>
    <n v="0"/>
    <n v="1.533090167495327"/>
    <m/>
    <n v="6.495247001252690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256257193149115"/>
    <n v="0"/>
    <n v="0"/>
    <n v="0"/>
    <n v="0"/>
    <n v="0"/>
    <m/>
    <m/>
    <m/>
    <m/>
    <m/>
    <m/>
    <m/>
    <m/>
    <m/>
    <n v="29.746999062398633"/>
    <m/>
    <m/>
    <m/>
    <m/>
    <m/>
    <m/>
    <m/>
    <m/>
    <m/>
    <m/>
    <m/>
    <m/>
    <n v="65.566400000000002"/>
    <n v="-1.916799999999995"/>
    <m/>
    <m/>
    <m/>
    <m/>
    <n v="-3.9392800000000019"/>
    <n v="3.6916399999999987"/>
    <n v="30"/>
    <n v="2.8951974716584346"/>
    <n v="0"/>
    <n v="0"/>
    <n v="0"/>
    <n v="0"/>
    <n v="0"/>
    <n v="0"/>
    <n v="0"/>
    <n v="0.39390500354519276"/>
    <n v="0"/>
    <n v="0"/>
    <n v="3.6925168506731438"/>
    <n v="0"/>
    <n v="0"/>
    <n v="0"/>
    <n v="0.3574733141086841"/>
    <n v="0"/>
    <n v="-1.3618521511416954"/>
    <m/>
    <n v="0"/>
    <n v="0"/>
    <n v="0"/>
    <n v="0"/>
    <n v="-0.17667884731469519"/>
    <n v="-1.0166698212203409E-2"/>
    <n v="0"/>
    <n v="0"/>
    <m/>
    <m/>
    <m/>
    <n v="14.53281510465788"/>
    <n v="0"/>
    <n v="0"/>
    <n v="-3.9392799999999966"/>
    <n v="3.6916399999999996"/>
    <n v="0"/>
    <n v="0"/>
    <n v="-3.1419162126367421"/>
    <n v="0"/>
    <n v="0"/>
    <n v="0"/>
    <n v="0"/>
    <n v="0"/>
    <n v="0"/>
    <n v="0"/>
    <n v="0"/>
    <n v="0"/>
    <n v="0"/>
    <n v="0"/>
    <n v="0"/>
    <n v="1.89075544181435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31"/>
    <s v="Regular"/>
    <s v="Verde"/>
    <s v="A4"/>
    <s v="Poder público"/>
    <s v="Não se aplica"/>
    <s v="Não se aplica"/>
    <s v="Não se aplica"/>
    <s v="Ponta"/>
    <s v="CATIVO"/>
    <x v="2"/>
    <n v="0"/>
    <n v="0"/>
    <n v="1.8480000000000001"/>
    <n v="1.8480000000000001"/>
    <n v="1.8480000000000001"/>
    <n v="1.8480000000000001"/>
    <m/>
    <n v="984.21"/>
    <n v="171.61"/>
    <m/>
    <n v="2135.9553600000004"/>
    <n v="2135.9553600000004"/>
    <n v="1991.8668000000002"/>
    <n v="0"/>
    <n v="97.200827544808121"/>
    <n v="0"/>
    <n v="0"/>
    <n v="0"/>
    <n v="727.57361365891734"/>
    <n v="946.32775925332442"/>
    <n v="305.61157279279706"/>
    <n v="11.522939637382885"/>
    <n v="0"/>
    <n v="0"/>
    <n v="0"/>
    <n v="0"/>
    <n v="17.27530871665466"/>
    <m/>
    <n v="0.48798375755540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423021637934998"/>
    <n v="0"/>
    <n v="0"/>
    <n v="0"/>
    <n v="0"/>
    <n v="0"/>
    <m/>
    <m/>
    <m/>
    <m/>
    <m/>
    <m/>
    <m/>
    <m/>
    <m/>
    <n v="317.03459443073206"/>
    <m/>
    <m/>
    <m/>
    <m/>
    <m/>
    <m/>
    <m/>
    <m/>
    <m/>
    <m/>
    <m/>
    <m/>
    <n v="1994.0225000000003"/>
    <n v="-141.96286000000032"/>
    <m/>
    <m/>
    <m/>
    <m/>
    <n v="-185.68704000000005"/>
    <n v="41.598479999999988"/>
    <n v="30"/>
    <n v="60.510078265655693"/>
    <n v="0"/>
    <n v="0"/>
    <n v="0"/>
    <n v="0"/>
    <n v="0"/>
    <n v="0"/>
    <n v="0"/>
    <n v="32.764549767518133"/>
    <n v="0"/>
    <n v="0"/>
    <n v="41.608360610024192"/>
    <n v="0"/>
    <n v="0"/>
    <n v="0"/>
    <n v="1.5552199127273969"/>
    <n v="0"/>
    <n v="-13.350801308046044"/>
    <m/>
    <n v="0"/>
    <n v="0"/>
    <n v="0"/>
    <n v="0"/>
    <n v="-1.9908689624241251"/>
    <n v="-7.638175414370052E-2"/>
    <n v="0"/>
    <n v="0"/>
    <m/>
    <m/>
    <m/>
    <n v="946.32775925332442"/>
    <n v="0"/>
    <n v="0"/>
    <n v="-185.68704000000002"/>
    <n v="41.598479999999995"/>
    <n v="0"/>
    <n v="0"/>
    <n v="-204.59095556188936"/>
    <n v="0"/>
    <n v="0"/>
    <n v="0"/>
    <n v="0"/>
    <n v="0"/>
    <n v="0"/>
    <n v="0"/>
    <n v="0"/>
    <n v="0"/>
    <n v="0"/>
    <n v="0"/>
    <n v="0"/>
    <n v="18.53585956787463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32"/>
    <s v="Regular"/>
    <s v="Verde"/>
    <s v="A4"/>
    <s v="Poder público"/>
    <s v="Não se aplica"/>
    <s v="Não se aplica"/>
    <s v="Não se aplica"/>
    <s v="Fora ponta"/>
    <s v="CATIVO"/>
    <x v="2"/>
    <n v="0"/>
    <n v="0"/>
    <n v="13.791"/>
    <n v="13.791"/>
    <n v="13.791"/>
    <n v="13.791"/>
    <m/>
    <n v="78.42"/>
    <n v="171.61"/>
    <m/>
    <n v="3448.1637300000002"/>
    <n v="3448.1637300000002"/>
    <n v="3655.1666400000004"/>
    <n v="0"/>
    <n v="725.37695490825149"/>
    <n v="0"/>
    <n v="0"/>
    <n v="0"/>
    <n v="0"/>
    <n v="0"/>
    <n v="2280.6759742345585"/>
    <n v="85.991807651053776"/>
    <n v="0"/>
    <n v="0"/>
    <n v="0"/>
    <n v="0"/>
    <n v="128.91979573126864"/>
    <m/>
    <n v="3.64165800889969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246153359719457"/>
    <n v="0"/>
    <n v="0"/>
    <n v="0"/>
    <n v="0"/>
    <n v="0"/>
    <m/>
    <m/>
    <m/>
    <m/>
    <m/>
    <m/>
    <m/>
    <m/>
    <m/>
    <n v="2365.9221275942778"/>
    <m/>
    <m/>
    <m/>
    <m/>
    <m/>
    <m/>
    <m/>
    <m/>
    <m/>
    <m/>
    <m/>
    <m/>
    <n v="3654.9016000000001"/>
    <n v="206.70786999999973"/>
    <m/>
    <m/>
    <m/>
    <m/>
    <n v="-103.4325"/>
    <n v="310.43540999999988"/>
    <n v="30"/>
    <n v="207.05551056158947"/>
    <n v="0"/>
    <n v="0"/>
    <n v="0"/>
    <n v="0"/>
    <n v="0"/>
    <n v="0"/>
    <n v="0"/>
    <n v="0"/>
    <n v="0"/>
    <n v="0"/>
    <n v="310.50914565630092"/>
    <n v="0"/>
    <n v="0"/>
    <n v="0"/>
    <n v="11.606081069493257"/>
    <n v="0"/>
    <n v="-99.632522099168227"/>
    <m/>
    <n v="0"/>
    <n v="0"/>
    <n v="0"/>
    <n v="0"/>
    <n v="-14.857182825103436"/>
    <n v="-0.57001123993277814"/>
    <n v="0"/>
    <n v="0"/>
    <m/>
    <m/>
    <m/>
    <n v="0"/>
    <n v="0"/>
    <n v="0"/>
    <n v="-103.43250000000012"/>
    <n v="310.43541000000005"/>
    <n v="0"/>
    <n v="0"/>
    <n v="0"/>
    <n v="0"/>
    <n v="0"/>
    <n v="0"/>
    <n v="0"/>
    <n v="0"/>
    <n v="0"/>
    <n v="0"/>
    <n v="0"/>
    <n v="0"/>
    <n v="0"/>
    <n v="0"/>
    <n v="0"/>
    <n v="138.3268610933761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33"/>
    <s v="Regular"/>
    <s v="Verde"/>
    <s v="A4"/>
    <s v="Poder público"/>
    <s v="Não se aplica"/>
    <s v="Não se aplica"/>
    <s v="Não se aplica"/>
    <s v="Não se aplica"/>
    <s v="CATIVO"/>
    <x v="2"/>
    <n v="165"/>
    <n v="165"/>
    <n v="0"/>
    <n v="0"/>
    <n v="0"/>
    <n v="0"/>
    <n v="12.58"/>
    <m/>
    <m/>
    <n v="2075.6999999999998"/>
    <m/>
    <n v="2075.6999999999998"/>
    <n v="1912.35"/>
    <n v="0"/>
    <n v="0"/>
    <n v="0"/>
    <n v="0"/>
    <n v="0"/>
    <n v="1093.5275047111008"/>
    <n v="981.701989192354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97.49"/>
    <n v="3"/>
    <m/>
    <m/>
    <m/>
    <m/>
    <m/>
    <m/>
    <m/>
    <m/>
    <m/>
    <n v="0"/>
    <m/>
    <m/>
    <m/>
    <m/>
    <m/>
    <m/>
    <m/>
    <m/>
    <m/>
    <m/>
    <m/>
    <m/>
    <n v="1912.35"/>
    <n v="-163.38000000000056"/>
    <m/>
    <m/>
    <m/>
    <m/>
    <n v="-163.35000000000002"/>
    <n v="0"/>
    <n v="30"/>
    <n v="49.244414142610367"/>
    <n v="0"/>
    <n v="0"/>
    <n v="0"/>
    <n v="0"/>
    <m/>
    <m/>
    <m/>
    <n v="49.2444141426103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.70198919235463"/>
    <m/>
    <n v="0"/>
    <n v="0"/>
    <n v="-163.34999999999991"/>
    <m/>
    <n v="0"/>
    <m/>
    <n v="-212.238673210162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34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98.19"/>
    <n v="98.19"/>
    <n v="98.19"/>
    <n v="98.19"/>
    <m/>
    <n v="131.83000000000001"/>
    <n v="94.39"/>
    <m/>
    <n v="22212.541799999999"/>
    <n v="22212.541799999999"/>
    <n v="22131.044099999999"/>
    <n v="0"/>
    <n v="3264.9662207938991"/>
    <n v="0"/>
    <n v="0"/>
    <n v="0"/>
    <n v="2880.3836354937439"/>
    <n v="4785.5939836554617"/>
    <n v="8930.9524799180872"/>
    <n v="336.73733422459111"/>
    <n v="0"/>
    <n v="0"/>
    <n v="0"/>
    <n v="0"/>
    <n v="504.8400484786668"/>
    <m/>
    <n v="21.388571138972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4.607342431353"/>
    <n v="0"/>
    <n v="0"/>
    <n v="0"/>
    <n v="12024.6"/>
    <n v="7"/>
    <m/>
    <m/>
    <m/>
    <m/>
    <m/>
    <m/>
    <m/>
    <m/>
    <m/>
    <n v="9795.5598223494399"/>
    <m/>
    <m/>
    <m/>
    <m/>
    <m/>
    <m/>
    <m/>
    <m/>
    <m/>
    <m/>
    <m/>
    <m/>
    <n v="22131.044099999999"/>
    <n v="-81.527700000002369"/>
    <m/>
    <m/>
    <m/>
    <m/>
    <n v="-1297.0899000000009"/>
    <n v="1215.5921999999996"/>
    <n v="30"/>
    <n v="953.37616986694775"/>
    <n v="0"/>
    <n v="0"/>
    <n v="0"/>
    <n v="0"/>
    <n v="0"/>
    <n v="0"/>
    <n v="0"/>
    <n v="129.71123636558559"/>
    <n v="0"/>
    <n v="0"/>
    <n v="1215.9300381840221"/>
    <n v="0"/>
    <n v="0"/>
    <n v="0"/>
    <n v="117.71443653526069"/>
    <n v="0"/>
    <n v="-448.45210058738894"/>
    <m/>
    <n v="0"/>
    <n v="0"/>
    <n v="0"/>
    <n v="0"/>
    <n v="-58.179590303697864"/>
    <n v="-3.3478503268349797"/>
    <n v="0"/>
    <n v="0"/>
    <m/>
    <m/>
    <m/>
    <n v="4785.5939836554617"/>
    <n v="0"/>
    <n v="0"/>
    <n v="-1297.0899000000009"/>
    <n v="1215.5921999999991"/>
    <n v="0"/>
    <n v="0"/>
    <n v="-1034.6195982032914"/>
    <n v="0"/>
    <n v="0"/>
    <n v="0"/>
    <n v="0"/>
    <n v="0"/>
    <n v="0"/>
    <n v="0"/>
    <n v="0"/>
    <n v="0"/>
    <n v="0"/>
    <n v="0"/>
    <n v="0"/>
    <n v="622.617696691847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35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41.895000000000003"/>
    <n v="39.381300000000003"/>
    <n v="41.895000000000003"/>
    <n v="39.381300000000003"/>
    <m/>
    <n v="239.69"/>
    <n v="171.61"/>
    <m/>
    <n v="17231.413500000002"/>
    <n v="17231.413500000002"/>
    <n v="17168.152050000001"/>
    <n v="0"/>
    <n v="2532.8585547530338"/>
    <n v="0"/>
    <n v="0"/>
    <n v="0"/>
    <n v="2234.5114279182367"/>
    <n v="3712.5139561563528"/>
    <n v="6928.3532695639788"/>
    <n v="261.23027927930519"/>
    <n v="0"/>
    <n v="0"/>
    <n v="0"/>
    <n v="0"/>
    <n v="391.6391010196142"/>
    <m/>
    <n v="16.5925837266757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0.73530189450139"/>
    <n v="0"/>
    <n v="0"/>
    <n v="0"/>
    <n v="7705.36"/>
    <n v="40"/>
    <m/>
    <m/>
    <m/>
    <m/>
    <n v="1030.089123"/>
    <m/>
    <m/>
    <m/>
    <m/>
    <n v="7599.0885714584801"/>
    <m/>
    <m/>
    <m/>
    <m/>
    <m/>
    <m/>
    <m/>
    <m/>
    <m/>
    <m/>
    <m/>
    <m/>
    <n v="16137.530200000001"/>
    <n v="-60.028490000002421"/>
    <m/>
    <m/>
    <m/>
    <m/>
    <n v="-1006.3179000000005"/>
    <n v="943.0564499999997"/>
    <n v="30"/>
    <n v="739.5993785068913"/>
    <n v="0"/>
    <n v="0"/>
    <n v="0"/>
    <n v="0"/>
    <n v="0"/>
    <n v="0"/>
    <n v="0"/>
    <n v="100.62591538735296"/>
    <n v="0"/>
    <n v="0"/>
    <n v="943.28044792043511"/>
    <n v="0"/>
    <n v="0"/>
    <n v="0"/>
    <n v="91.319173747459217"/>
    <n v="0"/>
    <n v="-347.89509678098375"/>
    <m/>
    <n v="0"/>
    <n v="0"/>
    <n v="0"/>
    <n v="0"/>
    <n v="-45.133904318592386"/>
    <n v="-2.5971574487820863"/>
    <n v="0"/>
    <n v="0"/>
    <m/>
    <m/>
    <m/>
    <n v="3712.5139561563528"/>
    <n v="0"/>
    <n v="0"/>
    <n v="-1006.3179"/>
    <n v="943.05645000000004"/>
    <n v="0"/>
    <n v="0"/>
    <n v="-802.62548614887965"/>
    <n v="0"/>
    <n v="0"/>
    <n v="0"/>
    <n v="0"/>
    <n v="0"/>
    <n v="0"/>
    <n v="0"/>
    <n v="0"/>
    <n v="0"/>
    <n v="0"/>
    <n v="0"/>
    <n v="0"/>
    <n v="483.0073124073929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36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8.8149999999999995"/>
    <n v="8.8149999999999995"/>
    <n v="8.8149999999999995"/>
    <n v="8.8149999999999995"/>
    <m/>
    <n v="239.69"/>
    <n v="171.61"/>
    <m/>
    <n v="3625.6095"/>
    <n v="3625.6095"/>
    <n v="3612.2988499999997"/>
    <n v="0"/>
    <n v="532.93109345143785"/>
    <n v="0"/>
    <n v="0"/>
    <n v="0"/>
    <n v="470.15677854396114"/>
    <n v="781.13881187536094"/>
    <n v="1457.7738171907499"/>
    <n v="54.964671484594227"/>
    <n v="0"/>
    <n v="0"/>
    <n v="0"/>
    <n v="0"/>
    <n v="82.403596502873825"/>
    <m/>
    <n v="3.4911952631733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12738241317649"/>
    <n v="0"/>
    <n v="0"/>
    <n v="0"/>
    <n v="1621.3"/>
    <n v="4"/>
    <m/>
    <m/>
    <m/>
    <m/>
    <m/>
    <m/>
    <m/>
    <m/>
    <m/>
    <n v="1598.9011996039264"/>
    <m/>
    <m/>
    <m/>
    <m/>
    <m/>
    <m/>
    <m/>
    <m/>
    <m/>
    <m/>
    <m/>
    <m/>
    <n v="3614.3478"/>
    <n v="-11.291700000000674"/>
    <m/>
    <m/>
    <m/>
    <m/>
    <n v="-211.73630000000009"/>
    <n v="198.42564999999991"/>
    <n v="30"/>
    <n v="155.6168641016402"/>
    <n v="0"/>
    <n v="0"/>
    <n v="0"/>
    <n v="0"/>
    <n v="0"/>
    <n v="0"/>
    <n v="0"/>
    <n v="21.17239394055423"/>
    <n v="0"/>
    <n v="0"/>
    <n v="198.47278072368135"/>
    <n v="0"/>
    <n v="0"/>
    <n v="0"/>
    <n v="19.214190633341758"/>
    <n v="0"/>
    <n v="-73.19955312386611"/>
    <m/>
    <n v="0"/>
    <n v="0"/>
    <n v="0"/>
    <n v="0"/>
    <n v="-9.4964880431648737"/>
    <n v="-0.54646002890593337"/>
    <n v="0"/>
    <n v="0"/>
    <m/>
    <m/>
    <m/>
    <n v="781.13881187536094"/>
    <n v="0"/>
    <n v="0"/>
    <n v="-211.73630000000026"/>
    <n v="198.42564999999991"/>
    <n v="0"/>
    <n v="0"/>
    <n v="-168.87799642922482"/>
    <n v="0"/>
    <n v="0"/>
    <n v="0"/>
    <n v="0"/>
    <n v="0"/>
    <n v="0"/>
    <n v="0"/>
    <n v="0"/>
    <n v="0"/>
    <n v="0"/>
    <n v="0"/>
    <n v="0"/>
    <n v="101.6281049975216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37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38"/>
    <s v="Regular"/>
    <s v="Convencional"/>
    <s v="B2"/>
    <s v="Rural"/>
    <s v="Agropecuária rural"/>
    <s v="IRRIG./AQUIC."/>
    <s v="Não se aplica"/>
    <s v="Não se aplica"/>
    <s v="CATIVO"/>
    <x v="2"/>
    <n v="0"/>
    <n v="0"/>
    <n v="9.9000000000000005E-2"/>
    <n v="9.9000000000000005E-2"/>
    <n v="9.9000000000000005E-2"/>
    <n v="9.9000000000000005E-2"/>
    <m/>
    <n v="239.69"/>
    <n v="171.61"/>
    <m/>
    <n v="40.718700000000005"/>
    <n v="40.718700000000005"/>
    <n v="40.569209999999998"/>
    <n v="0"/>
    <n v="5.9852726320694671"/>
    <n v="0"/>
    <n v="0"/>
    <n v="0"/>
    <n v="5.2802633097960481"/>
    <n v="8.7728578985434762"/>
    <n v="16.372048542471273"/>
    <n v="0.61730033771694026"/>
    <n v="0"/>
    <n v="0"/>
    <n v="0"/>
    <n v="0"/>
    <n v="0.92546296696364261"/>
    <m/>
    <n v="3.920911299536685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849813793425382"/>
    <n v="0"/>
    <n v="0"/>
    <n v="0"/>
    <n v="0"/>
    <n v="0"/>
    <m/>
    <m/>
    <m/>
    <m/>
    <m/>
    <n v="5.7221999999999991"/>
    <m/>
    <m/>
    <m/>
    <n v="17.95702992181381"/>
    <m/>
    <m/>
    <m/>
    <m/>
    <m/>
    <m/>
    <m/>
    <m/>
    <m/>
    <m/>
    <m/>
    <m/>
    <n v="35.198999999999998"/>
    <n v="0.28535999999999007"/>
    <m/>
    <m/>
    <m/>
    <m/>
    <n v="-2.3779800000000013"/>
    <n v="2.2284899999999994"/>
    <n v="30"/>
    <n v="1.7477106688669792"/>
    <n v="0"/>
    <n v="0"/>
    <n v="0"/>
    <n v="0"/>
    <n v="0"/>
    <n v="0"/>
    <n v="0"/>
    <n v="0.23778411799374499"/>
    <n v="0"/>
    <n v="0"/>
    <n v="2.2290193183941511"/>
    <n v="0"/>
    <n v="0"/>
    <n v="0"/>
    <n v="0.21579181766316879"/>
    <n v="0"/>
    <n v="-0.8220936766038287"/>
    <m/>
    <n v="0"/>
    <n v="0"/>
    <n v="0"/>
    <n v="0"/>
    <n v="-0.10665369441557826"/>
    <n v="-6.1372141646837686E-3"/>
    <n v="0"/>
    <n v="0"/>
    <m/>
    <m/>
    <m/>
    <n v="8.7728578985434762"/>
    <n v="0"/>
    <n v="0"/>
    <n v="-2.3779800000000009"/>
    <n v="2.2284899999999972"/>
    <n v="0"/>
    <n v="0"/>
    <n v="-1.8966445429941308"/>
    <n v="0"/>
    <n v="0"/>
    <n v="0"/>
    <n v="0"/>
    <n v="0"/>
    <n v="0"/>
    <n v="0"/>
    <n v="0"/>
    <n v="0"/>
    <n v="0"/>
    <n v="0"/>
    <n v="0"/>
    <n v="1.141370663046471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39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1E-3"/>
    <n v="4.0000000000000002E-4"/>
    <n v="1E-3"/>
    <n v="4.0000000000000002E-4"/>
    <m/>
    <n v="239.69"/>
    <n v="171.61"/>
    <m/>
    <n v="0.4113"/>
    <n v="0.4113"/>
    <n v="0.40978999999999999"/>
    <n v="0"/>
    <n v="6.0457299313833E-2"/>
    <n v="0"/>
    <n v="0"/>
    <n v="0"/>
    <n v="5.3335993028242906E-2"/>
    <n v="8.8614726247913889E-2"/>
    <n v="0.16537422770173002"/>
    <n v="6.2353569466357603E-3"/>
    <n v="0"/>
    <n v="0"/>
    <n v="0"/>
    <n v="0"/>
    <n v="9.3481107774105315E-3"/>
    <m/>
    <n v="3.96051646417847E-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E-2"/>
    <n v="0"/>
    <n v="0"/>
    <n v="0"/>
    <n v="0"/>
    <n v="0"/>
    <m/>
    <m/>
    <m/>
    <m/>
    <m/>
    <m/>
    <n v="0.26899400000000001"/>
    <m/>
    <m/>
    <n v="0.18138414062438191"/>
    <m/>
    <m/>
    <m/>
    <m/>
    <m/>
    <m/>
    <m/>
    <m/>
    <m/>
    <m/>
    <m/>
    <m/>
    <n v="0"/>
    <n v="-0.17094400000000001"/>
    <m/>
    <m/>
    <m/>
    <m/>
    <n v="-2.402000000000001E-2"/>
    <n v="2.2509999999999992E-2"/>
    <n v="30"/>
    <n v="1.7653643119868445E-2"/>
    <n v="0"/>
    <n v="0"/>
    <n v="0"/>
    <n v="0"/>
    <n v="0"/>
    <n v="0"/>
    <n v="0"/>
    <n v="2.4018597777145934E-3"/>
    <n v="0"/>
    <n v="0"/>
    <n v="2.2515346650445994E-2"/>
    <n v="0"/>
    <n v="0"/>
    <n v="0"/>
    <n v="2.1797153299309979E-3"/>
    <n v="0"/>
    <n v="-8.3039765313518005E-3"/>
    <m/>
    <n v="0"/>
    <n v="0"/>
    <n v="0"/>
    <n v="0"/>
    <n v="-1.0773100446018011E-3"/>
    <n v="-6.199206226953298E-5"/>
    <n v="0"/>
    <n v="0"/>
    <m/>
    <m/>
    <m/>
    <n v="8.8614726247913889E-2"/>
    <n v="0"/>
    <n v="0"/>
    <n v="-2.4020000000000014E-2"/>
    <n v="2.2510000000000002E-2"/>
    <n v="0"/>
    <n v="0"/>
    <n v="-1.9158025686809396E-2"/>
    <n v="0"/>
    <n v="0"/>
    <n v="0"/>
    <n v="0"/>
    <n v="0"/>
    <n v="0"/>
    <n v="0"/>
    <n v="0"/>
    <n v="0"/>
    <n v="0"/>
    <n v="0"/>
    <n v="0"/>
    <n v="1.1528996596429E-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0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982.330000000002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41"/>
    <s v="Regular"/>
    <s v="Convencional"/>
    <s v="B2"/>
    <s v="Rural"/>
    <s v="Aquicultura"/>
    <s v="IRRIG./AQUIC."/>
    <s v="Não se aplica"/>
    <s v="Não se aplica"/>
    <s v="CATIVO"/>
    <x v="2"/>
    <n v="0"/>
    <n v="0"/>
    <n v="36.951999999999998"/>
    <n v="36.951999999999998"/>
    <n v="36.951999999999998"/>
    <n v="36.951999999999998"/>
    <m/>
    <n v="239.69"/>
    <n v="171.61"/>
    <m/>
    <n v="15198.357599999999"/>
    <n v="15198.357599999999"/>
    <n v="15142.560079999999"/>
    <n v="0"/>
    <n v="2234.018124244757"/>
    <n v="0"/>
    <n v="0"/>
    <n v="0"/>
    <n v="1970.8716143796316"/>
    <n v="3274.4913643129139"/>
    <n v="6110.9084620343265"/>
    <n v="230.40890989208461"/>
    <n v="0"/>
    <n v="0"/>
    <n v="0"/>
    <n v="0"/>
    <n v="345.43138944687394"/>
    <m/>
    <n v="14.634900438432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1.59830231783292"/>
    <n v="0"/>
    <n v="0"/>
    <n v="0"/>
    <n v="0"/>
    <n v="0"/>
    <m/>
    <m/>
    <m/>
    <m/>
    <m/>
    <n v="2135.8255999999992"/>
    <m/>
    <m/>
    <m/>
    <n v="6702.5067643521597"/>
    <m/>
    <m/>
    <m/>
    <m/>
    <m/>
    <m/>
    <m/>
    <m/>
    <m/>
    <m/>
    <m/>
    <m/>
    <n v="13006.030500000001"/>
    <n v="-14.406219999998939"/>
    <m/>
    <m/>
    <m/>
    <m/>
    <n v="-887.58704000000034"/>
    <n v="831.78951999999958"/>
    <n v="30"/>
    <n v="652.33742056537994"/>
    <n v="0"/>
    <n v="0"/>
    <n v="0"/>
    <n v="0"/>
    <n v="0"/>
    <n v="0"/>
    <n v="0"/>
    <n v="88.753522506109903"/>
    <n v="0"/>
    <n v="0"/>
    <n v="831.98708942728081"/>
    <n v="0"/>
    <n v="0"/>
    <n v="0"/>
    <n v="80.544840871610404"/>
    <n v="0"/>
    <n v="-306.84854078651188"/>
    <m/>
    <n v="0"/>
    <n v="0"/>
    <n v="0"/>
    <n v="0"/>
    <n v="-39.808760768125751"/>
    <n v="-2.2907306849837852"/>
    <n v="0"/>
    <n v="0"/>
    <m/>
    <m/>
    <m/>
    <n v="3274.4913643129139"/>
    <n v="0"/>
    <n v="0"/>
    <n v="-887.58703999999943"/>
    <n v="831.78951999999936"/>
    <n v="0"/>
    <n v="0"/>
    <n v="-707.92736517898084"/>
    <n v="0"/>
    <n v="0"/>
    <n v="0"/>
    <n v="0"/>
    <n v="0"/>
    <n v="0"/>
    <n v="0"/>
    <n v="0"/>
    <n v="0"/>
    <n v="0"/>
    <n v="0"/>
    <n v="0"/>
    <n v="426.0194822312443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2"/>
    <s v="Regular"/>
    <s v="Convencional"/>
    <s v="B2"/>
    <s v="Rural"/>
    <s v="Aquicultura"/>
    <s v="IRRIG./AQUIC. PR"/>
    <s v="Não se aplica"/>
    <s v="Não se aplica"/>
    <s v="CATIVO"/>
    <x v="2"/>
    <n v="0"/>
    <n v="0"/>
    <n v="60.808999999999997"/>
    <n v="24.323599999999999"/>
    <n v="60.808999999999997"/>
    <n v="24.323599999999999"/>
    <m/>
    <n v="239.69"/>
    <n v="171.61"/>
    <m/>
    <n v="25010.741699999999"/>
    <n v="25010.741699999999"/>
    <n v="24918.920109999999"/>
    <n v="0"/>
    <n v="3676.3479139748706"/>
    <n v="0"/>
    <n v="0"/>
    <n v="0"/>
    <n v="3243.3084000544227"/>
    <n v="5388.572888409396"/>
    <n v="10056.241412314499"/>
    <n v="379.16582056797392"/>
    <n v="0"/>
    <n v="0"/>
    <n v="0"/>
    <n v="0"/>
    <n v="568.44926826355697"/>
    <m/>
    <n v="24.083504567022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3.54679491353932"/>
    <n v="0"/>
    <n v="0"/>
    <n v="0"/>
    <n v="0"/>
    <n v="0"/>
    <m/>
    <m/>
    <m/>
    <m/>
    <m/>
    <m/>
    <n v="16357.256145999998"/>
    <m/>
    <m/>
    <n v="11029.788207228039"/>
    <m/>
    <m/>
    <m/>
    <m/>
    <m/>
    <m/>
    <m/>
    <m/>
    <m/>
    <m/>
    <m/>
    <m/>
    <n v="8560.3968000000004"/>
    <n v="-10.296895999999833"/>
    <m/>
    <m/>
    <m/>
    <m/>
    <n v="-1460.6321800000005"/>
    <n v="1368.8105899999994"/>
    <n v="30"/>
    <n v="1073.5003844760759"/>
    <n v="0"/>
    <n v="0"/>
    <n v="0"/>
    <n v="0"/>
    <n v="0"/>
    <n v="0"/>
    <n v="0"/>
    <n v="146.05469122304703"/>
    <n v="0"/>
    <n v="0"/>
    <n v="1369.135714466971"/>
    <n v="0"/>
    <n v="0"/>
    <n v="0"/>
    <n v="132.54630949777425"/>
    <n v="0"/>
    <n v="-504.95650889497165"/>
    <m/>
    <n v="0"/>
    <n v="0"/>
    <n v="0"/>
    <n v="0"/>
    <n v="-65.510146502190878"/>
    <n v="-3.7696753145480315"/>
    <n v="0"/>
    <n v="0"/>
    <m/>
    <m/>
    <m/>
    <n v="5388.572888409396"/>
    <n v="0"/>
    <n v="0"/>
    <n v="-1460.6321800000005"/>
    <n v="1368.8105899999991"/>
    <n v="0"/>
    <n v="0"/>
    <n v="-1164.9803839891929"/>
    <n v="0"/>
    <n v="0"/>
    <n v="0"/>
    <n v="0"/>
    <n v="0"/>
    <n v="0"/>
    <n v="0"/>
    <n v="0"/>
    <n v="0"/>
    <n v="0"/>
    <n v="0"/>
    <n v="0"/>
    <n v="701.0667540322509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3"/>
    <s v="Regular"/>
    <s v="Convencional"/>
    <s v="B1"/>
    <s v="Residencial"/>
    <s v="Residencial"/>
    <s v="Não se aplica"/>
    <s v="Não se aplica"/>
    <s v="Não se aplica"/>
    <s v="CATIVO"/>
    <x v="3"/>
    <n v="0"/>
    <n v="0"/>
    <n v="1411.4179999999999"/>
    <n v="1411.4179999999999"/>
    <n v="1411.4179999999999"/>
    <n v="1411.4179999999999"/>
    <m/>
    <n v="239.69"/>
    <n v="171.61"/>
    <m/>
    <n v="580516.22340000002"/>
    <n v="580516.22340000002"/>
    <n v="578384.98221999989"/>
    <n v="0"/>
    <n v="85330.520482931533"/>
    <n v="0"/>
    <n v="0"/>
    <n v="0"/>
    <n v="75279.380607936531"/>
    <n v="125072.41969137812"/>
    <n v="233412.16171432033"/>
    <n v="8800.6950309067506"/>
    <n v="0"/>
    <n v="0"/>
    <n v="0"/>
    <n v="0"/>
    <n v="13194.091817231216"/>
    <m/>
    <n v="558.99442268378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96.679277463496"/>
    <n v="0"/>
    <n v="0"/>
    <n v="0"/>
    <n v="189938.88"/>
    <n v="4730"/>
    <m/>
    <m/>
    <m/>
    <m/>
    <m/>
    <m/>
    <m/>
    <m/>
    <m/>
    <n v="256008.84099178383"/>
    <m/>
    <m/>
    <m/>
    <m/>
    <m/>
    <m/>
    <m/>
    <m/>
    <m/>
    <m/>
    <m/>
    <m/>
    <n v="578385.80180000002"/>
    <n v="-2130.4516000000294"/>
    <m/>
    <m/>
    <m/>
    <m/>
    <n v="-33902.260360000015"/>
    <n v="31771.019179999985"/>
    <m/>
    <n v="24916.669664958434"/>
    <n v="0"/>
    <n v="0"/>
    <n v="0"/>
    <n v="0"/>
    <n v="0"/>
    <n v="0"/>
    <n v="0"/>
    <n v="3390.0281237423915"/>
    <n v="0"/>
    <n v="0"/>
    <n v="31778.565538679162"/>
    <n v="0"/>
    <n v="0"/>
    <n v="0"/>
    <n v="3076.489451540554"/>
    <n v="0"/>
    <n v="-11720.381947927497"/>
    <m/>
    <n v="0"/>
    <n v="0"/>
    <n v="0"/>
    <n v="0"/>
    <n v="-1520.5347885317842"/>
    <n v="-87.496712544339687"/>
    <n v="0"/>
    <n v="0"/>
    <m/>
    <m/>
    <m/>
    <n v="125072.41969137812"/>
    <n v="0"/>
    <n v="0"/>
    <n v="-33902.260360000015"/>
    <n v="31771.019180000003"/>
    <n v="0"/>
    <n v="0"/>
    <n v="-27039.98229882514"/>
    <n v="0"/>
    <n v="0"/>
    <n v="0"/>
    <n v="0"/>
    <n v="0"/>
    <n v="0"/>
    <n v="0"/>
    <n v="0"/>
    <n v="0"/>
    <n v="0"/>
    <n v="0"/>
    <n v="0"/>
    <n v="16272.23331813862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4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0.26700000000000002"/>
    <n v="-0.26700000000000002"/>
    <n v="-0.26700000000000002"/>
    <n v="-0.26700000000000002"/>
    <m/>
    <n v="239.69"/>
    <n v="171.61"/>
    <m/>
    <n v="-109.81710000000001"/>
    <n v="-109.81710000000001"/>
    <n v="-109.41392999999999"/>
    <n v="0"/>
    <n v="-16.142098916793412"/>
    <n v="0"/>
    <n v="0"/>
    <n v="0"/>
    <n v="-14.240710138540855"/>
    <n v="-23.660131908193012"/>
    <n v="-44.154918796361912"/>
    <n v="-1.6648403047517482"/>
    <n v="0"/>
    <n v="0"/>
    <n v="0"/>
    <n v="0"/>
    <n v="-2.4959455775686119"/>
    <m/>
    <n v="-0.10574578959356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2746467503480572"/>
    <n v="0"/>
    <n v="0"/>
    <n v="0"/>
    <n v="-49.11"/>
    <n v="0"/>
    <m/>
    <m/>
    <m/>
    <m/>
    <m/>
    <m/>
    <m/>
    <m/>
    <m/>
    <n v="-48.429565546709966"/>
    <m/>
    <m/>
    <m/>
    <m/>
    <m/>
    <m/>
    <m/>
    <m/>
    <m/>
    <m/>
    <m/>
    <m/>
    <n v="-110.64330000000001"/>
    <n v="-0.85620000000000118"/>
    <m/>
    <m/>
    <m/>
    <m/>
    <n v="6.4133400000000034"/>
    <n v="-6.0101699999999978"/>
    <m/>
    <n v="-4.7135227130048918"/>
    <n v="0"/>
    <n v="0"/>
    <n v="0"/>
    <n v="0"/>
    <n v="0"/>
    <n v="0"/>
    <n v="0"/>
    <n v="-0.64129656064979912"/>
    <n v="0"/>
    <n v="0"/>
    <n v="-6.0115975556690842"/>
    <n v="0"/>
    <n v="0"/>
    <n v="0"/>
    <n v="-0.58198399309157711"/>
    <n v="0"/>
    <n v="2.2171617338709311"/>
    <m/>
    <n v="0"/>
    <n v="0"/>
    <n v="0"/>
    <n v="0"/>
    <n v="0.28764178190868073"/>
    <n v="1.6551880625965326E-2"/>
    <n v="0"/>
    <n v="0"/>
    <m/>
    <m/>
    <m/>
    <n v="-23.660131908193012"/>
    <n v="0"/>
    <n v="0"/>
    <n v="6.4133400000000051"/>
    <n v="-6.0101699999999951"/>
    <n v="0"/>
    <n v="0"/>
    <n v="5.1151928583781086"/>
    <n v="0"/>
    <n v="0"/>
    <n v="0"/>
    <n v="0"/>
    <n v="0"/>
    <n v="0"/>
    <n v="0"/>
    <n v="0"/>
    <n v="0"/>
    <n v="0"/>
    <n v="0"/>
    <n v="0"/>
    <n v="-3.078242091246543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5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.9470000000000001"/>
    <n v="1.9470000000000001"/>
    <n v="1.9470000000000001"/>
    <n v="1.9470000000000001"/>
    <m/>
    <n v="239.69"/>
    <n v="171.61"/>
    <m/>
    <n v="800.80110000000013"/>
    <n v="800.80110000000013"/>
    <n v="797.86113"/>
    <n v="0"/>
    <n v="117.71036176403285"/>
    <n v="0"/>
    <n v="0"/>
    <n v="0"/>
    <n v="103.84517842598893"/>
    <n v="172.53287200468836"/>
    <n v="321.98362133526831"/>
    <n v="12.140239975099826"/>
    <n v="0"/>
    <n v="0"/>
    <n v="0"/>
    <n v="0"/>
    <n v="18.200771683618303"/>
    <m/>
    <n v="0.771112555575548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171300460403248"/>
    <n v="0"/>
    <n v="0"/>
    <n v="0"/>
    <n v="691.12"/>
    <n v="10"/>
    <m/>
    <m/>
    <m/>
    <m/>
    <m/>
    <m/>
    <m/>
    <m/>
    <m/>
    <n v="353.15492179567156"/>
    <m/>
    <m/>
    <m/>
    <m/>
    <m/>
    <m/>
    <m/>
    <m/>
    <m/>
    <m/>
    <m/>
    <m/>
    <n v="799.09050000000002"/>
    <n v="-1.7406000000000859"/>
    <m/>
    <m/>
    <m/>
    <m/>
    <n v="-46.766940000000019"/>
    <n v="43.826969999999982"/>
    <m/>
    <n v="34.371643154383946"/>
    <n v="0"/>
    <n v="0"/>
    <n v="0"/>
    <n v="0"/>
    <n v="0"/>
    <n v="0"/>
    <n v="0"/>
    <n v="4.6764209872103208"/>
    <n v="0"/>
    <n v="0"/>
    <n v="43.837379928418386"/>
    <n v="0"/>
    <n v="0"/>
    <n v="0"/>
    <n v="4.2439057473756598"/>
    <n v="0"/>
    <n v="-16.167842306541957"/>
    <m/>
    <n v="0"/>
    <n v="0"/>
    <n v="0"/>
    <n v="0"/>
    <n v="-2.0975226568397041"/>
    <n v="-0.12069854523878076"/>
    <n v="0"/>
    <n v="0"/>
    <m/>
    <m/>
    <m/>
    <n v="172.53287200468836"/>
    <n v="0"/>
    <n v="0"/>
    <n v="-46.766940000000034"/>
    <n v="43.82696999999996"/>
    <n v="0"/>
    <n v="0"/>
    <n v="-37.300676012217906"/>
    <n v="0"/>
    <n v="0"/>
    <n v="0"/>
    <n v="0"/>
    <n v="0"/>
    <n v="0"/>
    <n v="0"/>
    <n v="0"/>
    <n v="0"/>
    <n v="0"/>
    <n v="0"/>
    <n v="0"/>
    <n v="22.44695637324726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6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6.81"/>
    <n v="6.81"/>
    <n v="6.81"/>
    <n v="6.81"/>
    <m/>
    <n v="158.36000000000001"/>
    <n v="171.61"/>
    <m/>
    <n v="2247.0956999999999"/>
    <n v="2247.0956999999999"/>
    <n v="2300.6904"/>
    <n v="0"/>
    <n v="0"/>
    <n v="0"/>
    <n v="0"/>
    <n v="0"/>
    <n v="363.21811252233414"/>
    <n v="603.46628574829356"/>
    <n v="1126.1984906487812"/>
    <n v="42.462780806589528"/>
    <n v="0"/>
    <n v="0"/>
    <n v="0"/>
    <n v="0"/>
    <n v="0"/>
    <m/>
    <n v="2.69711171210553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02750700325943"/>
    <n v="0"/>
    <n v="0"/>
    <n v="0"/>
    <n v="108.96"/>
    <n v="2"/>
    <m/>
    <m/>
    <m/>
    <m/>
    <m/>
    <m/>
    <m/>
    <n v="1495.4760000000001"/>
    <m/>
    <n v="1235.2259976520406"/>
    <m/>
    <m/>
    <m/>
    <m/>
    <m/>
    <m/>
    <m/>
    <m/>
    <m/>
    <m/>
    <m/>
    <m/>
    <n v="805.21439999999984"/>
    <n v="18.765599999999949"/>
    <m/>
    <m/>
    <m/>
    <m/>
    <n v="-99.698400000000092"/>
    <n v="153.29309999999992"/>
    <m/>
    <n v="184.10787122854822"/>
    <n v="0"/>
    <n v="0"/>
    <n v="0"/>
    <n v="0"/>
    <n v="0"/>
    <n v="0"/>
    <n v="0"/>
    <n v="16.356665086236433"/>
    <n v="0"/>
    <n v="0"/>
    <n v="153.3295106895373"/>
    <n v="0"/>
    <n v="0"/>
    <n v="0"/>
    <n v="14.843861396830107"/>
    <n v="0"/>
    <n v="0"/>
    <m/>
    <n v="0"/>
    <n v="0"/>
    <n v="0"/>
    <n v="0"/>
    <n v="0"/>
    <n v="-0.4221659440555201"/>
    <n v="0"/>
    <n v="0"/>
    <m/>
    <m/>
    <m/>
    <n v="603.46628574829356"/>
    <n v="0"/>
    <n v="0"/>
    <n v="-99.69840000000022"/>
    <n v="153.29310000000009"/>
    <n v="0"/>
    <n v="0"/>
    <n v="-130.46615492717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7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5.295"/>
    <n v="15.295"/>
    <n v="15.295"/>
    <n v="15.295"/>
    <m/>
    <n v="158.36000000000001"/>
    <n v="171.61"/>
    <m/>
    <n v="5046.8911500000004"/>
    <n v="5046.8911500000004"/>
    <n v="5167.2628000000004"/>
    <n v="0"/>
    <n v="0"/>
    <n v="0"/>
    <n v="0"/>
    <n v="0"/>
    <n v="815.77401336697517"/>
    <n v="1355.362237961843"/>
    <n v="2529.3988126979602"/>
    <n v="95.369784498793948"/>
    <n v="0"/>
    <n v="0"/>
    <n v="0"/>
    <n v="0"/>
    <n v="0"/>
    <m/>
    <n v="6.05760993196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.8716181519608"/>
    <n v="0"/>
    <n v="0"/>
    <n v="0"/>
    <n v="420.62"/>
    <n v="22"/>
    <m/>
    <m/>
    <m/>
    <m/>
    <m/>
    <m/>
    <m/>
    <n v="2066.9663"/>
    <m/>
    <n v="2774.270430849921"/>
    <m/>
    <m/>
    <m/>
    <m/>
    <m/>
    <m/>
    <m/>
    <m/>
    <m/>
    <m/>
    <m/>
    <m/>
    <n v="3101.3100000000004"/>
    <n v="73.175900000000183"/>
    <m/>
    <m/>
    <m/>
    <m/>
    <n v="-223.91880000000023"/>
    <n v="344.29044999999985"/>
    <m/>
    <n v="413.49924969759832"/>
    <n v="0"/>
    <n v="0"/>
    <n v="0"/>
    <n v="0"/>
    <n v="0"/>
    <n v="0"/>
    <n v="0"/>
    <n v="36.736445300144851"/>
    <n v="0"/>
    <n v="0"/>
    <n v="344.37222701857172"/>
    <n v="0"/>
    <n v="0"/>
    <n v="0"/>
    <n v="33.338745971294628"/>
    <n v="0"/>
    <n v="0"/>
    <m/>
    <n v="0"/>
    <n v="0"/>
    <n v="0"/>
    <n v="0"/>
    <n v="0"/>
    <n v="-0.94816859241250739"/>
    <n v="0"/>
    <n v="0"/>
    <m/>
    <m/>
    <m/>
    <n v="1355.362237961843"/>
    <n v="0"/>
    <n v="0"/>
    <n v="-223.91880000000037"/>
    <n v="344.29044999999996"/>
    <n v="0"/>
    <n v="0"/>
    <n v="-293.02200287974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8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20.363"/>
    <n v="20.363"/>
    <n v="20.363"/>
    <n v="20.363"/>
    <m/>
    <n v="158.36000000000001"/>
    <n v="171.61"/>
    <m/>
    <n v="6719.1791100000009"/>
    <n v="6719.1791100000009"/>
    <n v="6879.4359199999999"/>
    <n v="0"/>
    <n v="0"/>
    <n v="0"/>
    <n v="0"/>
    <n v="0"/>
    <n v="1086.0808260341103"/>
    <n v="1804.4616705862707"/>
    <n v="3367.5153986903279"/>
    <n v="126.97057350434399"/>
    <n v="0"/>
    <n v="0"/>
    <n v="0"/>
    <n v="0"/>
    <n v="0"/>
    <m/>
    <n v="8.0647996760066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6.00985684396062"/>
    <n v="0"/>
    <n v="0"/>
    <n v="0"/>
    <n v="1507.02"/>
    <n v="67"/>
    <m/>
    <m/>
    <m/>
    <m/>
    <m/>
    <m/>
    <m/>
    <n v="687.86213999999995"/>
    <m/>
    <n v="3693.5252555342886"/>
    <m/>
    <m/>
    <m/>
    <m/>
    <m/>
    <m/>
    <m/>
    <m/>
    <m/>
    <m/>
    <m/>
    <m/>
    <n v="6190.6615999999995"/>
    <n v="143.43148999999903"/>
    <m/>
    <m/>
    <m/>
    <m/>
    <n v="-298.1143200000003"/>
    <n v="458.37112999999982"/>
    <m/>
    <n v="550.51227339602519"/>
    <n v="0"/>
    <n v="0"/>
    <n v="0"/>
    <n v="0"/>
    <n v="0"/>
    <n v="0"/>
    <n v="0"/>
    <n v="48.909070653602384"/>
    <n v="0"/>
    <n v="0"/>
    <n v="458.48000384303214"/>
    <n v="0"/>
    <n v="0"/>
    <n v="0"/>
    <n v="44.385543263384932"/>
    <n v="0"/>
    <n v="0"/>
    <m/>
    <n v="0"/>
    <n v="0"/>
    <n v="0"/>
    <n v="0"/>
    <n v="0"/>
    <n v="-1.2623443639945009"/>
    <n v="0"/>
    <n v="0"/>
    <m/>
    <m/>
    <m/>
    <n v="1804.4616705862707"/>
    <n v="0"/>
    <n v="0"/>
    <n v="-298.11432000000059"/>
    <n v="458.37112999999999"/>
    <n v="0"/>
    <n v="0"/>
    <n v="-390.11487706049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49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7.498000000000001"/>
    <n v="17.498000000000001"/>
    <n v="17.498000000000001"/>
    <n v="17.498000000000001"/>
    <m/>
    <n v="158.36000000000001"/>
    <n v="171.61"/>
    <m/>
    <n v="5773.8150600000008"/>
    <n v="5773.8150600000008"/>
    <n v="5911.5243200000004"/>
    <n v="0"/>
    <n v="0"/>
    <n v="0"/>
    <n v="0"/>
    <n v="0"/>
    <n v="933.27320600819439"/>
    <n v="1550.5804798859974"/>
    <n v="2893.7182363248717"/>
    <n v="109.10627585223254"/>
    <n v="0"/>
    <n v="0"/>
    <n v="0"/>
    <n v="0"/>
    <n v="0"/>
    <m/>
    <n v="6.93011170901948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0.14145632056295"/>
    <n v="0"/>
    <n v="0"/>
    <n v="0"/>
    <n v="1985.19"/>
    <n v="135"/>
    <m/>
    <m/>
    <m/>
    <m/>
    <m/>
    <m/>
    <m/>
    <m/>
    <m/>
    <n v="3173.8596926454347"/>
    <m/>
    <m/>
    <m/>
    <m/>
    <m/>
    <m/>
    <m/>
    <m/>
    <m/>
    <m/>
    <m/>
    <m/>
    <n v="5912.2"/>
    <n v="138.35493999999835"/>
    <m/>
    <m/>
    <m/>
    <m/>
    <n v="-256.1707200000003"/>
    <n v="393.87997999999988"/>
    <m/>
    <n v="473.05719981749371"/>
    <n v="0"/>
    <n v="0"/>
    <n v="0"/>
    <n v="0"/>
    <n v="0"/>
    <n v="0"/>
    <n v="0"/>
    <n v="42.027742390450044"/>
    <n v="0"/>
    <n v="0"/>
    <n v="393.97353568950393"/>
    <n v="0"/>
    <n v="0"/>
    <n v="0"/>
    <n v="38.140658843132655"/>
    <n v="0"/>
    <n v="0"/>
    <m/>
    <n v="0"/>
    <n v="0"/>
    <n v="0"/>
    <n v="0"/>
    <n v="0"/>
    <n v="-1.0847371055922892"/>
    <n v="0"/>
    <n v="0"/>
    <m/>
    <m/>
    <m/>
    <n v="1550.5804798859974"/>
    <n v="0"/>
    <n v="0"/>
    <n v="-256.17072000000007"/>
    <n v="393.8799799999997"/>
    <n v="0"/>
    <n v="0"/>
    <n v="-335.22713346779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50"/>
    <s v="Regular"/>
    <s v="Convencional"/>
    <s v="B3"/>
    <s v="Industrial"/>
    <s v="Não se aplica"/>
    <s v="Não se aplica"/>
    <s v="Não se aplica"/>
    <s v="Não se aplica"/>
    <s v="CATIVO"/>
    <x v="3"/>
    <n v="0"/>
    <n v="0"/>
    <n v="203.28"/>
    <n v="203.28"/>
    <n v="203.28"/>
    <n v="203.28"/>
    <m/>
    <n v="239.69"/>
    <n v="171.61"/>
    <m/>
    <n v="83609.064000000013"/>
    <n v="83609.064000000013"/>
    <n v="83302.111199999999"/>
    <n v="0"/>
    <n v="12289.759804515972"/>
    <n v="0"/>
    <n v="0"/>
    <n v="0"/>
    <n v="10842.140662781218"/>
    <n v="18013.601551675936"/>
    <n v="33617.273007207674"/>
    <n v="1267.5233601121174"/>
    <n v="0"/>
    <n v="0"/>
    <n v="0"/>
    <n v="0"/>
    <n v="1900.2839588320128"/>
    <m/>
    <n v="80.509378683819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54.4950989166782"/>
    <n v="0"/>
    <n v="0"/>
    <n v="0"/>
    <n v="37388.5"/>
    <n v="78"/>
    <m/>
    <m/>
    <m/>
    <m/>
    <m/>
    <m/>
    <m/>
    <m/>
    <m/>
    <n v="36871.768106124349"/>
    <m/>
    <m/>
    <m/>
    <m/>
    <m/>
    <m/>
    <m/>
    <m/>
    <m/>
    <m/>
    <m/>
    <m/>
    <n v="83302.111199999999"/>
    <n v="-306.98279999999795"/>
    <m/>
    <m/>
    <m/>
    <m/>
    <n v="-4882.785600000002"/>
    <n v="4575.8327999999983"/>
    <m/>
    <n v="3588.6325734068669"/>
    <n v="0"/>
    <n v="0"/>
    <n v="0"/>
    <n v="0"/>
    <n v="0"/>
    <n v="0"/>
    <n v="0"/>
    <n v="488.25005561382386"/>
    <n v="0"/>
    <n v="0"/>
    <n v="4576.9196671026657"/>
    <n v="0"/>
    <n v="0"/>
    <n v="0"/>
    <n v="443.09253226837382"/>
    <n v="0"/>
    <n v="-1688.0323492931948"/>
    <m/>
    <n v="0"/>
    <n v="0"/>
    <n v="0"/>
    <n v="0"/>
    <n v="-218.99558586665398"/>
    <n v="-12.601746418150682"/>
    <n v="0"/>
    <n v="0"/>
    <m/>
    <m/>
    <m/>
    <n v="18013.601551675936"/>
    <n v="0"/>
    <n v="0"/>
    <n v="-4882.7856000000029"/>
    <n v="4575.8327999999965"/>
    <n v="0"/>
    <n v="0"/>
    <n v="-3894.4434616146136"/>
    <n v="0"/>
    <n v="0"/>
    <n v="0"/>
    <n v="0"/>
    <n v="0"/>
    <n v="0"/>
    <n v="0"/>
    <n v="0"/>
    <n v="0"/>
    <n v="0"/>
    <n v="0"/>
    <n v="0"/>
    <n v="2343.614428122087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51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8.5380000000000003"/>
    <n v="8.5380000000000003"/>
    <n v="8.5380000000000003"/>
    <n v="8.5380000000000003"/>
    <m/>
    <n v="239.69"/>
    <n v="171.61"/>
    <m/>
    <n v="3511.6794"/>
    <n v="3511.6794"/>
    <n v="3498.7870199999998"/>
    <n v="0"/>
    <n v="516.18442154150614"/>
    <n v="0"/>
    <n v="0"/>
    <n v="0"/>
    <n v="455.38270847513792"/>
    <n v="756.59253270468889"/>
    <n v="1411.965156117371"/>
    <n v="53.237477610376125"/>
    <n v="0"/>
    <n v="0"/>
    <n v="0"/>
    <n v="0"/>
    <n v="79.814169817531109"/>
    <m/>
    <n v="3.3814889571155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.69263653360193"/>
    <n v="0"/>
    <n v="0"/>
    <n v="0"/>
    <n v="1632.43"/>
    <n v="5"/>
    <m/>
    <m/>
    <m/>
    <m/>
    <m/>
    <m/>
    <m/>
    <m/>
    <m/>
    <n v="1548.6577926509729"/>
    <m/>
    <m/>
    <m/>
    <m/>
    <m/>
    <m/>
    <m/>
    <m/>
    <m/>
    <m/>
    <m/>
    <m/>
    <n v="3499.6065999999996"/>
    <n v="-12.102800000001025"/>
    <m/>
    <m/>
    <m/>
    <m/>
    <n v="-205.08276000000009"/>
    <n v="192.19037999999992"/>
    <m/>
    <n v="150.7268049574368"/>
    <n v="0"/>
    <n v="0"/>
    <n v="0"/>
    <n v="0"/>
    <n v="0"/>
    <n v="0"/>
    <n v="0"/>
    <n v="20.507078782127223"/>
    <n v="0"/>
    <n v="0"/>
    <n v="192.23602970150773"/>
    <n v="0"/>
    <n v="0"/>
    <n v="0"/>
    <n v="18.610409486950886"/>
    <n v="0"/>
    <n v="-70.899351624681685"/>
    <m/>
    <n v="0"/>
    <n v="0"/>
    <n v="0"/>
    <n v="0"/>
    <n v="-9.1980731608101678"/>
    <n v="-0.52928822765727279"/>
    <n v="0"/>
    <n v="0"/>
    <m/>
    <m/>
    <m/>
    <n v="756.59253270468889"/>
    <n v="0"/>
    <n v="0"/>
    <n v="-205.08276000000023"/>
    <n v="192.19038"/>
    <n v="0"/>
    <n v="0"/>
    <n v="-163.57122331397863"/>
    <n v="0"/>
    <n v="0"/>
    <n v="0"/>
    <n v="0"/>
    <n v="0"/>
    <n v="0"/>
    <n v="0"/>
    <n v="0"/>
    <n v="0"/>
    <n v="0"/>
    <n v="0"/>
    <n v="0"/>
    <n v="98.43457294031080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52"/>
    <s v="Regular"/>
    <s v="Azul"/>
    <s v="A4"/>
    <s v="Industrial"/>
    <s v="Não se aplica"/>
    <s v="Não se aplica"/>
    <s v="Não se aplica"/>
    <s v="Ponta"/>
    <s v="CATIVO"/>
    <x v="3"/>
    <n v="19308"/>
    <n v="19308"/>
    <n v="844.88699999999994"/>
    <n v="844.88699999999994"/>
    <n v="844.88699999999994"/>
    <n v="844.88699999999994"/>
    <n v="37.64"/>
    <n v="78.42"/>
    <n v="171.61"/>
    <n v="726753.12"/>
    <n v="211247.09661000001"/>
    <n v="938000.21661"/>
    <n v="875960.01048000006"/>
    <n v="0"/>
    <n v="44439.240033468777"/>
    <n v="0"/>
    <n v="0"/>
    <n v="0"/>
    <n v="315572.17733792524"/>
    <n v="411115.19285745127"/>
    <n v="139722.53512023157"/>
    <n v="5268.1720245722472"/>
    <n v="0"/>
    <n v="0"/>
    <n v="0"/>
    <n v="0"/>
    <n v="7898.0972703940506"/>
    <m/>
    <n v="223.10126242949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2.4905208928494"/>
    <n v="0"/>
    <n v="0"/>
    <n v="0"/>
    <n v="0"/>
    <n v="0"/>
    <m/>
    <m/>
    <m/>
    <m/>
    <m/>
    <m/>
    <m/>
    <m/>
    <m/>
    <n v="144945.0256411244"/>
    <m/>
    <m/>
    <m/>
    <m/>
    <m/>
    <m/>
    <m/>
    <m/>
    <m/>
    <m/>
    <m/>
    <m/>
    <n v="875960.80560000008"/>
    <n v="-62039.441009999951"/>
    <m/>
    <m/>
    <m/>
    <m/>
    <n v="-81058.612499999945"/>
    <n v="19018.40636999999"/>
    <m/>
    <n v="26896.019922535634"/>
    <n v="0"/>
    <n v="0"/>
    <n v="0"/>
    <n v="0"/>
    <n v="0"/>
    <n v="0"/>
    <n v="0"/>
    <n v="14211.043550129747"/>
    <n v="0"/>
    <n v="0"/>
    <n v="19022.923685455346"/>
    <n v="0"/>
    <n v="0"/>
    <n v="0"/>
    <n v="711.03089091153288"/>
    <n v="0"/>
    <n v="-6103.8519830904261"/>
    <m/>
    <n v="0"/>
    <n v="0"/>
    <n v="0"/>
    <n v="0"/>
    <n v="-910.20525165348135"/>
    <n v="-34.9209692171043"/>
    <n v="0"/>
    <n v="0"/>
    <m/>
    <m/>
    <n v="411115.19285745127"/>
    <n v="0"/>
    <n v="0"/>
    <n v="0"/>
    <n v="-81058.61249999993"/>
    <n v="19018.406369999982"/>
    <n v="0"/>
    <n v="0"/>
    <n v="-88880.886490194884"/>
    <n v="0"/>
    <n v="0"/>
    <n v="0"/>
    <n v="0"/>
    <n v="0"/>
    <n v="0"/>
    <n v="0"/>
    <n v="0"/>
    <n v="0"/>
    <n v="0"/>
    <n v="0"/>
    <n v="0"/>
    <n v="8474.408432209358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53"/>
    <s v="Sistema de Compensação"/>
    <s v="Azul"/>
    <s v="A4"/>
    <s v="Industrial"/>
    <s v="Não se aplica"/>
    <s v="Não se aplica"/>
    <s v="Não se aplica"/>
    <s v="Ponta"/>
    <s v="CATIVO"/>
    <x v="3"/>
    <n v="1447"/>
    <n v="1447"/>
    <n v="52.713000000000001"/>
    <n v="52.713000000000001"/>
    <n v="52.713000000000001"/>
    <n v="52.713000000000001"/>
    <n v="37.64"/>
    <n v="78.42"/>
    <n v="171.61"/>
    <n v="54465.08"/>
    <n v="13179.831390000001"/>
    <n v="67644.911390000008"/>
    <n v="62836.243520000004"/>
    <n v="0"/>
    <n v="2772.5904882951681"/>
    <n v="0"/>
    <n v="0"/>
    <n v="0"/>
    <n v="23649.934773564215"/>
    <n v="30810.217736934537"/>
    <n v="8717.3716648412938"/>
    <n v="328.68437072801083"/>
    <n v="0"/>
    <n v="0"/>
    <n v="0"/>
    <n v="0"/>
    <n v="492.76696340964133"/>
    <m/>
    <n v="13.919419811698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5.83427467557766"/>
    <n v="0"/>
    <n v="0"/>
    <n v="0"/>
    <n v="0"/>
    <n v="0"/>
    <m/>
    <m/>
    <m/>
    <m/>
    <m/>
    <m/>
    <m/>
    <m/>
    <m/>
    <n v="9043.2059395168708"/>
    <m/>
    <m/>
    <m/>
    <m/>
    <m/>
    <m/>
    <m/>
    <m/>
    <m/>
    <m/>
    <m/>
    <m/>
    <n v="62835.448400000008"/>
    <n v="-4809.4929899999988"/>
    <m/>
    <m/>
    <m/>
    <m/>
    <n v="-5995.2374999999965"/>
    <n v="1186.5696299999995"/>
    <m/>
    <n v="1856.4418298360397"/>
    <n v="0"/>
    <n v="0"/>
    <n v="0"/>
    <n v="0"/>
    <n v="0"/>
    <n v="0"/>
    <n v="0"/>
    <n v="1065.0186460036093"/>
    <n v="0"/>
    <n v="0"/>
    <n v="1186.8514679849595"/>
    <n v="0"/>
    <n v="0"/>
    <n v="0"/>
    <n v="44.361638127488789"/>
    <n v="0"/>
    <n v="-380.82293796051454"/>
    <m/>
    <n v="0"/>
    <n v="0"/>
    <n v="0"/>
    <n v="0"/>
    <n v="-56.788244381094728"/>
    <n v="-2.1787399384074071"/>
    <n v="0"/>
    <n v="0"/>
    <m/>
    <m/>
    <n v="30810.217736934537"/>
    <n v="0"/>
    <n v="0"/>
    <n v="0"/>
    <n v="-5995.2374999999956"/>
    <n v="1186.56963"/>
    <n v="0"/>
    <n v="0"/>
    <n v="-6661.0028356801377"/>
    <n v="0"/>
    <n v="0"/>
    <n v="0"/>
    <n v="0"/>
    <n v="0"/>
    <n v="0"/>
    <n v="0"/>
    <n v="0"/>
    <n v="0"/>
    <n v="0"/>
    <n v="0"/>
    <n v="0"/>
    <n v="528.7233579011772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54"/>
    <s v="Regular"/>
    <s v="Azul"/>
    <s v="A4"/>
    <s v="Industrial"/>
    <s v="Não se aplica"/>
    <s v="Não se aplica"/>
    <s v="Não se aplica"/>
    <s v="Fora ponta"/>
    <s v="CATIVO"/>
    <x v="3"/>
    <n v="21488"/>
    <n v="21488"/>
    <n v="7324.3530000000001"/>
    <n v="7324.3530000000001"/>
    <n v="7324.3530000000001"/>
    <n v="7324.3530000000001"/>
    <n v="12.58"/>
    <n v="78.42"/>
    <n v="171.61"/>
    <n v="270319.03999999998"/>
    <n v="1831307.9805900001"/>
    <n v="2101627.0205899999"/>
    <n v="2190292.4391200002"/>
    <n v="0"/>
    <n v="385245.22339301842"/>
    <n v="0"/>
    <n v="0"/>
    <n v="0"/>
    <n v="142410.41831049777"/>
    <n v="127847.34753797163"/>
    <n v="1211259.2207898493"/>
    <n v="45669.955358162471"/>
    <n v="0"/>
    <n v="0"/>
    <n v="0"/>
    <n v="0"/>
    <n v="68468.863216859158"/>
    <m/>
    <n v="1934.0721312782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273.940910646161"/>
    <n v="0"/>
    <n v="0"/>
    <n v="0"/>
    <n v="0"/>
    <n v="0"/>
    <m/>
    <m/>
    <m/>
    <m/>
    <m/>
    <m/>
    <m/>
    <m/>
    <m/>
    <n v="1256533.1617004955"/>
    <m/>
    <m/>
    <m/>
    <m/>
    <m/>
    <m/>
    <m/>
    <m/>
    <m/>
    <m/>
    <m/>
    <m/>
    <n v="2190291.6440000003"/>
    <n v="88664.593410000205"/>
    <m/>
    <m/>
    <m/>
    <m/>
    <n v="-76205.767500000002"/>
    <n v="164871.18602999992"/>
    <m/>
    <n v="116379.58948495681"/>
    <n v="0"/>
    <n v="0"/>
    <n v="0"/>
    <n v="0"/>
    <n v="0"/>
    <n v="0"/>
    <n v="0"/>
    <n v="6413.1149763418944"/>
    <n v="0"/>
    <n v="0"/>
    <n v="164910.34678523405"/>
    <n v="0"/>
    <n v="0"/>
    <n v="0"/>
    <n v="6163.9500180977557"/>
    <n v="0"/>
    <n v="-52914.492214821978"/>
    <m/>
    <n v="0"/>
    <n v="0"/>
    <n v="0"/>
    <n v="0"/>
    <n v="-7890.5990571093353"/>
    <n v="-302.7310227855387"/>
    <n v="0"/>
    <n v="0"/>
    <m/>
    <m/>
    <n v="127847.34753797163"/>
    <n v="0"/>
    <n v="0"/>
    <n v="0"/>
    <n v="-76205.767500000075"/>
    <n v="164871.18602999998"/>
    <n v="0"/>
    <n v="0"/>
    <n v="-27639.906726908928"/>
    <n v="0"/>
    <n v="0"/>
    <n v="0"/>
    <n v="0"/>
    <n v="0"/>
    <n v="0"/>
    <n v="0"/>
    <n v="0"/>
    <n v="0"/>
    <n v="0"/>
    <n v="0"/>
    <n v="0"/>
    <n v="73464.92350299852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55"/>
    <s v="Sistema de Compensação"/>
    <s v="Azul"/>
    <s v="A4"/>
    <s v="Industrial"/>
    <s v="Não se aplica"/>
    <s v="Não se aplica"/>
    <s v="Não se aplica"/>
    <s v="Fora ponta"/>
    <s v="CATIVO"/>
    <x v="3"/>
    <n v="1912"/>
    <n v="1912"/>
    <n v="504.80200000000002"/>
    <n v="504.80200000000002"/>
    <n v="504.80200000000002"/>
    <n v="504.80200000000002"/>
    <n v="12.58"/>
    <n v="78.42"/>
    <n v="171.61"/>
    <n v="24052.959999999999"/>
    <n v="126215.64406000002"/>
    <n v="150268.60406000001"/>
    <n v="155952.80207999999"/>
    <n v="0"/>
    <n v="26551.500079152724"/>
    <n v="0"/>
    <n v="0"/>
    <n v="0"/>
    <n v="12671.664175803786"/>
    <n v="11375.843656580499"/>
    <n v="83481.240892288712"/>
    <n v="3147.6206573756253"/>
    <n v="0"/>
    <n v="0"/>
    <n v="0"/>
    <n v="0"/>
    <n v="4718.9450166583911"/>
    <m/>
    <n v="133.29825583413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0.3269312082589"/>
    <n v="0"/>
    <n v="0"/>
    <n v="0"/>
    <n v="0"/>
    <n v="0"/>
    <m/>
    <m/>
    <m/>
    <m/>
    <m/>
    <m/>
    <m/>
    <m/>
    <m/>
    <n v="86601.567823496967"/>
    <m/>
    <m/>
    <m/>
    <m/>
    <m/>
    <m/>
    <m/>
    <m/>
    <m/>
    <m/>
    <m/>
    <m/>
    <n v="155952.272"/>
    <n v="5683.637939999986"/>
    <m/>
    <m/>
    <m/>
    <m/>
    <n v="-5678.8950000000004"/>
    <n v="11363.093019999997"/>
    <m/>
    <n v="8149.6416986647237"/>
    <n v="0"/>
    <n v="0"/>
    <n v="0"/>
    <n v="0"/>
    <n v="0"/>
    <n v="0"/>
    <n v="0"/>
    <n v="570.63830206467355"/>
    <n v="0"/>
    <n v="0"/>
    <n v="11365.792019838438"/>
    <n v="0"/>
    <n v="0"/>
    <n v="0"/>
    <n v="424.82582380119902"/>
    <n v="0"/>
    <n v="-3646.9216460520875"/>
    <m/>
    <n v="0"/>
    <n v="0"/>
    <n v="0"/>
    <n v="0"/>
    <n v="-543.82826513507825"/>
    <n v="-20.864535852407101"/>
    <n v="0"/>
    <n v="0"/>
    <m/>
    <m/>
    <n v="11375.843656580499"/>
    <n v="0"/>
    <n v="0"/>
    <n v="0"/>
    <n v="-5678.8950000000041"/>
    <n v="11363.09302"/>
    <n v="0"/>
    <n v="0"/>
    <n v="-2459.3960192595805"/>
    <n v="0"/>
    <n v="0"/>
    <n v="0"/>
    <n v="0"/>
    <n v="0"/>
    <n v="0"/>
    <n v="0"/>
    <n v="0"/>
    <n v="0"/>
    <n v="0"/>
    <n v="0"/>
    <n v="0"/>
    <n v="5063.278669687365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56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97031.77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57"/>
    <s v="Sistema de Compensação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9194.99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58"/>
    <s v="Regular"/>
    <s v="Verde"/>
    <s v="A4"/>
    <s v="Industrial"/>
    <s v="Não se aplica"/>
    <s v="Não se aplica"/>
    <s v="Não se aplica"/>
    <s v="Ponta"/>
    <s v="CATIVO"/>
    <x v="3"/>
    <n v="0"/>
    <n v="0"/>
    <n v="146.04599999999999"/>
    <n v="146.04599999999999"/>
    <n v="146.04599999999999"/>
    <n v="146.04599999999999"/>
    <m/>
    <n v="984.21"/>
    <n v="171.61"/>
    <m/>
    <n v="168802.88772"/>
    <n v="168802.88772"/>
    <n v="157415.68109999999"/>
    <n v="0"/>
    <n v="7681.7056599616053"/>
    <n v="0"/>
    <n v="0"/>
    <n v="0"/>
    <n v="57499.575746986055"/>
    <n v="74787.545415536253"/>
    <n v="24152.24445892686"/>
    <n v="910.64894062836618"/>
    <n v="0"/>
    <n v="0"/>
    <n v="0"/>
    <n v="0"/>
    <n v="1365.2541865976982"/>
    <m/>
    <n v="38.564976112520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2.75249899018104"/>
    <n v="0"/>
    <n v="0"/>
    <n v="0"/>
    <n v="0"/>
    <n v="0"/>
    <m/>
    <m/>
    <m/>
    <m/>
    <m/>
    <m/>
    <m/>
    <m/>
    <m/>
    <n v="25054.996957917039"/>
    <m/>
    <m/>
    <m/>
    <m/>
    <m/>
    <m/>
    <m/>
    <m/>
    <m/>
    <m/>
    <m/>
    <m/>
    <n v="157419.99250000002"/>
    <n v="-11382.925220000005"/>
    <m/>
    <m/>
    <m/>
    <m/>
    <n v="-14674.702080000003"/>
    <n v="3287.4954599999983"/>
    <m/>
    <n v="4782.0643346244469"/>
    <n v="0"/>
    <n v="0"/>
    <n v="0"/>
    <n v="0"/>
    <n v="0"/>
    <n v="0"/>
    <n v="0"/>
    <n v="2589.3568373089656"/>
    <n v="0"/>
    <n v="0"/>
    <n v="3288.2763169110331"/>
    <n v="0"/>
    <n v="0"/>
    <n v="0"/>
    <n v="122.90781784317392"/>
    <n v="0"/>
    <n v="-1055.1034241530806"/>
    <m/>
    <n v="0"/>
    <n v="0"/>
    <n v="0"/>
    <n v="0"/>
    <n v="-157.33682277391449"/>
    <n v="-6.0363905117266725"/>
    <n v="0"/>
    <n v="0"/>
    <m/>
    <m/>
    <m/>
    <n v="74787.545415536253"/>
    <n v="0"/>
    <n v="0"/>
    <n v="-14674.702080000017"/>
    <n v="3287.4954599999983"/>
    <n v="0"/>
    <n v="0"/>
    <n v="-16168.663796532295"/>
    <n v="0"/>
    <n v="0"/>
    <n v="0"/>
    <n v="0"/>
    <n v="0"/>
    <n v="0"/>
    <n v="0"/>
    <n v="0"/>
    <n v="0"/>
    <n v="0"/>
    <n v="0"/>
    <n v="0"/>
    <n v="1464.874538122196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59"/>
    <s v="Sistema de Compensação"/>
    <s v="Verde"/>
    <s v="A4"/>
    <s v="Industrial"/>
    <s v="Não se aplica"/>
    <s v="Não se aplica"/>
    <s v="Não se aplica"/>
    <s v="Ponta"/>
    <s v="CATIVO"/>
    <x v="3"/>
    <n v="0"/>
    <n v="0"/>
    <n v="0.38600000000000001"/>
    <n v="0.38600000000000001"/>
    <n v="0.38600000000000001"/>
    <n v="0.38600000000000001"/>
    <m/>
    <n v="984.21"/>
    <n v="171.61"/>
    <m/>
    <n v="446.14652000000007"/>
    <n v="446.14652000000007"/>
    <n v="416.05009999999999"/>
    <n v="0"/>
    <n v="20.302770255571396"/>
    <n v="0"/>
    <n v="0"/>
    <n v="0"/>
    <n v="151.97154484434094"/>
    <n v="197.66369863191733"/>
    <n v="63.834451892867783"/>
    <n v="2.4068477814014035"/>
    <n v="0"/>
    <n v="0"/>
    <n v="0"/>
    <n v="0"/>
    <n v="3.6083707600804651"/>
    <m/>
    <n v="0.10192734329891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859774633349073"/>
    <n v="0"/>
    <n v="0"/>
    <n v="0"/>
    <n v="0"/>
    <n v="0"/>
    <m/>
    <m/>
    <m/>
    <m/>
    <m/>
    <m/>
    <m/>
    <m/>
    <m/>
    <n v="66.220429356202686"/>
    <m/>
    <m/>
    <m/>
    <m/>
    <m/>
    <m/>
    <m/>
    <m/>
    <m/>
    <m/>
    <m/>
    <m/>
    <n v="420.36149999999998"/>
    <n v="-25.815020000000061"/>
    <m/>
    <m/>
    <m/>
    <m/>
    <n v="-38.785280000000007"/>
    <n v="8.6888599999999965"/>
    <m/>
    <n v="12.63900985419005"/>
    <n v="0"/>
    <n v="0"/>
    <n v="0"/>
    <n v="0"/>
    <n v="0"/>
    <n v="0"/>
    <n v="0"/>
    <n v="6.8436776029556654"/>
    <n v="0"/>
    <n v="0"/>
    <n v="8.6909238070721599"/>
    <n v="0"/>
    <n v="0"/>
    <n v="0"/>
    <n v="0.32484571770171833"/>
    <n v="0"/>
    <n v="-2.7886413987585357"/>
    <m/>
    <n v="0"/>
    <n v="0"/>
    <n v="0"/>
    <n v="0"/>
    <n v="-0.41584167721629495"/>
    <n v="-1.5954197564647402E-2"/>
    <n v="0"/>
    <n v="0"/>
    <m/>
    <m/>
    <m/>
    <n v="197.66369863191733"/>
    <n v="0"/>
    <n v="0"/>
    <n v="-38.785280000000057"/>
    <n v="8.6888600000000054"/>
    <n v="0"/>
    <n v="0"/>
    <n v="-42.733825133598117"/>
    <n v="0"/>
    <n v="0"/>
    <n v="0"/>
    <n v="0"/>
    <n v="0"/>
    <n v="0"/>
    <n v="0"/>
    <n v="0"/>
    <n v="0"/>
    <n v="0"/>
    <n v="0"/>
    <n v="0"/>
    <n v="3.871667637012775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60"/>
    <s v="Regular"/>
    <s v="Verde"/>
    <s v="A4"/>
    <s v="Industrial"/>
    <s v="Não se aplica"/>
    <s v="Não se aplica"/>
    <s v="Não se aplica"/>
    <s v="Fora ponta"/>
    <s v="CATIVO"/>
    <x v="3"/>
    <n v="0"/>
    <n v="0"/>
    <n v="1579.56"/>
    <n v="1579.56"/>
    <n v="1579.56"/>
    <n v="1579.56"/>
    <m/>
    <n v="78.42"/>
    <n v="171.61"/>
    <m/>
    <n v="394937.38679999998"/>
    <n v="394937.38679999998"/>
    <n v="418646.58239999996"/>
    <n v="0"/>
    <n v="83081.460582617481"/>
    <n v="0"/>
    <n v="0"/>
    <n v="0"/>
    <n v="0"/>
    <n v="0"/>
    <n v="261218.51510854464"/>
    <n v="9849.1204186279811"/>
    <n v="0"/>
    <n v="0"/>
    <n v="0"/>
    <n v="0"/>
    <n v="14765.901859566577"/>
    <m/>
    <n v="417.09936368193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63.7164818271667"/>
    <n v="0"/>
    <n v="0"/>
    <n v="0"/>
    <n v="0"/>
    <n v="0"/>
    <m/>
    <m/>
    <m/>
    <m/>
    <m/>
    <m/>
    <m/>
    <m/>
    <m/>
    <n v="270982.23159037181"/>
    <m/>
    <m/>
    <m/>
    <m/>
    <m/>
    <m/>
    <m/>
    <m/>
    <m/>
    <m/>
    <m/>
    <m/>
    <n v="418646.58239999996"/>
    <n v="23709.165599999949"/>
    <m/>
    <m/>
    <m/>
    <m/>
    <n v="-11846.699999999999"/>
    <n v="35555.895599999982"/>
    <m/>
    <n v="23715.22023512912"/>
    <n v="0"/>
    <n v="0"/>
    <n v="0"/>
    <n v="0"/>
    <n v="0"/>
    <n v="0"/>
    <n v="0"/>
    <n v="0"/>
    <n v="0"/>
    <n v="0"/>
    <n v="35564.340955178457"/>
    <n v="0"/>
    <n v="0"/>
    <n v="0"/>
    <n v="1329.3090721578392"/>
    <n v="0"/>
    <n v="-11411.467377779874"/>
    <m/>
    <n v="0"/>
    <n v="0"/>
    <n v="0"/>
    <n v="0"/>
    <n v="-1701.6758540512183"/>
    <n v="-65.286560376203283"/>
    <n v="0"/>
    <n v="0"/>
    <m/>
    <m/>
    <m/>
    <n v="0"/>
    <n v="0"/>
    <n v="0"/>
    <n v="-11846.699999999997"/>
    <n v="35555.895599999989"/>
    <n v="0"/>
    <n v="0"/>
    <n v="0"/>
    <n v="0"/>
    <n v="0"/>
    <n v="0"/>
    <n v="0"/>
    <n v="0"/>
    <n v="0"/>
    <n v="0"/>
    <n v="0"/>
    <n v="0"/>
    <n v="0"/>
    <n v="0"/>
    <n v="0"/>
    <n v="15843.34542155414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61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10.519"/>
    <n v="10.519"/>
    <n v="10.519"/>
    <n v="10.519"/>
    <m/>
    <n v="78.42"/>
    <n v="171.61"/>
    <m/>
    <n v="2630.0655700000002"/>
    <n v="2630.0655700000002"/>
    <n v="2787.9557599999998"/>
    <n v="0"/>
    <n v="553.27678838952204"/>
    <n v="0"/>
    <n v="0"/>
    <n v="0"/>
    <n v="0"/>
    <n v="0"/>
    <n v="1739.5715011944981"/>
    <n v="65.589719721661567"/>
    <n v="0"/>
    <n v="0"/>
    <n v="0"/>
    <n v="0"/>
    <n v="98.332777267581378"/>
    <m/>
    <n v="2.77765213513275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020976520258785"/>
    <n v="0"/>
    <n v="0"/>
    <n v="0"/>
    <n v="0"/>
    <n v="0"/>
    <m/>
    <m/>
    <m/>
    <m/>
    <m/>
    <m/>
    <m/>
    <m/>
    <m/>
    <n v="1804.5924777147568"/>
    <m/>
    <m/>
    <m/>
    <m/>
    <m/>
    <m/>
    <m/>
    <m/>
    <m/>
    <m/>
    <m/>
    <m/>
    <n v="2788.2208000000001"/>
    <n v="158.12522999999965"/>
    <m/>
    <m/>
    <m/>
    <m/>
    <n v="-78.892499999999998"/>
    <n v="236.78268999999992"/>
    <m/>
    <n v="157.93031075319777"/>
    <n v="0"/>
    <n v="0"/>
    <n v="0"/>
    <n v="0"/>
    <n v="0"/>
    <n v="0"/>
    <n v="0"/>
    <n v="0"/>
    <n v="0"/>
    <n v="0"/>
    <n v="236.83893141604131"/>
    <n v="0"/>
    <n v="0"/>
    <n v="0"/>
    <n v="8.8524665919802459"/>
    <n v="0"/>
    <n v="-75.99409034596124"/>
    <m/>
    <n v="0"/>
    <n v="0"/>
    <n v="0"/>
    <n v="0"/>
    <n v="-11.332224359166347"/>
    <n v="-0.43477254969566337"/>
    <n v="0"/>
    <n v="0"/>
    <m/>
    <m/>
    <m/>
    <n v="0"/>
    <n v="0"/>
    <n v="0"/>
    <n v="-78.892500000000041"/>
    <n v="236.78269"/>
    <n v="0"/>
    <n v="0"/>
    <n v="0"/>
    <n v="0"/>
    <n v="0"/>
    <n v="0"/>
    <n v="0"/>
    <n v="0"/>
    <n v="0"/>
    <n v="0"/>
    <n v="0"/>
    <n v="0"/>
    <n v="0"/>
    <n v="0"/>
    <n v="0"/>
    <n v="105.5079582221175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62"/>
    <s v="Regular"/>
    <s v="Verde"/>
    <s v="A4"/>
    <s v="Industrial"/>
    <s v="Não se aplica"/>
    <s v="Não se aplica"/>
    <s v="Não se aplica"/>
    <s v="Não se aplica"/>
    <s v="CATIVO"/>
    <x v="3"/>
    <n v="9770"/>
    <n v="9770"/>
    <n v="0"/>
    <n v="0"/>
    <n v="0"/>
    <n v="0"/>
    <n v="12.58"/>
    <m/>
    <m/>
    <n v="122906.6"/>
    <m/>
    <n v="122906.6"/>
    <n v="113234.3"/>
    <n v="0"/>
    <n v="0"/>
    <n v="0"/>
    <n v="0"/>
    <n v="0"/>
    <n v="64750.083157742149"/>
    <n v="58128.6571782382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0222.7"/>
    <n v="51"/>
    <m/>
    <m/>
    <m/>
    <m/>
    <m/>
    <m/>
    <m/>
    <m/>
    <m/>
    <n v="0"/>
    <m/>
    <m/>
    <m/>
    <m/>
    <m/>
    <m/>
    <m/>
    <m/>
    <m/>
    <m/>
    <m/>
    <m/>
    <n v="113234.3"/>
    <n v="-9672.3299999999872"/>
    <m/>
    <m/>
    <m/>
    <m/>
    <n v="-9672.3000000000029"/>
    <n v="0"/>
    <m/>
    <n v="2915.8662192321499"/>
    <n v="0"/>
    <n v="0"/>
    <n v="0"/>
    <n v="0"/>
    <m/>
    <m/>
    <m/>
    <n v="2915.86621923214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128.657178238216"/>
    <m/>
    <n v="0"/>
    <n v="0"/>
    <n v="-9672.3000000000029"/>
    <m/>
    <n v="0"/>
    <m/>
    <n v="-12567.10204401992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63"/>
    <s v="Sistema de Compensação"/>
    <s v="Verde"/>
    <s v="A4"/>
    <s v="Industrial"/>
    <s v="Não se aplica"/>
    <s v="Não se aplica"/>
    <s v="Não se aplica"/>
    <s v="Não se aplica"/>
    <s v="CATIVO"/>
    <x v="3"/>
    <n v="824"/>
    <n v="824"/>
    <n v="0"/>
    <n v="0"/>
    <n v="0"/>
    <n v="0"/>
    <n v="12.58"/>
    <m/>
    <m/>
    <n v="10365.92"/>
    <m/>
    <n v="10365.92"/>
    <n v="9550.16"/>
    <n v="0"/>
    <n v="0"/>
    <n v="0"/>
    <n v="0"/>
    <n v="0"/>
    <n v="5461.0100841330122"/>
    <n v="4902.56023693636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044.96"/>
    <n v="3"/>
    <m/>
    <m/>
    <m/>
    <m/>
    <m/>
    <m/>
    <m/>
    <m/>
    <m/>
    <n v="0"/>
    <m/>
    <m/>
    <m/>
    <m/>
    <m/>
    <m/>
    <m/>
    <m/>
    <m/>
    <m/>
    <m/>
    <m/>
    <n v="9550.16"/>
    <n v="-815.79000000000087"/>
    <m/>
    <m/>
    <m/>
    <m/>
    <n v="-815.76000000000022"/>
    <n v="0"/>
    <m/>
    <n v="245.92361971824903"/>
    <n v="0"/>
    <n v="0"/>
    <n v="0"/>
    <n v="0"/>
    <m/>
    <m/>
    <m/>
    <n v="245.923619718249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2.5602369363651"/>
    <m/>
    <n v="0"/>
    <n v="0"/>
    <n v="-815.76000000000022"/>
    <m/>
    <n v="0"/>
    <m/>
    <n v="-1059.907071061660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64"/>
    <s v="Regular"/>
    <s v="Convencional"/>
    <s v="B3"/>
    <s v="Comercial"/>
    <s v="Não se aplica"/>
    <s v="Não se aplica"/>
    <s v="Não se aplica"/>
    <s v="Não se aplica"/>
    <s v="CATIVO"/>
    <x v="3"/>
    <n v="0"/>
    <n v="0"/>
    <n v="615.39700000000005"/>
    <n v="615.39700000000005"/>
    <n v="615.39700000000005"/>
    <n v="615.39700000000005"/>
    <m/>
    <n v="239.69"/>
    <n v="171.61"/>
    <m/>
    <n v="253112.78610000003"/>
    <n v="253112.78610000003"/>
    <n v="252183.53663000005"/>
    <n v="0"/>
    <n v="37205.240625834886"/>
    <n v="0"/>
    <n v="0"/>
    <n v="0"/>
    <n v="32822.810101601601"/>
    <n v="54533.236688787467"/>
    <n v="101770.80360496155"/>
    <n v="3837.2199588888075"/>
    <n v="0"/>
    <n v="0"/>
    <n v="0"/>
    <n v="0"/>
    <n v="5752.7993280861092"/>
    <m/>
    <n v="243.728995050603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52.4523828612128"/>
    <n v="0"/>
    <n v="0"/>
    <n v="0"/>
    <n v="112985.82"/>
    <n v="552"/>
    <m/>
    <m/>
    <m/>
    <m/>
    <m/>
    <m/>
    <m/>
    <m/>
    <m/>
    <n v="111623.25598782276"/>
    <m/>
    <m/>
    <m/>
    <m/>
    <m/>
    <m/>
    <m/>
    <m/>
    <m/>
    <m/>
    <m/>
    <m/>
    <n v="252184.766"/>
    <n v="-928.05010000005132"/>
    <m/>
    <m/>
    <m/>
    <m/>
    <n v="-14781.835940000008"/>
    <n v="13852.586469999995"/>
    <m/>
    <n v="10863.999015037727"/>
    <n v="0"/>
    <n v="0"/>
    <n v="0"/>
    <n v="0"/>
    <n v="0"/>
    <n v="0"/>
    <n v="0"/>
    <n v="1478.0973016262287"/>
    <n v="0"/>
    <n v="0"/>
    <n v="13855.876782644511"/>
    <n v="0"/>
    <n v="0"/>
    <n v="0"/>
    <n v="1341.390274893547"/>
    <n v="0"/>
    <n v="-5110.242245464302"/>
    <m/>
    <n v="0"/>
    <n v="0"/>
    <n v="0"/>
    <n v="0"/>
    <n v="-662.97336951781472"/>
    <n v="-38.149729144483814"/>
    <n v="0"/>
    <n v="0"/>
    <m/>
    <m/>
    <m/>
    <n v="54533.236688787467"/>
    <n v="0"/>
    <n v="0"/>
    <n v="-14781.83593999999"/>
    <n v="13852.586469999995"/>
    <n v="0"/>
    <n v="0"/>
    <n v="-11789.791533585441"/>
    <n v="0"/>
    <n v="0"/>
    <n v="0"/>
    <n v="0"/>
    <n v="0"/>
    <n v="0"/>
    <n v="0"/>
    <n v="0"/>
    <n v="0"/>
    <n v="0"/>
    <n v="0"/>
    <n v="0"/>
    <n v="7094.909918452617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65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3.4569999999999999"/>
    <n v="3.4569999999999999"/>
    <n v="3.4569999999999999"/>
    <n v="3.4569999999999999"/>
    <m/>
    <n v="239.69"/>
    <n v="171.61"/>
    <m/>
    <n v="1421.8640999999998"/>
    <n v="1421.8640999999998"/>
    <n v="1416.6440299999999"/>
    <n v="0"/>
    <n v="209.00088372792067"/>
    <n v="0"/>
    <n v="0"/>
    <n v="0"/>
    <n v="184.38252789863571"/>
    <n v="306.34110863903834"/>
    <n v="571.69870516488061"/>
    <n v="21.555628964519823"/>
    <n v="0"/>
    <n v="0"/>
    <n v="0"/>
    <n v="0"/>
    <n v="32.316418957508205"/>
    <m/>
    <n v="1.3691505416664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346268973607614"/>
    <n v="0"/>
    <n v="0"/>
    <n v="0"/>
    <n v="1563.93"/>
    <n v="7"/>
    <m/>
    <m/>
    <m/>
    <m/>
    <m/>
    <m/>
    <m/>
    <m/>
    <m/>
    <n v="627.04497413848821"/>
    <m/>
    <m/>
    <m/>
    <m/>
    <m/>
    <m/>
    <m/>
    <m/>
    <m/>
    <m/>
    <m/>
    <m/>
    <n v="1417.8733999999999"/>
    <n v="-4.0206999999998061"/>
    <m/>
    <m/>
    <m/>
    <m/>
    <n v="-83.037140000000036"/>
    <n v="77.817069999999958"/>
    <m/>
    <n v="61.028644265385537"/>
    <n v="0"/>
    <n v="0"/>
    <n v="0"/>
    <n v="0"/>
    <n v="0"/>
    <n v="0"/>
    <n v="0"/>
    <n v="8.3032292515593724"/>
    <n v="0"/>
    <n v="0"/>
    <n v="77.835553370591811"/>
    <n v="0"/>
    <n v="0"/>
    <n v="0"/>
    <n v="7.5352758955714663"/>
    <n v="0"/>
    <n v="-28.706846868883162"/>
    <m/>
    <n v="0"/>
    <n v="0"/>
    <n v="0"/>
    <n v="0"/>
    <n v="-3.7242608241884234"/>
    <n v="-0.21430655926577558"/>
    <n v="0"/>
    <n v="0"/>
    <m/>
    <m/>
    <m/>
    <n v="306.34110863903834"/>
    <n v="0"/>
    <n v="0"/>
    <n v="-83.037140000000022"/>
    <n v="77.817070000000058"/>
    <n v="0"/>
    <n v="0"/>
    <n v="-66.229294799300106"/>
    <n v="0"/>
    <n v="0"/>
    <n v="0"/>
    <n v="0"/>
    <n v="0"/>
    <n v="0"/>
    <n v="0"/>
    <n v="0"/>
    <n v="0"/>
    <n v="0"/>
    <n v="0"/>
    <n v="0"/>
    <n v="39.85574123385504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66"/>
    <s v="Regular"/>
    <s v="Verde"/>
    <s v="A4"/>
    <s v="Comercial"/>
    <s v="Não se aplica"/>
    <s v="Não se aplica"/>
    <s v="Não se aplica"/>
    <s v="Ponta"/>
    <s v="CATIVO"/>
    <x v="3"/>
    <n v="0"/>
    <n v="0"/>
    <n v="9.4529999999999994"/>
    <n v="9.4529999999999994"/>
    <n v="9.4529999999999994"/>
    <n v="9.4529999999999994"/>
    <m/>
    <n v="984.21"/>
    <n v="171.61"/>
    <m/>
    <n v="10925.96646"/>
    <n v="10925.96646"/>
    <n v="10188.91605"/>
    <n v="0"/>
    <n v="497.20747985988697"/>
    <n v="0"/>
    <n v="0"/>
    <n v="0"/>
    <n v="3721.7280140247535"/>
    <n v="4840.7122879987419"/>
    <n v="1563.2825744644535"/>
    <n v="58.942829216547835"/>
    <n v="0"/>
    <n v="0"/>
    <n v="0"/>
    <n v="0"/>
    <n v="88.367691178861747"/>
    <m/>
    <n v="2.496163668923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431722696644762"/>
    <n v="0"/>
    <n v="0"/>
    <n v="0"/>
    <n v="0"/>
    <n v="0"/>
    <m/>
    <m/>
    <m/>
    <m/>
    <m/>
    <m/>
    <m/>
    <m/>
    <m/>
    <n v="1621.7142971610983"/>
    <m/>
    <m/>
    <m/>
    <m/>
    <m/>
    <m/>
    <m/>
    <m/>
    <m/>
    <m/>
    <m/>
    <m/>
    <n v="10185.682499999999"/>
    <n v="-740.31396000000132"/>
    <m/>
    <m/>
    <m/>
    <m/>
    <n v="-949.83744000000013"/>
    <n v="212.7870299999999"/>
    <m/>
    <n v="309.52476723227574"/>
    <n v="0"/>
    <n v="0"/>
    <n v="0"/>
    <n v="0"/>
    <n v="0"/>
    <n v="0"/>
    <n v="0"/>
    <n v="167.59918233352255"/>
    <n v="0"/>
    <n v="0"/>
    <n v="212.83757188666596"/>
    <n v="0"/>
    <n v="0"/>
    <n v="0"/>
    <n v="7.9553538068247249"/>
    <n v="0"/>
    <n v="-68.292816431255005"/>
    <m/>
    <n v="0"/>
    <n v="0"/>
    <n v="0"/>
    <n v="0"/>
    <n v="-10.183811851620817"/>
    <n v="-0.39071251186168876"/>
    <n v="0"/>
    <n v="0"/>
    <m/>
    <m/>
    <m/>
    <n v="4840.7122879987419"/>
    <n v="0"/>
    <n v="0"/>
    <n v="-949.83743999999933"/>
    <n v="212.78702999999973"/>
    <n v="0"/>
    <n v="0"/>
    <n v="-1046.5358782070025"/>
    <n v="0"/>
    <n v="0"/>
    <n v="0"/>
    <n v="0"/>
    <n v="0"/>
    <n v="0"/>
    <n v="0"/>
    <n v="0"/>
    <n v="0"/>
    <n v="0"/>
    <n v="0"/>
    <n v="0"/>
    <n v="94.81573619865740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67"/>
    <s v="Regular"/>
    <s v="Verde"/>
    <s v="A4"/>
    <s v="Comercial"/>
    <s v="Não se aplica"/>
    <s v="Não se aplica"/>
    <s v="Não se aplica"/>
    <s v="Fora ponta"/>
    <s v="CATIVO"/>
    <x v="3"/>
    <n v="0"/>
    <n v="0"/>
    <n v="84.527000000000001"/>
    <n v="84.527000000000001"/>
    <n v="84.527000000000001"/>
    <n v="84.527000000000001"/>
    <m/>
    <n v="78.42"/>
    <n v="171.61"/>
    <m/>
    <n v="21134.285810000001"/>
    <n v="21134.285810000001"/>
    <n v="22403.036079999998"/>
    <n v="0"/>
    <n v="4445.9385010173137"/>
    <n v="0"/>
    <n v="0"/>
    <n v="0"/>
    <n v="0"/>
    <n v="0"/>
    <n v="13978.587344944133"/>
    <n v="527.05601662828087"/>
    <n v="0"/>
    <n v="0"/>
    <n v="0"/>
    <n v="0"/>
    <n v="790.16775968217996"/>
    <m/>
    <n v="22.320239759137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48579544898894"/>
    <n v="0"/>
    <n v="0"/>
    <n v="0"/>
    <n v="0"/>
    <n v="0"/>
    <m/>
    <m/>
    <m/>
    <m/>
    <m/>
    <m/>
    <m/>
    <m/>
    <m/>
    <n v="14501.073140393122"/>
    <m/>
    <m/>
    <m/>
    <m/>
    <m/>
    <m/>
    <m/>
    <m/>
    <m/>
    <m/>
    <m/>
    <m/>
    <n v="22403.831200000001"/>
    <n v="1269.5153900000005"/>
    <m/>
    <m/>
    <m/>
    <m/>
    <n v="-633.95249999999999"/>
    <n v="1902.7027699999992"/>
    <m/>
    <n v="1269.0726663214737"/>
    <n v="0"/>
    <n v="0"/>
    <n v="0"/>
    <n v="0"/>
    <n v="0"/>
    <n v="0"/>
    <n v="0"/>
    <n v="0"/>
    <n v="0"/>
    <n v="0"/>
    <n v="1903.1547063222479"/>
    <n v="0"/>
    <n v="0"/>
    <n v="0"/>
    <n v="71.135321192158358"/>
    <n v="0"/>
    <n v="-610.66189511104312"/>
    <m/>
    <n v="0"/>
    <n v="0"/>
    <n v="0"/>
    <n v="0"/>
    <n v="-91.06178614005637"/>
    <n v="-3.4936799418314806"/>
    <n v="0"/>
    <n v="0"/>
    <m/>
    <m/>
    <m/>
    <n v="0"/>
    <n v="0"/>
    <n v="0"/>
    <n v="-633.95250000000033"/>
    <n v="1902.7027699999981"/>
    <n v="0"/>
    <n v="0"/>
    <n v="0"/>
    <n v="0"/>
    <n v="0"/>
    <n v="0"/>
    <n v="0"/>
    <n v="0"/>
    <n v="0"/>
    <n v="0"/>
    <n v="0"/>
    <n v="0"/>
    <n v="0"/>
    <n v="0"/>
    <n v="0"/>
    <n v="847.8250009165254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68"/>
    <s v="Regular"/>
    <s v="Verde"/>
    <s v="A4"/>
    <s v="Comercial"/>
    <s v="Não se aplica"/>
    <s v="Não se aplica"/>
    <s v="Não se aplica"/>
    <s v="Não se aplica"/>
    <s v="CATIVO"/>
    <x v="3"/>
    <n v="493"/>
    <n v="493"/>
    <n v="0"/>
    <n v="0"/>
    <n v="0"/>
    <n v="0"/>
    <n v="12.58"/>
    <m/>
    <m/>
    <n v="6201.94"/>
    <m/>
    <n v="6201.94"/>
    <n v="5713.87"/>
    <n v="0"/>
    <n v="0"/>
    <n v="0"/>
    <n v="0"/>
    <n v="0"/>
    <n v="3267.3276352883195"/>
    <n v="2933.20654952624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070.73"/>
    <n v="5"/>
    <m/>
    <m/>
    <m/>
    <m/>
    <m/>
    <m/>
    <m/>
    <m/>
    <m/>
    <n v="0"/>
    <m/>
    <m/>
    <m/>
    <m/>
    <m/>
    <m/>
    <m/>
    <m/>
    <m/>
    <m/>
    <m/>
    <m/>
    <n v="5713.87"/>
    <n v="-488.10000000000036"/>
    <m/>
    <m/>
    <m/>
    <m/>
    <n v="-488.07000000000011"/>
    <n v="0"/>
    <m/>
    <n v="147.13634043822367"/>
    <n v="0"/>
    <n v="0"/>
    <n v="0"/>
    <n v="0"/>
    <m/>
    <m/>
    <m/>
    <n v="147.136340438223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33.2065495262477"/>
    <m/>
    <n v="0"/>
    <n v="0"/>
    <n v="-488.06999999999971"/>
    <m/>
    <n v="0"/>
    <m/>
    <n v="-634.14342965218293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69"/>
    <s v="Regular"/>
    <s v="Convencional"/>
    <s v="B2"/>
    <s v="Rural"/>
    <s v="Não se aplica"/>
    <s v="Não se aplica"/>
    <s v="Não se aplica"/>
    <s v="Não se aplica"/>
    <s v="CATIVO"/>
    <x v="3"/>
    <n v="0"/>
    <n v="0"/>
    <n v="714.995"/>
    <n v="714.995"/>
    <n v="714.995"/>
    <n v="714.995"/>
    <m/>
    <n v="239.69"/>
    <n v="171.61"/>
    <m/>
    <n v="294077.44350000005"/>
    <n v="294077.44350000005"/>
    <n v="292997.80105000001"/>
    <n v="0"/>
    <n v="43226.666722894028"/>
    <n v="0"/>
    <n v="0"/>
    <n v="0"/>
    <n v="38134.968335228536"/>
    <n v="63359.086193627198"/>
    <n v="118241.74593559845"/>
    <n v="4458.2490400598354"/>
    <n v="0"/>
    <n v="0"/>
    <n v="0"/>
    <n v="0"/>
    <n v="6683.8524652946426"/>
    <m/>
    <n v="283.17494693052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47.007690131495"/>
    <n v="0"/>
    <n v="0"/>
    <n v="0"/>
    <n v="101438.01"/>
    <n v="735"/>
    <m/>
    <m/>
    <m/>
    <m/>
    <m/>
    <n v="35156.304149999989"/>
    <m/>
    <m/>
    <m/>
    <n v="129688.75362572994"/>
    <m/>
    <m/>
    <m/>
    <m/>
    <m/>
    <m/>
    <m/>
    <m/>
    <m/>
    <m/>
    <m/>
    <m/>
    <n v="257843.30000000002"/>
    <n v="-949.17025000002468"/>
    <m/>
    <m/>
    <m/>
    <m/>
    <n v="-17174.179900000006"/>
    <n v="16094.537449999994"/>
    <m/>
    <n v="12622.266562490375"/>
    <n v="0"/>
    <n v="0"/>
    <n v="0"/>
    <n v="0"/>
    <n v="0"/>
    <n v="0"/>
    <n v="0"/>
    <n v="1717.3177317670488"/>
    <n v="0"/>
    <n v="0"/>
    <n v="16098.360278335633"/>
    <n v="0"/>
    <n v="0"/>
    <n v="0"/>
    <n v="1558.4855623240146"/>
    <n v="0"/>
    <n v="-5937.3017000338805"/>
    <m/>
    <n v="0"/>
    <n v="0"/>
    <n v="0"/>
    <n v="0"/>
    <n v="-770.27129534006417"/>
    <n v="-44.324014562404727"/>
    <n v="0"/>
    <n v="0"/>
    <m/>
    <m/>
    <m/>
    <n v="63359.086193627198"/>
    <n v="0"/>
    <n v="0"/>
    <n v="-17174.179900000017"/>
    <n v="16094.537450000003"/>
    <n v="0"/>
    <n v="0"/>
    <n v="-13697.892575940285"/>
    <n v="0"/>
    <n v="0"/>
    <n v="0"/>
    <n v="0"/>
    <n v="0"/>
    <n v="0"/>
    <n v="0"/>
    <n v="0"/>
    <n v="0"/>
    <n v="0"/>
    <n v="0"/>
    <n v="0"/>
    <n v="8243.17492146375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70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0.24"/>
    <n v="-0.24"/>
    <n v="-0.24"/>
    <n v="-0.24"/>
    <m/>
    <n v="239.69"/>
    <n v="171.61"/>
    <m/>
    <n v="-98.711999999999989"/>
    <n v="-98.711999999999989"/>
    <n v="-98.349599999999995"/>
    <n v="0"/>
    <n v="-14.50975183531992"/>
    <n v="0"/>
    <n v="0"/>
    <n v="0"/>
    <n v="-12.800638326778296"/>
    <n v="-21.267534299499335"/>
    <n v="-39.689814648415201"/>
    <n v="-1.4964856671925824"/>
    <n v="0"/>
    <n v="0"/>
    <n v="0"/>
    <n v="0"/>
    <n v="-2.2435465865785273"/>
    <m/>
    <n v="-9.505239514028328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8423791014364559"/>
    <n v="0"/>
    <n v="0"/>
    <n v="0"/>
    <n v="-17.91"/>
    <n v="0"/>
    <m/>
    <m/>
    <m/>
    <m/>
    <m/>
    <n v="-11.800799999999997"/>
    <m/>
    <m/>
    <m/>
    <n v="-43.532193749851658"/>
    <m/>
    <m/>
    <m/>
    <m/>
    <m/>
    <m/>
    <m/>
    <m/>
    <m/>
    <m/>
    <m/>
    <m/>
    <n v="-86.5488"/>
    <n v="0.28919999999999391"/>
    <m/>
    <m/>
    <m/>
    <m/>
    <n v="5.7648000000000019"/>
    <n v="-5.4023999999999974"/>
    <m/>
    <n v="-4.2368743487684242"/>
    <n v="0"/>
    <n v="0"/>
    <n v="0"/>
    <n v="0"/>
    <n v="0"/>
    <n v="0"/>
    <n v="0"/>
    <n v="-0.57644634665150463"/>
    <n v="0"/>
    <n v="0"/>
    <n v="-5.4036831961070391"/>
    <n v="0"/>
    <n v="0"/>
    <n v="0"/>
    <n v="-0.5231316791834395"/>
    <n v="0"/>
    <n v="1.9929543675244332"/>
    <m/>
    <n v="0"/>
    <n v="0"/>
    <n v="0"/>
    <n v="0"/>
    <n v="0.25855441070443219"/>
    <n v="1.4878094944687933E-2"/>
    <n v="0"/>
    <n v="0"/>
    <m/>
    <m/>
    <m/>
    <n v="-21.267534299499335"/>
    <n v="0"/>
    <n v="0"/>
    <n v="5.764800000000001"/>
    <n v="-5.4024000000000001"/>
    <n v="0"/>
    <n v="0"/>
    <n v="4.5979261648342558"/>
    <n v="0"/>
    <n v="0"/>
    <n v="0"/>
    <n v="0"/>
    <n v="0"/>
    <n v="0"/>
    <n v="0"/>
    <n v="0"/>
    <n v="0"/>
    <n v="0"/>
    <n v="0"/>
    <n v="0"/>
    <n v="-2.766959183142959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71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9.2040000000000006"/>
    <n v="9.2040000000000006"/>
    <n v="9.2040000000000006"/>
    <n v="9.2040000000000006"/>
    <m/>
    <n v="239.69"/>
    <n v="171.61"/>
    <m/>
    <n v="3785.6052000000004"/>
    <n v="3785.6052000000004"/>
    <n v="3771.7071599999999"/>
    <n v="0"/>
    <n v="556.44898288451895"/>
    <n v="0"/>
    <n v="0"/>
    <n v="0"/>
    <n v="490.9044798319477"/>
    <n v="815.60994038579952"/>
    <n v="1522.104391766723"/>
    <n v="57.390225336835542"/>
    <n v="0"/>
    <n v="0"/>
    <n v="0"/>
    <n v="0"/>
    <n v="86.040011595286529"/>
    <m/>
    <n v="3.6452593536298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3552385400881"/>
    <n v="0"/>
    <n v="0"/>
    <n v="0"/>
    <n v="2196.36"/>
    <n v="6"/>
    <m/>
    <m/>
    <m/>
    <m/>
    <m/>
    <n v="452.56067999999993"/>
    <m/>
    <m/>
    <m/>
    <n v="1669.4596303068111"/>
    <m/>
    <m/>
    <m/>
    <m/>
    <m/>
    <m/>
    <m/>
    <m/>
    <m/>
    <m/>
    <m/>
    <m/>
    <n v="3317.7039999999997"/>
    <n v="-13.713800000000447"/>
    <m/>
    <m/>
    <m/>
    <m/>
    <n v="-221.08008000000012"/>
    <n v="207.18203999999994"/>
    <m/>
    <n v="162.48413127526919"/>
    <n v="0"/>
    <n v="0"/>
    <n v="0"/>
    <n v="0"/>
    <n v="0"/>
    <n v="0"/>
    <n v="0"/>
    <n v="22.106717394085194"/>
    <n v="0"/>
    <n v="0"/>
    <n v="207.23125057070501"/>
    <n v="0"/>
    <n v="0"/>
    <n v="0"/>
    <n v="20.062099896684913"/>
    <n v="0"/>
    <n v="-76.429799994561961"/>
    <m/>
    <n v="0"/>
    <n v="0"/>
    <n v="0"/>
    <n v="0"/>
    <n v="-9.9155616505149737"/>
    <n v="-0.57057494112878215"/>
    <n v="0"/>
    <n v="0"/>
    <m/>
    <m/>
    <m/>
    <n v="815.60994038579952"/>
    <n v="0"/>
    <n v="0"/>
    <n v="-221.08008000000018"/>
    <n v="207.18203999999992"/>
    <n v="0"/>
    <n v="0"/>
    <n v="-176.33046842139368"/>
    <n v="0"/>
    <n v="0"/>
    <n v="0"/>
    <n v="0"/>
    <n v="0"/>
    <n v="0"/>
    <n v="0"/>
    <n v="0"/>
    <n v="0"/>
    <n v="0"/>
    <n v="0"/>
    <n v="0"/>
    <n v="106.1128846735325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72"/>
    <s v="Regular"/>
    <s v="Verde"/>
    <s v="A4"/>
    <s v="Rural"/>
    <s v="Não se aplica"/>
    <s v="Não se aplica"/>
    <s v="Não se aplica"/>
    <s v="Ponta"/>
    <s v="CATIVO"/>
    <x v="3"/>
    <n v="0"/>
    <n v="0"/>
    <n v="14.901"/>
    <n v="14.304959999999999"/>
    <n v="14.901"/>
    <n v="14.304959999999999"/>
    <m/>
    <n v="984.21"/>
    <n v="171.61"/>
    <m/>
    <n v="17222.873820000001"/>
    <n v="17222.873820000001"/>
    <n v="16061.042850000002"/>
    <n v="0"/>
    <n v="783.76056885562002"/>
    <n v="0"/>
    <n v="0"/>
    <n v="0"/>
    <n v="5866.6528231231205"/>
    <n v="7630.5356821611394"/>
    <n v="2464.2413669834787"/>
    <n v="92.913053861819463"/>
    <n v="0"/>
    <n v="0"/>
    <n v="0"/>
    <n v="0"/>
    <n v="139.29619869419432"/>
    <m/>
    <n v="3.9347651360027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107383888998584"/>
    <n v="0"/>
    <n v="0"/>
    <n v="0"/>
    <n v="0"/>
    <n v="0"/>
    <m/>
    <m/>
    <m/>
    <m/>
    <m/>
    <n v="642.44171400000039"/>
    <m/>
    <m/>
    <m/>
    <n v="2556.3487508724775"/>
    <m/>
    <m/>
    <m/>
    <m/>
    <m/>
    <m/>
    <m/>
    <m/>
    <m/>
    <m/>
    <m/>
    <m/>
    <n v="15413.255000000001"/>
    <n v="-1120.7338671999969"/>
    <m/>
    <m/>
    <m/>
    <m/>
    <n v="-1497.2524800000003"/>
    <n v="335.42150999999984"/>
    <m/>
    <n v="487.91162134011938"/>
    <n v="0"/>
    <n v="0"/>
    <n v="0"/>
    <n v="0"/>
    <n v="0"/>
    <n v="0"/>
    <n v="0"/>
    <n v="264.19077710269903"/>
    <n v="0"/>
    <n v="0"/>
    <n v="335.50118043829571"/>
    <n v="0"/>
    <n v="0"/>
    <n v="0"/>
    <n v="12.540222900189917"/>
    <n v="0"/>
    <n v="-107.65167223549463"/>
    <m/>
    <n v="0"/>
    <n v="0"/>
    <n v="0"/>
    <n v="0"/>
    <n v="-16.052996974611432"/>
    <n v="-0.61588989096065028"/>
    <n v="0"/>
    <n v="0"/>
    <m/>
    <m/>
    <m/>
    <n v="7630.5356821611394"/>
    <n v="0"/>
    <n v="0"/>
    <n v="-1497.2524799999992"/>
    <n v="335.42150999999967"/>
    <n v="0"/>
    <n v="0"/>
    <n v="-1649.6806433050397"/>
    <n v="0"/>
    <n v="0"/>
    <n v="0"/>
    <n v="0"/>
    <n v="0"/>
    <n v="0"/>
    <n v="0"/>
    <n v="0"/>
    <n v="0"/>
    <n v="0"/>
    <n v="0"/>
    <n v="0"/>
    <n v="149.4604131065475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73"/>
    <s v="Regular"/>
    <s v="Verde"/>
    <s v="A4"/>
    <s v="Rural"/>
    <s v="Não se aplica"/>
    <s v="Não se aplica"/>
    <s v="Não se aplica"/>
    <s v="Fora ponta"/>
    <s v="CATIVO"/>
    <x v="3"/>
    <n v="0"/>
    <n v="0"/>
    <n v="238.786"/>
    <n v="229.23455999999999"/>
    <n v="238.786"/>
    <n v="229.23455999999999"/>
    <m/>
    <n v="78.42"/>
    <n v="171.61"/>
    <m/>
    <n v="59703.663580000008"/>
    <n v="59703.663580000008"/>
    <n v="63287.841440000004"/>
    <n v="0"/>
    <n v="12559.630306339044"/>
    <n v="0"/>
    <n v="0"/>
    <n v="0"/>
    <n v="0"/>
    <n v="0"/>
    <n v="39489.050335985303"/>
    <n v="1488.9159438593667"/>
    <n v="0"/>
    <n v="0"/>
    <n v="0"/>
    <n v="0"/>
    <n v="2232.1979800947511"/>
    <m/>
    <n v="63.0539445517454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6.0052190670704"/>
    <n v="0"/>
    <n v="0"/>
    <n v="0"/>
    <n v="0"/>
    <n v="0"/>
    <m/>
    <m/>
    <m/>
    <m/>
    <m/>
    <n v="2531.5136576000036"/>
    <m/>
    <m/>
    <m/>
    <n v="40965.055555052371"/>
    <m/>
    <m/>
    <m/>
    <m/>
    <m/>
    <m/>
    <m/>
    <m/>
    <m/>
    <m/>
    <m/>
    <m/>
    <n v="60755.119200000001"/>
    <n v="3439.5721631999986"/>
    <m/>
    <m/>
    <m/>
    <m/>
    <n v="-1790.895"/>
    <n v="5375.0728599999975"/>
    <m/>
    <n v="3585.0886190239835"/>
    <n v="0"/>
    <n v="0"/>
    <n v="0"/>
    <n v="0"/>
    <n v="0"/>
    <n v="0"/>
    <n v="0"/>
    <n v="0"/>
    <n v="0"/>
    <n v="0"/>
    <n v="5376.3495652733982"/>
    <n v="0"/>
    <n v="0"/>
    <n v="0"/>
    <n v="200.95494701327084"/>
    <n v="0"/>
    <n v="-1725.0998058133573"/>
    <m/>
    <n v="0"/>
    <n v="0"/>
    <n v="0"/>
    <n v="0"/>
    <n v="-257.24655631028554"/>
    <n v="-9.8695311390463658"/>
    <n v="0"/>
    <n v="0"/>
    <m/>
    <m/>
    <m/>
    <n v="0"/>
    <n v="0"/>
    <n v="0"/>
    <n v="-1790.8949999999968"/>
    <n v="5375.0728599999929"/>
    <n v="0"/>
    <n v="0"/>
    <n v="0"/>
    <n v="0"/>
    <n v="0"/>
    <n v="0"/>
    <n v="0"/>
    <n v="0"/>
    <n v="0"/>
    <n v="0"/>
    <n v="0"/>
    <n v="0"/>
    <n v="0"/>
    <n v="0"/>
    <n v="0"/>
    <n v="2395.077793709151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74"/>
    <s v="Regular"/>
    <s v="Verde"/>
    <s v="A4"/>
    <s v="Rural"/>
    <s v="Não se aplica"/>
    <s v="Não se aplica"/>
    <s v="Não se aplica"/>
    <s v="Não se aplica"/>
    <s v="CATIVO"/>
    <x v="3"/>
    <n v="1328"/>
    <n v="1274.8800000000001"/>
    <n v="0"/>
    <n v="0"/>
    <n v="0"/>
    <n v="0"/>
    <n v="12.58"/>
    <m/>
    <m/>
    <n v="16706.240000000002"/>
    <m/>
    <n v="16706.240000000002"/>
    <n v="15391.52"/>
    <n v="0"/>
    <n v="0"/>
    <n v="0"/>
    <n v="0"/>
    <n v="0"/>
    <n v="8801.239553068739"/>
    <n v="7901.21358574210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406.33"/>
    <n v="11"/>
    <m/>
    <m/>
    <m/>
    <m/>
    <m/>
    <n v="615.66079999999874"/>
    <m/>
    <m/>
    <m/>
    <n v="0"/>
    <m/>
    <m/>
    <m/>
    <m/>
    <m/>
    <m/>
    <m/>
    <m/>
    <m/>
    <m/>
    <m/>
    <m/>
    <n v="14775.859200000001"/>
    <n v="-1262.1612000000005"/>
    <m/>
    <m/>
    <m/>
    <m/>
    <n v="-1314.7200000000003"/>
    <n v="0"/>
    <m/>
    <n v="396.34292109931266"/>
    <n v="0"/>
    <n v="0"/>
    <n v="0"/>
    <n v="0"/>
    <m/>
    <m/>
    <m/>
    <n v="396.342921099312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901.2135857421026"/>
    <m/>
    <n v="0"/>
    <n v="0"/>
    <n v="-1314.7200000000012"/>
    <m/>
    <n v="0"/>
    <m/>
    <n v="-1708.199745594520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75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50.734000000000002"/>
    <n v="50.734000000000002"/>
    <n v="50.734000000000002"/>
    <n v="50.734000000000002"/>
    <m/>
    <n v="239.69"/>
    <n v="171.61"/>
    <m/>
    <n v="20866.894200000002"/>
    <n v="20866.894200000002"/>
    <n v="20790.28586"/>
    <n v="0"/>
    <n v="3067.2406233880033"/>
    <n v="0"/>
    <n v="0"/>
    <n v="0"/>
    <n v="2705.9482702948753"/>
    <n v="4495.7795214616635"/>
    <n v="8390.096068219571"/>
    <n v="316.34459933061868"/>
    <n v="0"/>
    <n v="0"/>
    <n v="0"/>
    <n v="0"/>
    <n v="474.26705218114586"/>
    <m/>
    <n v="20.09328422936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2.24692221782152"/>
    <n v="0"/>
    <n v="0"/>
    <n v="0"/>
    <n v="8551.42"/>
    <n v="45"/>
    <m/>
    <m/>
    <m/>
    <m/>
    <m/>
    <m/>
    <m/>
    <m/>
    <m/>
    <n v="9202.3429904373916"/>
    <m/>
    <m/>
    <m/>
    <m/>
    <m/>
    <m/>
    <m/>
    <m/>
    <m/>
    <m/>
    <m/>
    <m/>
    <n v="20788.646699999998"/>
    <n v="-78.277500000000146"/>
    <m/>
    <m/>
    <m/>
    <m/>
    <n v="-1218.6306800000007"/>
    <n v="1142.0223399999995"/>
    <m/>
    <n v="895.63993004340773"/>
    <n v="0"/>
    <n v="0"/>
    <n v="0"/>
    <n v="0"/>
    <n v="0"/>
    <n v="0"/>
    <n v="0"/>
    <n v="121.85595396257258"/>
    <n v="0"/>
    <n v="0"/>
    <n v="1142.2935969637256"/>
    <n v="0"/>
    <n v="0"/>
    <n v="0"/>
    <n v="110.58567754871933"/>
    <n v="0"/>
    <n v="-421.29394534160201"/>
    <m/>
    <n v="0"/>
    <n v="0"/>
    <n v="0"/>
    <n v="0"/>
    <n v="-54.656247802827693"/>
    <n v="-3.1451052871824885"/>
    <n v="0"/>
    <n v="0"/>
    <m/>
    <m/>
    <m/>
    <n v="4495.7795214616635"/>
    <n v="0"/>
    <n v="0"/>
    <n v="-1218.6306800000002"/>
    <n v="1142.0223399999995"/>
    <n v="0"/>
    <n v="0"/>
    <n v="-971.96327519458782"/>
    <n v="0"/>
    <n v="0"/>
    <n v="0"/>
    <n v="0"/>
    <n v="0"/>
    <n v="0"/>
    <n v="0"/>
    <n v="0"/>
    <n v="0"/>
    <n v="0"/>
    <n v="0"/>
    <n v="0"/>
    <n v="584.9121133232289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76"/>
    <s v="Regular"/>
    <s v="Verde"/>
    <s v="A4"/>
    <s v="Poder público"/>
    <s v="Não se aplica"/>
    <s v="Não se aplica"/>
    <s v="Não se aplica"/>
    <s v="Ponta"/>
    <s v="CATIVO"/>
    <x v="3"/>
    <n v="0"/>
    <n v="0"/>
    <n v="0.94299999999999995"/>
    <n v="0.94299999999999995"/>
    <n v="0.94299999999999995"/>
    <n v="0.94299999999999995"/>
    <m/>
    <n v="984.21"/>
    <n v="171.61"/>
    <m/>
    <n v="1089.9382599999999"/>
    <n v="1089.9382599999999"/>
    <n v="1016.41255"/>
    <n v="0"/>
    <n v="49.599772930061718"/>
    <n v="0"/>
    <n v="0"/>
    <n v="0"/>
    <n v="371.26727147205571"/>
    <n v="482.8934399220156"/>
    <n v="155.9478967227314"/>
    <n v="5.8799416006775216"/>
    <n v="0"/>
    <n v="0"/>
    <n v="0"/>
    <n v="0"/>
    <n v="8.8152684630981302"/>
    <m/>
    <n v="0.24900902780018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289553055047083"/>
    <n v="0"/>
    <n v="0"/>
    <n v="0"/>
    <n v="0"/>
    <n v="0"/>
    <m/>
    <m/>
    <m/>
    <m/>
    <m/>
    <m/>
    <m/>
    <m/>
    <m/>
    <n v="161.77685202823611"/>
    <m/>
    <m/>
    <m/>
    <m/>
    <m/>
    <m/>
    <m/>
    <m/>
    <m/>
    <m/>
    <m/>
    <m/>
    <n v="1013.179"/>
    <n v="-76.789259999999899"/>
    <m/>
    <m/>
    <m/>
    <m/>
    <n v="-94.752640000000014"/>
    <n v="21.226929999999989"/>
    <m/>
    <n v="30.877166560884007"/>
    <n v="0"/>
    <n v="0"/>
    <n v="0"/>
    <n v="0"/>
    <n v="0"/>
    <n v="0"/>
    <n v="0"/>
    <n v="16.719139843490098"/>
    <n v="0"/>
    <n v="0"/>
    <n v="21.231971891370563"/>
    <n v="0"/>
    <n v="0"/>
    <n v="0"/>
    <n v="0.79359977148373151"/>
    <n v="0"/>
    <n v="-6.812665386086266"/>
    <m/>
    <n v="0"/>
    <n v="0"/>
    <n v="0"/>
    <n v="0"/>
    <n v="-1.0159033720594977"/>
    <n v="-3.8976187314669702E-2"/>
    <n v="0"/>
    <n v="0"/>
    <m/>
    <m/>
    <m/>
    <n v="482.8934399220156"/>
    <n v="0"/>
    <n v="0"/>
    <n v="-94.752639999999928"/>
    <n v="21.22693000000001"/>
    <n v="0"/>
    <n v="0"/>
    <n v="-104.39895622016326"/>
    <n v="0"/>
    <n v="0"/>
    <n v="0"/>
    <n v="0"/>
    <n v="0"/>
    <n v="0"/>
    <n v="0"/>
    <n v="0"/>
    <n v="0"/>
    <n v="0"/>
    <n v="0"/>
    <n v="0"/>
    <n v="9.458504097676286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77"/>
    <s v="Regular"/>
    <s v="Verde"/>
    <s v="A4"/>
    <s v="Poder público"/>
    <s v="Não se aplica"/>
    <s v="Não se aplica"/>
    <s v="Não se aplica"/>
    <s v="Fora ponta"/>
    <s v="CATIVO"/>
    <x v="3"/>
    <n v="0"/>
    <n v="0"/>
    <n v="7.5709999999999997"/>
    <n v="7.5709999999999997"/>
    <n v="7.5709999999999997"/>
    <n v="7.5709999999999997"/>
    <m/>
    <n v="78.42"/>
    <n v="171.61"/>
    <m/>
    <n v="1892.9771300000002"/>
    <n v="1892.9771300000002"/>
    <n v="2006.6178400000001"/>
    <n v="0"/>
    <n v="398.21832540137569"/>
    <n v="0"/>
    <n v="0"/>
    <n v="0"/>
    <n v="0"/>
    <n v="0"/>
    <n v="1252.0482779297979"/>
    <n v="47.207887442979342"/>
    <n v="0"/>
    <n v="0"/>
    <n v="0"/>
    <n v="0"/>
    <n v="70.774546695775129"/>
    <m/>
    <n v="1.9992018552229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798537240695815"/>
    <n v="0"/>
    <n v="0"/>
    <n v="0"/>
    <n v="0"/>
    <n v="0"/>
    <m/>
    <m/>
    <m/>
    <m/>
    <m/>
    <m/>
    <m/>
    <m/>
    <m/>
    <n v="1298.8468151704938"/>
    <m/>
    <m/>
    <m/>
    <m/>
    <m/>
    <m/>
    <m/>
    <m/>
    <m/>
    <m/>
    <m/>
    <m/>
    <n v="2006.3528000000001"/>
    <n v="113.34566999999993"/>
    <m/>
    <m/>
    <m/>
    <m/>
    <n v="-56.782499999999999"/>
    <n v="170.42320999999993"/>
    <m/>
    <n v="113.66958672045462"/>
    <n v="0"/>
    <n v="0"/>
    <n v="0"/>
    <n v="0"/>
    <n v="0"/>
    <n v="0"/>
    <n v="0"/>
    <n v="0"/>
    <n v="0"/>
    <n v="0"/>
    <n v="170.46368949052658"/>
    <n v="0"/>
    <n v="0"/>
    <n v="0"/>
    <n v="6.3715205407246316"/>
    <n v="0"/>
    <n v="-54.696383497411603"/>
    <m/>
    <n v="0"/>
    <n v="0"/>
    <n v="0"/>
    <n v="0"/>
    <n v="-8.1563143476802296"/>
    <n v="-0.31292546570452218"/>
    <n v="0"/>
    <n v="0"/>
    <m/>
    <m/>
    <m/>
    <n v="0"/>
    <n v="0"/>
    <n v="0"/>
    <n v="-56.782499999999914"/>
    <n v="170.42320999999993"/>
    <n v="0"/>
    <n v="0"/>
    <n v="0"/>
    <n v="0"/>
    <n v="0"/>
    <n v="0"/>
    <n v="0"/>
    <n v="0"/>
    <n v="0"/>
    <n v="0"/>
    <n v="0"/>
    <n v="0"/>
    <n v="0"/>
    <n v="0"/>
    <n v="0"/>
    <n v="75.93884891146041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78"/>
    <s v="Regular"/>
    <s v="Verde"/>
    <s v="A4"/>
    <s v="Poder público"/>
    <s v="Não se aplica"/>
    <s v="Não se aplica"/>
    <s v="Não se aplica"/>
    <s v="Não se aplica"/>
    <s v="CATIVO"/>
    <x v="3"/>
    <n v="161"/>
    <n v="161"/>
    <n v="0"/>
    <n v="0"/>
    <n v="0"/>
    <n v="0"/>
    <n v="12.58"/>
    <m/>
    <m/>
    <n v="2025.38"/>
    <m/>
    <n v="2025.38"/>
    <n v="1865.99"/>
    <n v="0"/>
    <n v="0"/>
    <n v="0"/>
    <n v="0"/>
    <n v="0"/>
    <n v="1067.0177470211347"/>
    <n v="957.903153090721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46.01"/>
    <n v="3"/>
    <m/>
    <m/>
    <m/>
    <m/>
    <m/>
    <m/>
    <m/>
    <m/>
    <m/>
    <n v="0"/>
    <m/>
    <m/>
    <m/>
    <m/>
    <m/>
    <m/>
    <m/>
    <m/>
    <m/>
    <m/>
    <m/>
    <m/>
    <n v="1865.99"/>
    <n v="-159.42000000000007"/>
    <m/>
    <m/>
    <m/>
    <m/>
    <n v="-159.39000000000004"/>
    <n v="0"/>
    <m/>
    <n v="48.050610163395731"/>
    <n v="0"/>
    <n v="0"/>
    <n v="0"/>
    <n v="0"/>
    <m/>
    <m/>
    <m/>
    <n v="48.05061016339573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90315309072184"/>
    <m/>
    <n v="0"/>
    <n v="0"/>
    <n v="-159.3900000000001"/>
    <m/>
    <n v="0"/>
    <m/>
    <n v="-207.09349325355254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179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101.938"/>
    <n v="101.938"/>
    <n v="101.938"/>
    <n v="101.938"/>
    <m/>
    <n v="131.83000000000001"/>
    <n v="94.39"/>
    <m/>
    <n v="23060.414360000002"/>
    <n v="23060.414360000002"/>
    <n v="22975.805820000001"/>
    <n v="0"/>
    <n v="3389.5928975994348"/>
    <n v="0"/>
    <n v="0"/>
    <n v="0"/>
    <n v="2990.3304515221644"/>
    <n v="4968.264380342911"/>
    <n v="9271.8549129024341"/>
    <n v="349.59089903438604"/>
    <n v="0"/>
    <n v="0"/>
    <n v="0"/>
    <n v="0"/>
    <n v="524.11024403522083"/>
    <m/>
    <n v="22.2049920028983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7.61017693010763"/>
    <n v="0"/>
    <n v="0"/>
    <n v="0"/>
    <n v="12483.6"/>
    <n v="7"/>
    <m/>
    <m/>
    <m/>
    <m/>
    <m/>
    <m/>
    <m/>
    <m/>
    <m/>
    <n v="10169.465089832542"/>
    <m/>
    <m/>
    <m/>
    <m/>
    <m/>
    <m/>
    <m/>
    <m/>
    <m/>
    <m/>
    <m/>
    <m/>
    <n v="22976.256600000001"/>
    <n v="-84.187760000000708"/>
    <m/>
    <m/>
    <m/>
    <m/>
    <n v="-1346.6009800000008"/>
    <n v="1261.9924399999995"/>
    <m/>
    <n v="989.76738979424044"/>
    <n v="0"/>
    <n v="0"/>
    <n v="0"/>
    <n v="0"/>
    <n v="0"/>
    <n v="0"/>
    <n v="0"/>
    <n v="134.66243011136567"/>
    <n v="0"/>
    <n v="0"/>
    <n v="1262.3431737692517"/>
    <n v="0"/>
    <n v="0"/>
    <n v="0"/>
    <n v="122.20770171638048"/>
    <n v="0"/>
    <n v="-465.56991780911767"/>
    <m/>
    <n v="0"/>
    <n v="0"/>
    <n v="0"/>
    <n v="0"/>
    <n v="-60.400357229639951"/>
    <n v="-3.4756407639973936"/>
    <n v="0"/>
    <n v="0"/>
    <m/>
    <m/>
    <m/>
    <n v="4968.264380342911"/>
    <n v="0"/>
    <n v="0"/>
    <n v="-1346.6009800000011"/>
    <n v="1261.9924399999982"/>
    <n v="0"/>
    <n v="0"/>
    <n v="-1074.1119523540797"/>
    <n v="0"/>
    <n v="0"/>
    <n v="0"/>
    <n v="0"/>
    <n v="0"/>
    <n v="0"/>
    <n v="0"/>
    <n v="0"/>
    <n v="0"/>
    <n v="0"/>
    <n v="0"/>
    <n v="0"/>
    <n v="646.383570275726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80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42.521000000000001"/>
    <n v="39.969740000000002"/>
    <n v="42.521000000000001"/>
    <n v="39.969740000000002"/>
    <m/>
    <n v="239.69"/>
    <n v="171.61"/>
    <m/>
    <n v="17488.887300000002"/>
    <n v="17488.887300000002"/>
    <n v="17424.68059"/>
    <n v="0"/>
    <n v="2570.7048241234929"/>
    <n v="0"/>
    <n v="0"/>
    <n v="0"/>
    <n v="2267.8997595539167"/>
    <n v="3767.9867747875469"/>
    <n v="7031.8775361052622"/>
    <n v="265.13361272789916"/>
    <n v="0"/>
    <n v="0"/>
    <n v="0"/>
    <n v="0"/>
    <n v="397.49101836627318"/>
    <m/>
    <n v="16.840512057333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0.75750738408146"/>
    <n v="0"/>
    <n v="0"/>
    <n v="0"/>
    <n v="7820.48"/>
    <n v="40"/>
    <m/>
    <m/>
    <m/>
    <m/>
    <n v="1045.4808353999997"/>
    <m/>
    <m/>
    <m/>
    <m/>
    <n v="7712.6350434893438"/>
    <m/>
    <m/>
    <m/>
    <m/>
    <m/>
    <m/>
    <m/>
    <m/>
    <m/>
    <m/>
    <m/>
    <m/>
    <n v="16379.306299999998"/>
    <n v="-60.277762000003349"/>
    <m/>
    <m/>
    <m/>
    <m/>
    <n v="-1021.3544200000005"/>
    <n v="957.14770999999962"/>
    <m/>
    <n v="750.6505590999277"/>
    <n v="0"/>
    <n v="0"/>
    <n v="0"/>
    <n v="0"/>
    <n v="0"/>
    <n v="0"/>
    <n v="0"/>
    <n v="102.12947960820202"/>
    <n v="0"/>
    <n v="0"/>
    <n v="957.37505492361379"/>
    <n v="0"/>
    <n v="0"/>
    <n v="0"/>
    <n v="92.68367554399606"/>
    <n v="0"/>
    <n v="-353.09338608960979"/>
    <m/>
    <n v="0"/>
    <n v="0"/>
    <n v="0"/>
    <n v="0"/>
    <n v="-45.808300406513126"/>
    <n v="-2.6359644797628157"/>
    <n v="0"/>
    <n v="0"/>
    <m/>
    <m/>
    <m/>
    <n v="3767.9867747875469"/>
    <n v="0"/>
    <n v="0"/>
    <n v="-1021.3544200000015"/>
    <n v="957.14771000000019"/>
    <n v="0"/>
    <n v="0"/>
    <n v="-814.61841022882254"/>
    <n v="0"/>
    <n v="0"/>
    <n v="0"/>
    <n v="0"/>
    <n v="0"/>
    <n v="0"/>
    <n v="0"/>
    <n v="0"/>
    <n v="0"/>
    <n v="0"/>
    <n v="0"/>
    <n v="0"/>
    <n v="490.2244642767574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81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11.303000000000001"/>
    <n v="11.303000000000001"/>
    <n v="11.303000000000001"/>
    <n v="11.303000000000001"/>
    <m/>
    <n v="239.69"/>
    <n v="171.61"/>
    <m/>
    <n v="4648.9238999999998"/>
    <n v="4648.9238999999998"/>
    <n v="4631.8563700000004"/>
    <n v="0"/>
    <n v="683.34885414425446"/>
    <n v="0"/>
    <n v="0"/>
    <n v="0"/>
    <n v="602.85672919822957"/>
    <n v="1001.6122507801708"/>
    <n v="1869.2248957126544"/>
    <n v="70.478239567824005"/>
    <n v="0"/>
    <n v="0"/>
    <n v="0"/>
    <n v="0"/>
    <n v="105.66169611707123"/>
    <m/>
    <n v="4.4765717594609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.96004576473445"/>
    <n v="0"/>
    <n v="0"/>
    <n v="0"/>
    <n v="2078.92"/>
    <n v="4"/>
    <m/>
    <m/>
    <m/>
    <m/>
    <m/>
    <m/>
    <m/>
    <m/>
    <m/>
    <n v="2050.1849414773887"/>
    <m/>
    <m/>
    <m/>
    <m/>
    <m/>
    <m/>
    <m/>
    <m/>
    <m/>
    <m/>
    <m/>
    <m/>
    <n v="4630.6270000000004"/>
    <n v="-18.326900000000023"/>
    <m/>
    <m/>
    <m/>
    <m/>
    <n v="-271.49806000000012"/>
    <n v="254.43052999999992"/>
    <m/>
    <n v="199.53912818387289"/>
    <n v="0"/>
    <n v="0"/>
    <n v="0"/>
    <n v="0"/>
    <n v="0"/>
    <n v="0"/>
    <n v="0"/>
    <n v="27.148221067508075"/>
    <n v="0"/>
    <n v="0"/>
    <n v="254.49096318999091"/>
    <n v="0"/>
    <n v="0"/>
    <n v="0"/>
    <n v="24.637322374210072"/>
    <n v="0"/>
    <n v="-93.859846733869404"/>
    <m/>
    <n v="0"/>
    <n v="0"/>
    <n v="0"/>
    <n v="0"/>
    <n v="-12.176835434134148"/>
    <n v="-0.70069627983253158"/>
    <n v="0"/>
    <n v="0"/>
    <m/>
    <m/>
    <m/>
    <n v="1001.6122507801708"/>
    <n v="0"/>
    <n v="0"/>
    <n v="-271.4980599999999"/>
    <n v="254.43053000000009"/>
    <n v="0"/>
    <n v="0"/>
    <n v="-216.54316433800659"/>
    <n v="0"/>
    <n v="0"/>
    <n v="0"/>
    <n v="0"/>
    <n v="0"/>
    <n v="0"/>
    <n v="0"/>
    <n v="0"/>
    <n v="0"/>
    <n v="0"/>
    <n v="0"/>
    <n v="0"/>
    <n v="130.3122485294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82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83"/>
    <s v="Regular"/>
    <s v="Convencional"/>
    <s v="B2"/>
    <s v="Rural"/>
    <s v="Agropecuária rural"/>
    <s v="IRRIG./AQUIC."/>
    <s v="Não se aplica"/>
    <s v="Não se aplica"/>
    <s v="CATIVO"/>
    <x v="3"/>
    <n v="0"/>
    <n v="0"/>
    <n v="0.1"/>
    <n v="0.1"/>
    <n v="0.1"/>
    <n v="0.1"/>
    <m/>
    <n v="239.69"/>
    <n v="171.61"/>
    <m/>
    <n v="41.13"/>
    <n v="41.13"/>
    <n v="40.978999999999999"/>
    <n v="0"/>
    <n v="6.0457299313832999"/>
    <n v="0"/>
    <n v="0"/>
    <n v="0"/>
    <n v="5.3335993028242905"/>
    <n v="8.8614726247913893"/>
    <n v="16.537422770173002"/>
    <n v="0.62353569466357606"/>
    <n v="0"/>
    <n v="0"/>
    <n v="0"/>
    <n v="0"/>
    <n v="0.9348110777410531"/>
    <m/>
    <n v="3.960516464178470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01"/>
    <n v="0"/>
    <n v="0"/>
    <n v="0"/>
    <n v="0"/>
    <n v="0"/>
    <m/>
    <m/>
    <m/>
    <m/>
    <m/>
    <n v="5.7799999999999985"/>
    <m/>
    <m/>
    <m/>
    <n v="18.138414062438191"/>
    <m/>
    <m/>
    <m/>
    <m/>
    <m/>
    <m/>
    <m/>
    <m/>
    <m/>
    <m/>
    <m/>
    <m/>
    <n v="35.198999999999998"/>
    <n v="-6.7000000000007276E-2"/>
    <m/>
    <m/>
    <m/>
    <m/>
    <n v="-2.402000000000001"/>
    <n v="2.250999999999999"/>
    <m/>
    <n v="1.7653643119868505"/>
    <n v="0"/>
    <n v="0"/>
    <n v="0"/>
    <n v="0"/>
    <n v="0"/>
    <n v="0"/>
    <n v="0"/>
    <n v="0.24018597777145967"/>
    <n v="0"/>
    <n v="0"/>
    <n v="2.2515346650445984"/>
    <n v="0"/>
    <n v="0"/>
    <n v="0"/>
    <n v="0.21797153299310001"/>
    <n v="0"/>
    <n v="-0.83039765313518021"/>
    <m/>
    <n v="0"/>
    <n v="0"/>
    <n v="0"/>
    <n v="0"/>
    <n v="-0.10773100446018002"/>
    <n v="-6.1992062269533091E-3"/>
    <n v="0"/>
    <n v="0"/>
    <m/>
    <m/>
    <m/>
    <n v="8.8614726247913893"/>
    <n v="0"/>
    <n v="0"/>
    <n v="-2.402000000000001"/>
    <n v="2.2510000000000012"/>
    <n v="0"/>
    <n v="0"/>
    <n v="-1.915802568680939"/>
    <n v="0"/>
    <n v="0"/>
    <n v="0"/>
    <n v="0"/>
    <n v="0"/>
    <n v="0"/>
    <n v="0"/>
    <n v="0"/>
    <n v="0"/>
    <n v="0"/>
    <n v="0"/>
    <n v="0"/>
    <n v="1.1528996596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85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140.150000000001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86"/>
    <s v="Sistema de Compensação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4.4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187"/>
    <s v="Regular"/>
    <s v="Convencional"/>
    <s v="B2"/>
    <s v="Rural"/>
    <s v="Aquicultura"/>
    <s v="IRRIG./AQUIC."/>
    <s v="Não se aplica"/>
    <s v="Não se aplica"/>
    <s v="CATIVO"/>
    <x v="3"/>
    <n v="0"/>
    <n v="0"/>
    <n v="42.874000000000002"/>
    <n v="42.874000000000002"/>
    <n v="42.874000000000002"/>
    <n v="42.874000000000002"/>
    <m/>
    <n v="239.69"/>
    <n v="171.61"/>
    <m/>
    <n v="17634.076200000003"/>
    <n v="17634.076200000003"/>
    <n v="17569.336459999999"/>
    <n v="0"/>
    <n v="2592.0462507812763"/>
    <n v="0"/>
    <n v="0"/>
    <n v="0"/>
    <n v="2286.7273650928864"/>
    <n v="3799.2677731530603"/>
    <n v="7090.2546384839725"/>
    <n v="267.33469373006159"/>
    <n v="0"/>
    <n v="0"/>
    <n v="0"/>
    <n v="0"/>
    <n v="400.79090147069911"/>
    <m/>
    <n v="16.9803182885187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6.40900664577759"/>
    <n v="0"/>
    <n v="0"/>
    <n v="0"/>
    <n v="0"/>
    <n v="0"/>
    <m/>
    <m/>
    <m/>
    <m/>
    <m/>
    <n v="2478.1171999999992"/>
    <m/>
    <m/>
    <m/>
    <n v="7776.66364512975"/>
    <m/>
    <m/>
    <m/>
    <m/>
    <m/>
    <m/>
    <m/>
    <m/>
    <m/>
    <m/>
    <m/>
    <m/>
    <n v="15089.811299999999"/>
    <n v="-17.301340000001801"/>
    <m/>
    <m/>
    <m/>
    <m/>
    <n v="-1029.8334800000005"/>
    <n v="965.09373999999968"/>
    <m/>
    <n v="756.88229512123871"/>
    <n v="0"/>
    <n v="0"/>
    <n v="0"/>
    <n v="0"/>
    <n v="0"/>
    <n v="0"/>
    <n v="0"/>
    <n v="102.97733610973546"/>
    <n v="0"/>
    <n v="0"/>
    <n v="965.32297229122196"/>
    <n v="0"/>
    <n v="0"/>
    <n v="0"/>
    <n v="93.453115055461694"/>
    <n v="0"/>
    <n v="-356.02468980517733"/>
    <m/>
    <n v="0"/>
    <n v="0"/>
    <n v="0"/>
    <n v="0"/>
    <n v="-46.188590852257562"/>
    <n v="-2.657847677743959"/>
    <n v="0"/>
    <n v="0"/>
    <m/>
    <m/>
    <m/>
    <n v="3799.2677731530603"/>
    <n v="0"/>
    <n v="0"/>
    <n v="-1029.8334800000011"/>
    <n v="965.09373999999934"/>
    <n v="0"/>
    <n v="0"/>
    <n v="-821.38119329626579"/>
    <n v="0"/>
    <n v="0"/>
    <n v="0"/>
    <n v="0"/>
    <n v="0"/>
    <n v="0"/>
    <n v="0"/>
    <n v="0"/>
    <n v="0"/>
    <n v="0"/>
    <n v="0"/>
    <n v="0"/>
    <n v="494.2942000752969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88"/>
    <s v="Sistema de Compensação"/>
    <s v="Convencional"/>
    <s v="B2"/>
    <s v="Rural"/>
    <s v="Aquicultura"/>
    <s v="IRRIG./AQUIC."/>
    <s v="Não se aplica"/>
    <s v="Não se aplica"/>
    <s v="CATIVO"/>
    <x v="3"/>
    <n v="0"/>
    <n v="0"/>
    <n v="0.1"/>
    <n v="0.1"/>
    <n v="0.1"/>
    <n v="0.1"/>
    <m/>
    <n v="239.69"/>
    <n v="171.61"/>
    <m/>
    <n v="41.13"/>
    <n v="41.13"/>
    <n v="40.978999999999999"/>
    <n v="0"/>
    <n v="6.0457299313832999"/>
    <n v="0"/>
    <n v="0"/>
    <n v="0"/>
    <n v="5.3335993028242905"/>
    <n v="8.8614726247913893"/>
    <n v="16.537422770173002"/>
    <n v="0.62353569466357606"/>
    <n v="0"/>
    <n v="0"/>
    <n v="0"/>
    <n v="0"/>
    <n v="0.9348110777410531"/>
    <m/>
    <n v="3.960516464178470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01"/>
    <n v="0"/>
    <n v="0"/>
    <n v="0"/>
    <n v="0"/>
    <n v="0"/>
    <m/>
    <m/>
    <m/>
    <m/>
    <m/>
    <n v="5.7799999999999985"/>
    <m/>
    <m/>
    <m/>
    <n v="18.138414062438191"/>
    <m/>
    <m/>
    <m/>
    <m/>
    <m/>
    <m/>
    <m/>
    <m/>
    <m/>
    <m/>
    <m/>
    <m/>
    <n v="35.198999999999998"/>
    <n v="-6.7000000000007276E-2"/>
    <m/>
    <m/>
    <m/>
    <m/>
    <n v="-2.402000000000001"/>
    <n v="2.250999999999999"/>
    <m/>
    <n v="1.7653643119868505"/>
    <n v="0"/>
    <n v="0"/>
    <n v="0"/>
    <n v="0"/>
    <n v="0"/>
    <n v="0"/>
    <n v="0"/>
    <n v="0.24018597777145967"/>
    <n v="0"/>
    <n v="0"/>
    <n v="2.2515346650445984"/>
    <n v="0"/>
    <n v="0"/>
    <n v="0"/>
    <n v="0.21797153299310001"/>
    <n v="0"/>
    <n v="-0.83039765313518021"/>
    <m/>
    <n v="0"/>
    <n v="0"/>
    <n v="0"/>
    <n v="0"/>
    <n v="-0.10773100446018002"/>
    <n v="-6.1992062269533091E-3"/>
    <n v="0"/>
    <n v="0"/>
    <m/>
    <m/>
    <m/>
    <n v="8.8614726247913893"/>
    <n v="0"/>
    <n v="0"/>
    <n v="-2.402000000000001"/>
    <n v="2.2510000000000012"/>
    <n v="0"/>
    <n v="0"/>
    <n v="-1.915802568680939"/>
    <n v="0"/>
    <n v="0"/>
    <n v="0"/>
    <n v="0"/>
    <n v="0"/>
    <n v="0"/>
    <n v="0"/>
    <n v="0"/>
    <n v="0"/>
    <n v="0"/>
    <n v="0"/>
    <n v="0"/>
    <n v="1.1528996596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89"/>
    <s v="Regular"/>
    <s v="Convencional"/>
    <s v="B2"/>
    <s v="Rural"/>
    <s v="Aquicultura"/>
    <s v="IRRIG./AQUIC. PR"/>
    <s v="Não se aplica"/>
    <s v="Não se aplica"/>
    <s v="CATIVO"/>
    <x v="3"/>
    <n v="0"/>
    <n v="0"/>
    <n v="66.483000000000004"/>
    <n v="26.5932"/>
    <n v="66.483000000000004"/>
    <n v="26.5932"/>
    <m/>
    <n v="239.69"/>
    <n v="171.61"/>
    <m/>
    <n v="27344.457900000001"/>
    <n v="27344.457900000001"/>
    <n v="27244.068570000003"/>
    <n v="0"/>
    <n v="4019.3826302815596"/>
    <n v="0"/>
    <n v="0"/>
    <n v="0"/>
    <n v="3545.9368244966731"/>
    <n v="5891.3728451400593"/>
    <n v="10994.574780294117"/>
    <n v="414.54523588318528"/>
    <n v="0"/>
    <n v="0"/>
    <n v="0"/>
    <n v="0"/>
    <n v="621.4904488145844"/>
    <m/>
    <n v="26.330701608797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4.3870408366663"/>
    <n v="0"/>
    <n v="0"/>
    <n v="0"/>
    <n v="0"/>
    <n v="0"/>
    <m/>
    <m/>
    <m/>
    <m/>
    <m/>
    <m/>
    <n v="17883.528102000004"/>
    <m/>
    <m/>
    <n v="12058.961821130782"/>
    <m/>
    <m/>
    <m/>
    <m/>
    <m/>
    <m/>
    <m/>
    <m/>
    <m/>
    <m/>
    <m/>
    <m/>
    <n v="9359.4141"/>
    <n v="-10.995852000000014"/>
    <m/>
    <m/>
    <m/>
    <m/>
    <n v="-1596.9216600000009"/>
    <n v="1496.5323299999995"/>
    <m/>
    <n v="1173.66715553822"/>
    <n v="0"/>
    <n v="0"/>
    <n v="0"/>
    <n v="0"/>
    <n v="0"/>
    <n v="0"/>
    <n v="0"/>
    <n v="159.6828436017995"/>
    <n v="0"/>
    <n v="0"/>
    <n v="1496.8877913616016"/>
    <n v="0"/>
    <n v="0"/>
    <n v="0"/>
    <n v="144.91401427980259"/>
    <n v="0"/>
    <n v="-552.07327173386193"/>
    <m/>
    <n v="0"/>
    <n v="0"/>
    <n v="0"/>
    <n v="0"/>
    <n v="-71.622803695261496"/>
    <n v="-4.1214182758653628"/>
    <n v="0"/>
    <n v="0"/>
    <m/>
    <m/>
    <m/>
    <n v="5891.3728451400593"/>
    <n v="0"/>
    <n v="0"/>
    <n v="-1596.92166"/>
    <n v="1496.53233"/>
    <n v="0"/>
    <n v="0"/>
    <n v="-1273.6830217361485"/>
    <n v="0"/>
    <n v="0"/>
    <n v="0"/>
    <n v="0"/>
    <n v="0"/>
    <n v="0"/>
    <n v="0"/>
    <n v="0"/>
    <n v="0"/>
    <n v="0"/>
    <n v="0"/>
    <n v="0"/>
    <n v="766.4822807203892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0"/>
    <s v="Regular"/>
    <s v="Convencional"/>
    <s v="B1"/>
    <s v="Residencial"/>
    <s v="Residencial"/>
    <s v="Não se aplica"/>
    <s v="Não se aplica"/>
    <s v="Não se aplica"/>
    <s v="CATIVO"/>
    <x v="4"/>
    <n v="0"/>
    <n v="0"/>
    <n v="1572.585"/>
    <n v="1572.585"/>
    <n v="1572.585"/>
    <n v="1572.585"/>
    <m/>
    <n v="239.69"/>
    <n v="171.61"/>
    <m/>
    <n v="646804.21050000004"/>
    <n v="646804.21050000004"/>
    <n v="644429.60715000005"/>
    <n v="0"/>
    <n v="95074.242041444071"/>
    <n v="0"/>
    <n v="0"/>
    <n v="0"/>
    <n v="83875.382596319367"/>
    <n v="139354.18927657566"/>
    <n v="260065.02987032509"/>
    <n v="9805.6288039251976"/>
    <n v="0"/>
    <n v="0"/>
    <n v="0"/>
    <n v="0"/>
    <n v="14700.69878689414"/>
    <m/>
    <n v="622.824878382009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76.948913468539"/>
    <n v="0"/>
    <n v="0"/>
    <n v="0"/>
    <n v="219660.83"/>
    <n v="4727"/>
    <m/>
    <m/>
    <m/>
    <m/>
    <m/>
    <m/>
    <m/>
    <m/>
    <m/>
    <n v="285241.97878379363"/>
    <m/>
    <m/>
    <m/>
    <m/>
    <m/>
    <m/>
    <m/>
    <m/>
    <m/>
    <m/>
    <m/>
    <m/>
    <n v="644431.65609999991"/>
    <n v="-2372.5844000001671"/>
    <m/>
    <m/>
    <m/>
    <m/>
    <n v="-37773.491700000021"/>
    <n v="35398.888349999987"/>
    <n v="31"/>
    <n v="27761.854365658306"/>
    <n v="0"/>
    <n v="0"/>
    <n v="0"/>
    <n v="0"/>
    <n v="0"/>
    <n v="0"/>
    <n v="0"/>
    <n v="3777.1286585373164"/>
    <n v="0"/>
    <n v="0"/>
    <n v="35407.296412291616"/>
    <n v="0"/>
    <n v="0"/>
    <n v="0"/>
    <n v="3427.7876321195399"/>
    <n v="0"/>
    <n v="-13058.70893355587"/>
    <m/>
    <n v="0"/>
    <n v="0"/>
    <n v="0"/>
    <n v="0"/>
    <n v="-1694.1616164901225"/>
    <n v="-97.487787244133528"/>
    <n v="0"/>
    <n v="0"/>
    <m/>
    <m/>
    <m/>
    <n v="139354.18927657566"/>
    <n v="0"/>
    <n v="0"/>
    <n v="-37773.491700000013"/>
    <n v="35398.888349999965"/>
    <n v="0"/>
    <n v="0"/>
    <n v="-30127.623824691138"/>
    <n v="0"/>
    <n v="0"/>
    <n v="0"/>
    <n v="0"/>
    <n v="0"/>
    <n v="0"/>
    <n v="0"/>
    <n v="0"/>
    <n v="0"/>
    <n v="0"/>
    <n v="0"/>
    <n v="0"/>
    <n v="18130.327112595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1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2.008"/>
    <n v="2.008"/>
    <n v="2.008"/>
    <n v="2.008"/>
    <m/>
    <n v="239.69"/>
    <n v="171.61"/>
    <m/>
    <n v="825.8904"/>
    <n v="825.8904"/>
    <n v="822.85832000000005"/>
    <n v="0"/>
    <n v="121.39825702217667"/>
    <n v="0"/>
    <n v="0"/>
    <n v="0"/>
    <n v="107.09867400071175"/>
    <n v="177.93837030581111"/>
    <n v="332.07144922507388"/>
    <n v="12.520596748844607"/>
    <n v="0"/>
    <n v="0"/>
    <n v="0"/>
    <n v="0"/>
    <n v="18.771006441040345"/>
    <m/>
    <n v="0.79527170600703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147905148685012"/>
    <n v="0"/>
    <n v="0"/>
    <n v="0"/>
    <n v="849.02"/>
    <n v="12"/>
    <m/>
    <m/>
    <m/>
    <m/>
    <m/>
    <m/>
    <m/>
    <m/>
    <m/>
    <n v="364.2193543737589"/>
    <m/>
    <m/>
    <m/>
    <m/>
    <m/>
    <m/>
    <m/>
    <m/>
    <m/>
    <m/>
    <m/>
    <m/>
    <n v="823.67789999999991"/>
    <n v="-2.2425000000000637"/>
    <m/>
    <m/>
    <m/>
    <m/>
    <n v="-48.232160000000022"/>
    <n v="45.200079999999978"/>
    <n v="31"/>
    <n v="35.448515384695838"/>
    <n v="0"/>
    <n v="0"/>
    <n v="0"/>
    <n v="0"/>
    <n v="0"/>
    <n v="0"/>
    <n v="0"/>
    <n v="4.8229344336509143"/>
    <n v="0"/>
    <n v="0"/>
    <n v="45.210816074095533"/>
    <n v="0"/>
    <n v="0"/>
    <n v="0"/>
    <n v="4.3768683825014492"/>
    <n v="0"/>
    <n v="-16.674384874954427"/>
    <m/>
    <n v="0"/>
    <n v="0"/>
    <n v="0"/>
    <n v="0"/>
    <n v="-2.1632385695604128"/>
    <n v="-0.12448006103722231"/>
    <n v="0"/>
    <n v="0"/>
    <m/>
    <m/>
    <m/>
    <n v="177.93837030581111"/>
    <n v="0"/>
    <n v="0"/>
    <n v="-48.232160000000022"/>
    <n v="45.200079999999957"/>
    <n v="0"/>
    <n v="0"/>
    <n v="-38.469315579113271"/>
    <n v="0"/>
    <n v="0"/>
    <n v="0"/>
    <n v="0"/>
    <n v="0"/>
    <n v="0"/>
    <n v="0"/>
    <n v="0"/>
    <n v="0"/>
    <n v="0"/>
    <n v="0"/>
    <n v="0"/>
    <n v="23.15022516562943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2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7.2"/>
    <n v="7.2"/>
    <n v="7.2"/>
    <n v="7.2"/>
    <m/>
    <n v="158.36000000000001"/>
    <n v="171.61"/>
    <m/>
    <n v="2375.7840000000006"/>
    <n v="2375.7840000000006"/>
    <n v="2432.4480000000003"/>
    <n v="0"/>
    <n v="0"/>
    <n v="0"/>
    <n v="0"/>
    <n v="0"/>
    <n v="384.01914980334891"/>
    <n v="638.02602898498003"/>
    <n v="1190.694439452456"/>
    <n v="44.894570015777475"/>
    <n v="0"/>
    <n v="0"/>
    <n v="0"/>
    <n v="0"/>
    <n v="0"/>
    <m/>
    <n v="2.8515718542084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27137304309367"/>
    <n v="0"/>
    <n v="0"/>
    <n v="0"/>
    <n v="115.2"/>
    <n v="2"/>
    <m/>
    <m/>
    <m/>
    <m/>
    <m/>
    <m/>
    <m/>
    <n v="1581.1200000000001"/>
    <m/>
    <n v="1305.9658124955497"/>
    <m/>
    <m/>
    <m/>
    <m/>
    <m/>
    <m/>
    <m/>
    <m/>
    <m/>
    <m/>
    <m/>
    <m/>
    <n v="851.32799999999997"/>
    <n v="19.841999999999985"/>
    <m/>
    <m/>
    <m/>
    <m/>
    <n v="-105.40800000000011"/>
    <n v="162.07199999999995"/>
    <n v="31"/>
    <n v="194.65149380991897"/>
    <n v="0"/>
    <n v="0"/>
    <n v="0"/>
    <n v="0"/>
    <n v="0"/>
    <n v="0"/>
    <n v="0"/>
    <n v="17.293390399545103"/>
    <n v="0"/>
    <n v="0"/>
    <n v="162.11049588321134"/>
    <n v="0"/>
    <n v="0"/>
    <n v="0"/>
    <n v="15.693950375503206"/>
    <n v="0"/>
    <n v="0"/>
    <m/>
    <n v="0"/>
    <n v="0"/>
    <n v="0"/>
    <n v="0"/>
    <n v="0"/>
    <n v="-0.44634284834063775"/>
    <n v="0"/>
    <n v="0"/>
    <m/>
    <m/>
    <m/>
    <n v="638.02602898498003"/>
    <n v="0"/>
    <n v="0"/>
    <n v="-105.40800000000013"/>
    <n v="162.07199999999989"/>
    <n v="0"/>
    <n v="0"/>
    <n v="-137.93778494502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3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6.190999999999999"/>
    <n v="16.190999999999999"/>
    <n v="16.190999999999999"/>
    <n v="16.190999999999999"/>
    <m/>
    <n v="158.36000000000001"/>
    <n v="171.61"/>
    <m/>
    <n v="5342.5442700000003"/>
    <n v="5342.5442700000003"/>
    <n v="5469.9674400000004"/>
    <n v="0"/>
    <n v="0"/>
    <n v="0"/>
    <n v="0"/>
    <n v="0"/>
    <n v="863.56306312028084"/>
    <n v="1434.7610326799738"/>
    <n v="2677.5741207187102"/>
    <n v="100.95666432297959"/>
    <n v="0"/>
    <n v="0"/>
    <n v="0"/>
    <n v="0"/>
    <n v="0"/>
    <m/>
    <n v="6.4124722071513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.21650013065687"/>
    <n v="0"/>
    <n v="0"/>
    <n v="0"/>
    <n v="445.04"/>
    <n v="19"/>
    <m/>
    <m/>
    <m/>
    <m/>
    <m/>
    <m/>
    <m/>
    <n v="2188.0517399999999"/>
    <m/>
    <n v="2936.7906208493669"/>
    <m/>
    <m/>
    <m/>
    <m/>
    <m/>
    <m/>
    <m/>
    <m/>
    <m/>
    <m/>
    <m/>
    <m/>
    <n v="3281.7130000000002"/>
    <n v="76.188819999999851"/>
    <m/>
    <m/>
    <m/>
    <m/>
    <n v="-237.03624000000022"/>
    <n v="364.45940999999982"/>
    <n v="31"/>
    <n v="437.72254670505527"/>
    <n v="0"/>
    <n v="0"/>
    <n v="0"/>
    <n v="0"/>
    <n v="0"/>
    <n v="0"/>
    <n v="0"/>
    <n v="38.888511660976974"/>
    <n v="0"/>
    <n v="0"/>
    <n v="364.54597761737114"/>
    <n v="0"/>
    <n v="0"/>
    <n v="0"/>
    <n v="35.291770906912859"/>
    <n v="0"/>
    <n v="0"/>
    <m/>
    <n v="0"/>
    <n v="0"/>
    <n v="0"/>
    <n v="0"/>
    <n v="0"/>
    <n v="-1.0037134802060086"/>
    <n v="0"/>
    <n v="0"/>
    <m/>
    <m/>
    <m/>
    <n v="1434.7610326799738"/>
    <n v="0"/>
    <n v="0"/>
    <n v="-237.03624000000036"/>
    <n v="364.45940999999993"/>
    <n v="0"/>
    <n v="0"/>
    <n v="-310.1875938951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4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22.431999999999999"/>
    <n v="22.431999999999999"/>
    <n v="22.431999999999999"/>
    <n v="22.431999999999999"/>
    <m/>
    <n v="158.36000000000001"/>
    <n v="171.61"/>
    <m/>
    <n v="7401.8870399999996"/>
    <n v="7401.8870399999996"/>
    <n v="7578.4268799999991"/>
    <n v="0"/>
    <n v="0"/>
    <n v="0"/>
    <n v="0"/>
    <n v="0"/>
    <n v="1196.4329956095448"/>
    <n v="1987.8055391932044"/>
    <n v="3709.6746758052072"/>
    <n v="139.87152702693336"/>
    <n v="0"/>
    <n v="0"/>
    <n v="0"/>
    <n v="0"/>
    <n v="0"/>
    <m/>
    <n v="8.8842305324451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13436668092737"/>
    <n v="0"/>
    <n v="0"/>
    <n v="0"/>
    <n v="1665.16"/>
    <n v="74"/>
    <m/>
    <m/>
    <m/>
    <m/>
    <m/>
    <m/>
    <m/>
    <n v="757.75296000000003"/>
    <m/>
    <n v="4068.8090424861348"/>
    <m/>
    <m/>
    <m/>
    <m/>
    <m/>
    <m/>
    <m/>
    <m/>
    <m/>
    <m/>
    <m/>
    <m/>
    <n v="6820.0658000000003"/>
    <n v="158.40475999999944"/>
    <m/>
    <m/>
    <m/>
    <m/>
    <n v="-328.40448000000032"/>
    <n v="504.94431999999978"/>
    <n v="31"/>
    <n v="606.44754293668029"/>
    <n v="0"/>
    <n v="0"/>
    <n v="0"/>
    <n v="0"/>
    <n v="0"/>
    <n v="0"/>
    <n v="0"/>
    <n v="53.87851853369375"/>
    <n v="0"/>
    <n v="0"/>
    <n v="505.06425606280436"/>
    <n v="0"/>
    <n v="0"/>
    <n v="0"/>
    <n v="48.895374281012209"/>
    <n v="0"/>
    <n v="0"/>
    <m/>
    <n v="0"/>
    <n v="0"/>
    <n v="0"/>
    <n v="0"/>
    <n v="0"/>
    <n v="-1.3906059408301656"/>
    <n v="0"/>
    <n v="0"/>
    <m/>
    <m/>
    <m/>
    <n v="1987.8055391932044"/>
    <n v="0"/>
    <n v="0"/>
    <n v="-328.4044800000006"/>
    <n v="504.94431999999961"/>
    <n v="0"/>
    <n v="0"/>
    <n v="-429.7528322065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5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24.042999999999999"/>
    <n v="24.042999999999999"/>
    <n v="24.042999999999999"/>
    <n v="24.042999999999999"/>
    <m/>
    <n v="158.36000000000001"/>
    <n v="171.61"/>
    <m/>
    <n v="7933.4687100000001"/>
    <n v="7933.4687100000001"/>
    <n v="8122.6871200000005"/>
    <n v="0"/>
    <n v="0"/>
    <n v="0"/>
    <n v="0"/>
    <n v="0"/>
    <n v="1282.3572803780442"/>
    <n v="2130.5638631785937"/>
    <n v="3976.0925566326946"/>
    <n v="149.91668706796358"/>
    <n v="0"/>
    <n v="0"/>
    <n v="0"/>
    <n v="0"/>
    <n v="0"/>
    <m/>
    <n v="9.5222697348242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4.92633639931961"/>
    <n v="0"/>
    <n v="0"/>
    <n v="0"/>
    <n v="2706.89"/>
    <n v="144"/>
    <m/>
    <m/>
    <m/>
    <m/>
    <m/>
    <m/>
    <m/>
    <m/>
    <m/>
    <n v="4361.0188930320146"/>
    <m/>
    <m/>
    <m/>
    <m/>
    <m/>
    <m/>
    <m/>
    <m/>
    <m/>
    <m/>
    <m/>
    <m/>
    <n v="8121.6736000000001"/>
    <n v="188.17488999999932"/>
    <m/>
    <m/>
    <m/>
    <m/>
    <n v="-351.98952000000037"/>
    <n v="541.20792999999981"/>
    <n v="31"/>
    <n v="650.00081467664859"/>
    <n v="0"/>
    <n v="0"/>
    <n v="0"/>
    <n v="0"/>
    <n v="0"/>
    <n v="0"/>
    <n v="0"/>
    <n v="57.747914635591997"/>
    <n v="0"/>
    <n v="0"/>
    <n v="541.33647951667308"/>
    <n v="0"/>
    <n v="0"/>
    <n v="0"/>
    <n v="52.406895677531054"/>
    <n v="0"/>
    <n v="0"/>
    <m/>
    <n v="0"/>
    <n v="0"/>
    <n v="0"/>
    <n v="0"/>
    <n v="0"/>
    <n v="-1.4904751531463827"/>
    <n v="0"/>
    <n v="0"/>
    <m/>
    <m/>
    <m/>
    <n v="2130.5638631785937"/>
    <n v="0"/>
    <n v="0"/>
    <n v="-351.98952000000054"/>
    <n v="541.20793000000049"/>
    <n v="0"/>
    <n v="0"/>
    <n v="-460.61641158795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6"/>
    <s v="Regular"/>
    <s v="Convencional"/>
    <s v="B3"/>
    <s v="Industrial"/>
    <s v="Não se aplica"/>
    <s v="Não se aplica"/>
    <s v="Não se aplica"/>
    <s v="Não se aplica"/>
    <s v="CATIVO"/>
    <x v="4"/>
    <n v="0"/>
    <n v="0"/>
    <n v="168.566"/>
    <n v="168.566"/>
    <n v="168.566"/>
    <n v="168.566"/>
    <m/>
    <n v="239.69"/>
    <n v="171.61"/>
    <m/>
    <n v="69331.195800000001"/>
    <n v="69331.195800000001"/>
    <n v="69076.661139999997"/>
    <n v="0"/>
    <n v="10191.045116135574"/>
    <n v="0"/>
    <n v="0"/>
    <n v="0"/>
    <n v="8990.635000798793"/>
    <n v="14937.429944705853"/>
    <n v="27876.47206676982"/>
    <n v="1051.0691790666035"/>
    <n v="0"/>
    <n v="0"/>
    <n v="0"/>
    <n v="0"/>
    <n v="1575.7736413049836"/>
    <m/>
    <n v="66.760841830070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98.7269817197403"/>
    <n v="0"/>
    <n v="0"/>
    <n v="0"/>
    <n v="31003.62"/>
    <n v="77"/>
    <m/>
    <m/>
    <m/>
    <m/>
    <m/>
    <m/>
    <m/>
    <m/>
    <m/>
    <n v="30575.199048489561"/>
    <m/>
    <m/>
    <m/>
    <m/>
    <m/>
    <m/>
    <m/>
    <m/>
    <m/>
    <m/>
    <m/>
    <m/>
    <n v="69078.300299999988"/>
    <n v="-252.92550000001211"/>
    <m/>
    <m/>
    <m/>
    <m/>
    <n v="-4048.9553200000018"/>
    <n v="3794.4206599999984"/>
    <n v="31"/>
    <n v="2975.8040061437496"/>
    <n v="0"/>
    <n v="0"/>
    <n v="0"/>
    <n v="0"/>
    <n v="0"/>
    <n v="0"/>
    <n v="0"/>
    <n v="404.87189529023999"/>
    <n v="0"/>
    <n v="0"/>
    <n v="3795.3219234790813"/>
    <n v="0"/>
    <n v="0"/>
    <n v="0"/>
    <n v="367.42589430514863"/>
    <n v="0"/>
    <n v="-1399.7681079838476"/>
    <m/>
    <n v="0"/>
    <n v="0"/>
    <n v="0"/>
    <n v="0"/>
    <n v="-181.59784497834698"/>
    <n v="-10.449753968526103"/>
    <n v="0"/>
    <n v="0"/>
    <m/>
    <m/>
    <m/>
    <n v="14937.429944705853"/>
    <n v="0"/>
    <n v="0"/>
    <n v="-4048.9553200000082"/>
    <n v="3794.4206599999998"/>
    <n v="0"/>
    <n v="0"/>
    <n v="-3229.3917579227127"/>
    <n v="0"/>
    <n v="0"/>
    <n v="0"/>
    <n v="0"/>
    <n v="0"/>
    <n v="0"/>
    <n v="0"/>
    <n v="0"/>
    <n v="0"/>
    <n v="0"/>
    <n v="0"/>
    <n v="0"/>
    <n v="1943.396840273650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7"/>
    <s v="Refaturamento - Regular"/>
    <s v="Convencional"/>
    <s v="B3"/>
    <s v="Industrial"/>
    <s v="Não se aplica"/>
    <s v="Não se aplica"/>
    <s v="Não se aplica"/>
    <s v="Não se aplica"/>
    <s v="CATIVO"/>
    <x v="4"/>
    <n v="0"/>
    <n v="0"/>
    <n v="9.3940000000000001"/>
    <n v="9.3940000000000001"/>
    <n v="9.3940000000000001"/>
    <n v="9.3940000000000001"/>
    <m/>
    <n v="239.69"/>
    <n v="171.61"/>
    <m/>
    <n v="3863.7521999999999"/>
    <n v="3863.7521999999999"/>
    <n v="3849.5672599999998"/>
    <n v="0"/>
    <n v="567.93586975414723"/>
    <n v="0"/>
    <n v="0"/>
    <n v="0"/>
    <n v="501.03831850731382"/>
    <n v="832.44673837290316"/>
    <n v="1553.5254950300516"/>
    <n v="58.574943156696335"/>
    <n v="0"/>
    <n v="0"/>
    <n v="0"/>
    <n v="0"/>
    <n v="87.816152642994524"/>
    <m/>
    <n v="3.7205091664492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39712199539196"/>
    <n v="0"/>
    <n v="0"/>
    <n v="0"/>
    <n v="1726.57"/>
    <n v="0"/>
    <m/>
    <m/>
    <m/>
    <m/>
    <m/>
    <m/>
    <m/>
    <m/>
    <m/>
    <n v="1703.9226170254435"/>
    <m/>
    <m/>
    <m/>
    <m/>
    <m/>
    <m/>
    <m/>
    <m/>
    <m/>
    <m/>
    <m/>
    <m/>
    <n v="3847.9281000000001"/>
    <n v="-15.854100000000471"/>
    <m/>
    <m/>
    <m/>
    <m/>
    <n v="-225.64388000000011"/>
    <n v="211.45893999999993"/>
    <n v="31"/>
    <n v="165.83832346804502"/>
    <n v="0"/>
    <n v="0"/>
    <n v="0"/>
    <n v="0"/>
    <n v="0"/>
    <n v="0"/>
    <n v="0"/>
    <n v="22.563070751850944"/>
    <n v="0"/>
    <n v="0"/>
    <n v="211.50916643428968"/>
    <n v="0"/>
    <n v="0"/>
    <n v="0"/>
    <n v="20.47624580937179"/>
    <n v="0"/>
    <n v="-78.007555535518861"/>
    <m/>
    <n v="0"/>
    <n v="0"/>
    <n v="0"/>
    <n v="0"/>
    <n v="-10.120250558989312"/>
    <n v="-0.58235343295999353"/>
    <n v="0"/>
    <n v="0"/>
    <m/>
    <m/>
    <m/>
    <n v="832.44673837290316"/>
    <n v="0"/>
    <n v="0"/>
    <n v="-225.64388000000008"/>
    <n v="211.45893999999998"/>
    <n v="0"/>
    <n v="0"/>
    <n v="-179.97049330188747"/>
    <n v="0"/>
    <n v="0"/>
    <n v="0"/>
    <n v="0"/>
    <n v="0"/>
    <n v="0"/>
    <n v="0"/>
    <n v="0"/>
    <n v="0"/>
    <n v="0"/>
    <n v="0"/>
    <n v="0"/>
    <n v="108.3033940268540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8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6.2190000000000003"/>
    <n v="6.2190000000000003"/>
    <n v="6.2190000000000003"/>
    <n v="6.2190000000000003"/>
    <m/>
    <n v="239.69"/>
    <n v="171.61"/>
    <m/>
    <n v="2557.8747000000003"/>
    <n v="2557.8747000000003"/>
    <n v="2548.4840100000001"/>
    <n v="0"/>
    <n v="375.98394443272741"/>
    <n v="0"/>
    <n v="0"/>
    <n v="0"/>
    <n v="331.69654064264262"/>
    <n v="551.09498253577658"/>
    <n v="1028.4623220770591"/>
    <n v="38.777684851127795"/>
    <n v="0"/>
    <n v="0"/>
    <n v="0"/>
    <n v="0"/>
    <n v="58.135900924716097"/>
    <m/>
    <n v="2.4630451890725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565648465972174"/>
    <n v="0"/>
    <n v="0"/>
    <n v="0"/>
    <n v="1212.74"/>
    <n v="5"/>
    <m/>
    <m/>
    <m/>
    <m/>
    <m/>
    <m/>
    <m/>
    <m/>
    <m/>
    <n v="1128.0279705430312"/>
    <m/>
    <m/>
    <m/>
    <m/>
    <m/>
    <m/>
    <m/>
    <m/>
    <m/>
    <m/>
    <m/>
    <m/>
    <n v="2548.8937999999998"/>
    <n v="-9.0109000000002197"/>
    <m/>
    <m/>
    <m/>
    <m/>
    <n v="-149.38038000000006"/>
    <n v="139.98968999999994"/>
    <n v="31"/>
    <n v="109.78800656246244"/>
    <n v="0"/>
    <n v="0"/>
    <n v="0"/>
    <n v="0"/>
    <n v="0"/>
    <n v="0"/>
    <n v="0"/>
    <n v="14.937165957607078"/>
    <n v="0"/>
    <n v="0"/>
    <n v="140.02294081912351"/>
    <n v="0"/>
    <n v="0"/>
    <n v="0"/>
    <n v="13.555649636840883"/>
    <n v="0"/>
    <n v="-51.642430048476854"/>
    <m/>
    <n v="0"/>
    <n v="0"/>
    <n v="0"/>
    <n v="0"/>
    <n v="-6.6997911673785993"/>
    <n v="-0.38552863525422598"/>
    <n v="0"/>
    <n v="0"/>
    <m/>
    <m/>
    <m/>
    <n v="551.09498253577658"/>
    <n v="0"/>
    <n v="0"/>
    <n v="-149.38038000000006"/>
    <n v="139.98969000000011"/>
    <n v="0"/>
    <n v="0"/>
    <n v="-119.14376174626767"/>
    <n v="0"/>
    <n v="0"/>
    <n v="0"/>
    <n v="0"/>
    <n v="0"/>
    <n v="0"/>
    <n v="0"/>
    <n v="0"/>
    <n v="0"/>
    <n v="0"/>
    <n v="0"/>
    <n v="0"/>
    <n v="71.69882983319195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199"/>
    <s v="Regular"/>
    <s v="Azul"/>
    <s v="A4"/>
    <s v="Industrial"/>
    <s v="Não se aplica"/>
    <s v="Não se aplica"/>
    <s v="Não se aplica"/>
    <s v="Ponta"/>
    <s v="CATIVO"/>
    <x v="4"/>
    <n v="19406"/>
    <n v="19406"/>
    <n v="878.91"/>
    <n v="878.91"/>
    <n v="878.91"/>
    <n v="878.91"/>
    <n v="37.64"/>
    <n v="78.42"/>
    <n v="171.61"/>
    <n v="730441.84"/>
    <n v="219753.86729999998"/>
    <n v="950195.70729999989"/>
    <n v="888286.92640000011"/>
    <n v="0"/>
    <n v="46228.776697731228"/>
    <n v="0"/>
    <n v="0"/>
    <n v="0"/>
    <n v="317173.90063288674"/>
    <n v="413201.85584170808"/>
    <n v="145349.0624693275"/>
    <n v="5480.3175739676362"/>
    <n v="0"/>
    <n v="0"/>
    <n v="0"/>
    <n v="0"/>
    <n v="8216.1480433738889"/>
    <m/>
    <n v="232.08539196592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32.7965085484029"/>
    <n v="0"/>
    <n v="0"/>
    <n v="0"/>
    <n v="0"/>
    <n v="0"/>
    <m/>
    <m/>
    <m/>
    <m/>
    <m/>
    <m/>
    <m/>
    <m/>
    <m/>
    <n v="150781.85897787591"/>
    <m/>
    <m/>
    <m/>
    <m/>
    <m/>
    <m/>
    <m/>
    <m/>
    <m/>
    <m/>
    <m/>
    <m/>
    <n v="888286.92640000011"/>
    <n v="-61908.810899999808"/>
    <m/>
    <m/>
    <m/>
    <m/>
    <n v="-81693.044999999955"/>
    <n v="19784.264099999993"/>
    <n v="31"/>
    <n v="27478.964725057129"/>
    <n v="0"/>
    <n v="0"/>
    <n v="0"/>
    <n v="0"/>
    <n v="0"/>
    <n v="0"/>
    <n v="0"/>
    <n v="14283.173354765808"/>
    <n v="0"/>
    <n v="0"/>
    <n v="19788.963324543496"/>
    <n v="0"/>
    <n v="0"/>
    <n v="0"/>
    <n v="739.66360037620962"/>
    <n v="0"/>
    <n v="-6349.6497714582001"/>
    <m/>
    <n v="0"/>
    <n v="0"/>
    <n v="0"/>
    <n v="0"/>
    <n v="-946.85857130096792"/>
    <n v="-36.327211869285634"/>
    <n v="0"/>
    <n v="0"/>
    <m/>
    <m/>
    <n v="413201.85584170808"/>
    <n v="0"/>
    <n v="0"/>
    <n v="0"/>
    <n v="-81693.044999999809"/>
    <n v="19784.2641"/>
    <n v="0"/>
    <n v="0"/>
    <n v="-89332.011768630764"/>
    <n v="0"/>
    <n v="0"/>
    <n v="0"/>
    <n v="0"/>
    <n v="0"/>
    <n v="0"/>
    <n v="0"/>
    <n v="0"/>
    <n v="0"/>
    <n v="0"/>
    <n v="0"/>
    <n v="0"/>
    <n v="8815.666846753621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00"/>
    <s v="Sistema de Compensação"/>
    <s v="Azul"/>
    <s v="A4"/>
    <s v="Industrial"/>
    <s v="Não se aplica"/>
    <s v="Não se aplica"/>
    <s v="Não se aplica"/>
    <s v="Ponta"/>
    <s v="CATIVO"/>
    <x v="4"/>
    <n v="1580"/>
    <n v="1580"/>
    <n v="80.210999999999999"/>
    <n v="80.210999999999999"/>
    <n v="80.210999999999999"/>
    <n v="80.210999999999999"/>
    <n v="37.64"/>
    <n v="78.42"/>
    <n v="171.61"/>
    <n v="59471.200000000004"/>
    <n v="20055.156330000002"/>
    <n v="79526.35633000001"/>
    <n v="74615.723440000002"/>
    <n v="0"/>
    <n v="4218.9261786778161"/>
    <n v="0"/>
    <n v="0"/>
    <n v="0"/>
    <n v="25823.70210244054"/>
    <n v="33642.117501283043"/>
    <n v="13264.832178183466"/>
    <n v="500.14421604660095"/>
    <n v="0"/>
    <n v="0"/>
    <n v="0"/>
    <n v="0"/>
    <n v="749.82131356687603"/>
    <m/>
    <n v="21.180554749608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5.80735313874675"/>
    <n v="0"/>
    <n v="0"/>
    <n v="0"/>
    <n v="0"/>
    <n v="0"/>
    <m/>
    <m/>
    <m/>
    <m/>
    <m/>
    <m/>
    <m/>
    <m/>
    <m/>
    <n v="13760.639531322213"/>
    <m/>
    <m/>
    <m/>
    <m/>
    <m/>
    <m/>
    <m/>
    <m/>
    <m/>
    <m/>
    <m/>
    <m/>
    <n v="74615.458400000003"/>
    <n v="-4910.9279299999907"/>
    <m/>
    <m/>
    <m/>
    <m/>
    <n v="-6716.1824999999953"/>
    <n v="1805.5496099999993"/>
    <n v="31"/>
    <n v="2367.1821397218519"/>
    <n v="0"/>
    <n v="0"/>
    <n v="0"/>
    <n v="0"/>
    <n v="0"/>
    <n v="0"/>
    <n v="0"/>
    <n v="1162.909095152525"/>
    <n v="0"/>
    <n v="0"/>
    <n v="1805.9784701789231"/>
    <n v="0"/>
    <n v="0"/>
    <n v="0"/>
    <n v="67.503108452260449"/>
    <n v="0"/>
    <n v="-579.48112755394004"/>
    <m/>
    <n v="0"/>
    <n v="0"/>
    <n v="0"/>
    <n v="0"/>
    <n v="-86.412115987555012"/>
    <n v="-3.3152905203573368"/>
    <n v="0"/>
    <n v="0"/>
    <m/>
    <m/>
    <n v="33642.117501283043"/>
    <n v="0"/>
    <n v="0"/>
    <n v="0"/>
    <n v="-6716.1825000000026"/>
    <n v="1805.54961"/>
    <n v="0"/>
    <n v="0"/>
    <n v="-7273.2442849859071"/>
    <n v="0"/>
    <n v="0"/>
    <n v="0"/>
    <n v="0"/>
    <n v="0"/>
    <n v="0"/>
    <n v="0"/>
    <n v="0"/>
    <n v="0"/>
    <n v="0"/>
    <n v="0"/>
    <n v="0"/>
    <n v="804.5345410166623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01"/>
    <s v="Regular"/>
    <s v="Azul"/>
    <s v="A4"/>
    <s v="Industrial"/>
    <s v="Não se aplica"/>
    <s v="Não se aplica"/>
    <s v="Não se aplica"/>
    <s v="Fora ponta"/>
    <s v="CATIVO"/>
    <x v="4"/>
    <n v="21542"/>
    <n v="21542"/>
    <n v="7529.5959999999995"/>
    <n v="7529.5959999999995"/>
    <n v="7529.5959999999995"/>
    <n v="7529.5959999999995"/>
    <n v="12.58"/>
    <n v="78.42"/>
    <n v="171.61"/>
    <n v="270998.36"/>
    <n v="1882624.8878800001"/>
    <n v="2153623.2478800002"/>
    <n v="2245315.9038399998"/>
    <n v="0"/>
    <n v="396040.56400328845"/>
    <n v="0"/>
    <n v="0"/>
    <n v="0"/>
    <n v="142768.30003931231"/>
    <n v="128168.63182534366"/>
    <n v="1245201.1234060354"/>
    <n v="46949.718723960832"/>
    <n v="0"/>
    <n v="0"/>
    <n v="0"/>
    <n v="0"/>
    <n v="70387.497517147218"/>
    <m/>
    <n v="1988.2686953215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42.607160664935"/>
    <n v="0"/>
    <n v="0"/>
    <n v="0"/>
    <n v="0"/>
    <n v="0"/>
    <m/>
    <m/>
    <m/>
    <m/>
    <m/>
    <m/>
    <m/>
    <m/>
    <m/>
    <n v="1291743.7305667002"/>
    <m/>
    <m/>
    <m/>
    <m/>
    <m/>
    <m/>
    <m/>
    <m/>
    <m/>
    <m/>
    <m/>
    <m/>
    <n v="2245316.9640000002"/>
    <n v="91693.686120000202"/>
    <m/>
    <m/>
    <m/>
    <m/>
    <n v="-77798.55"/>
    <n v="169491.20595999993"/>
    <n v="31"/>
    <n v="119477.18609059346"/>
    <n v="0"/>
    <n v="0"/>
    <n v="0"/>
    <n v="0"/>
    <n v="0"/>
    <n v="0"/>
    <n v="0"/>
    <n v="6429.2313300613023"/>
    <n v="0"/>
    <n v="0"/>
    <n v="169531.46407781146"/>
    <n v="0"/>
    <n v="0"/>
    <n v="0"/>
    <n v="6336.6762088704345"/>
    <n v="0"/>
    <n v="-54397.261972867069"/>
    <m/>
    <n v="0"/>
    <n v="0"/>
    <n v="0"/>
    <n v="0"/>
    <n v="-8111.7094025935367"/>
    <n v="-311.21415068906435"/>
    <n v="0"/>
    <n v="0"/>
    <m/>
    <m/>
    <n v="128168.63182534366"/>
    <n v="0"/>
    <n v="0"/>
    <n v="0"/>
    <n v="-77798.54999999993"/>
    <n v="169491.20595999993"/>
    <n v="0"/>
    <n v="0"/>
    <n v="-27709.366656323153"/>
    <n v="0"/>
    <n v="0"/>
    <n v="0"/>
    <n v="0"/>
    <n v="0"/>
    <n v="0"/>
    <n v="0"/>
    <n v="0"/>
    <n v="0"/>
    <n v="0"/>
    <n v="0"/>
    <n v="0"/>
    <n v="75523.5573911420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02"/>
    <s v="Sistema de Compensação"/>
    <s v="Azul"/>
    <s v="A4"/>
    <s v="Industrial"/>
    <s v="Não se aplica"/>
    <s v="Não se aplica"/>
    <s v="Não se aplica"/>
    <s v="Fora ponta"/>
    <s v="CATIVO"/>
    <x v="4"/>
    <n v="2000"/>
    <n v="2000"/>
    <n v="697.65599999999995"/>
    <n v="697.65599999999995"/>
    <n v="697.65599999999995"/>
    <n v="697.65599999999995"/>
    <n v="12.58"/>
    <n v="78.42"/>
    <n v="171.61"/>
    <n v="25160"/>
    <n v="174434.92968"/>
    <n v="199594.92968"/>
    <n v="208086.74624000001"/>
    <n v="0"/>
    <n v="36695.205920779576"/>
    <n v="0"/>
    <n v="0"/>
    <n v="0"/>
    <n v="13254.878844983039"/>
    <n v="11899.418050816421"/>
    <n v="115374.32220147813"/>
    <n v="4350.134185962118"/>
    <n v="0"/>
    <n v="0"/>
    <n v="0"/>
    <n v="0"/>
    <n v="6521.7655725251207"/>
    <m/>
    <n v="184.22337465426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12.4131947160049"/>
    <n v="0"/>
    <n v="0"/>
    <n v="0"/>
    <n v="0"/>
    <n v="0"/>
    <m/>
    <m/>
    <m/>
    <m/>
    <m/>
    <m/>
    <m/>
    <m/>
    <m/>
    <n v="119686.73539619414"/>
    <m/>
    <m/>
    <m/>
    <m/>
    <m/>
    <m/>
    <m/>
    <m/>
    <m/>
    <m/>
    <m/>
    <m/>
    <n v="208087.8064"/>
    <n v="8492.8467200000014"/>
    <m/>
    <m/>
    <m/>
    <m/>
    <n v="-7212.42"/>
    <n v="15704.236559999992"/>
    <n v="31"/>
    <n v="11071.379494962806"/>
    <n v="0"/>
    <n v="0"/>
    <n v="0"/>
    <n v="0"/>
    <n v="0"/>
    <n v="0"/>
    <n v="0"/>
    <n v="596.90198960740054"/>
    <n v="0"/>
    <n v="0"/>
    <n v="15707.966682763552"/>
    <n v="0"/>
    <n v="0"/>
    <n v="0"/>
    <n v="587.12581354639951"/>
    <n v="0"/>
    <n v="-5040.1875743323471"/>
    <m/>
    <n v="0"/>
    <n v="0"/>
    <n v="0"/>
    <n v="0"/>
    <n v="-751.59181647671357"/>
    <n v="-28.8356001454965"/>
    <n v="0"/>
    <n v="0"/>
    <m/>
    <m/>
    <n v="11899.418050816421"/>
    <n v="0"/>
    <n v="0"/>
    <n v="0"/>
    <n v="-7212.4199999999837"/>
    <n v="15704.236560000005"/>
    <n v="0"/>
    <n v="0"/>
    <n v="-2572.5899783050008"/>
    <n v="0"/>
    <n v="0"/>
    <n v="0"/>
    <n v="0"/>
    <n v="0"/>
    <n v="0"/>
    <n v="0"/>
    <n v="0"/>
    <n v="0"/>
    <n v="0"/>
    <n v="0"/>
    <n v="0"/>
    <n v="6997.648075046073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03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24584.94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04"/>
    <s v="Sistema de Compensação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0000.8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05"/>
    <s v="Regular"/>
    <s v="Verde"/>
    <s v="A4"/>
    <s v="Industrial"/>
    <s v="Não se aplica"/>
    <s v="Não se aplica"/>
    <s v="Não se aplica"/>
    <s v="Ponta"/>
    <s v="CATIVO"/>
    <x v="4"/>
    <n v="0"/>
    <n v="0"/>
    <n v="153.42099999999999"/>
    <n v="153.42099999999999"/>
    <n v="153.42099999999999"/>
    <n v="153.42099999999999"/>
    <m/>
    <n v="984.21"/>
    <n v="171.61"/>
    <m/>
    <n v="177327.06021999998"/>
    <n v="177327.06021999998"/>
    <n v="165364.82485"/>
    <n v="0"/>
    <n v="8069.614806683986"/>
    <n v="0"/>
    <n v="0"/>
    <n v="0"/>
    <n v="60403.177154309924"/>
    <n v="78564.151056495815"/>
    <n v="25371.879388227117"/>
    <n v="956.63469810980496"/>
    <n v="0"/>
    <n v="0"/>
    <n v="0"/>
    <n v="0"/>
    <n v="1434.1965035811011"/>
    <m/>
    <n v="40.51242211466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8.33950363291399"/>
    <n v="0"/>
    <n v="0"/>
    <n v="0"/>
    <n v="0"/>
    <n v="0"/>
    <m/>
    <m/>
    <m/>
    <m/>
    <m/>
    <m/>
    <m/>
    <m/>
    <m/>
    <n v="26320.21889186003"/>
    <m/>
    <m/>
    <m/>
    <m/>
    <m/>
    <m/>
    <m/>
    <m/>
    <m/>
    <m/>
    <m/>
    <m/>
    <n v="165363.747"/>
    <n v="-11963.34322000001"/>
    <m/>
    <m/>
    <m/>
    <m/>
    <n v="-15415.742080000002"/>
    <n v="3453.5067099999983"/>
    <n v="31"/>
    <n v="5023.5480073567014"/>
    <n v="0"/>
    <n v="0"/>
    <n v="0"/>
    <n v="0"/>
    <n v="0"/>
    <n v="0"/>
    <n v="0"/>
    <n v="2720.1136308887508"/>
    <n v="0"/>
    <n v="0"/>
    <n v="3454.3269984580766"/>
    <n v="0"/>
    <n v="0"/>
    <n v="0"/>
    <n v="129.11439081739729"/>
    <n v="0"/>
    <n v="-1108.3838135723654"/>
    <m/>
    <n v="0"/>
    <n v="0"/>
    <n v="0"/>
    <n v="0"/>
    <n v="-165.28198435285299"/>
    <n v="-6.3412148822947429"/>
    <n v="0"/>
    <n v="0"/>
    <m/>
    <m/>
    <m/>
    <n v="78564.151056495815"/>
    <n v="0"/>
    <n v="0"/>
    <n v="-15415.742079999996"/>
    <n v="3453.5067099999978"/>
    <n v="0"/>
    <n v="0"/>
    <n v="-16985.145559123717"/>
    <n v="0"/>
    <n v="0"/>
    <n v="0"/>
    <n v="0"/>
    <n v="0"/>
    <n v="0"/>
    <n v="0"/>
    <n v="0"/>
    <n v="0"/>
    <n v="0"/>
    <n v="0"/>
    <n v="0"/>
    <n v="1538.847462534033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06"/>
    <s v="Sistema de Compensação"/>
    <s v="Verde"/>
    <s v="A4"/>
    <s v="Industrial"/>
    <s v="Não se aplica"/>
    <s v="Não se aplica"/>
    <s v="Não se aplica"/>
    <s v="Ponta"/>
    <s v="CATIVO"/>
    <x v="4"/>
    <n v="0"/>
    <n v="0"/>
    <n v="1.1659999999999999"/>
    <n v="1.1659999999999999"/>
    <n v="1.1659999999999999"/>
    <n v="1.1659999999999999"/>
    <m/>
    <n v="984.21"/>
    <n v="171.61"/>
    <m/>
    <n v="1347.6861200000001"/>
    <n v="1347.6861200000001"/>
    <n v="1256.7730999999999"/>
    <n v="0"/>
    <n v="61.329093569938458"/>
    <n v="0"/>
    <n v="0"/>
    <n v="0"/>
    <n v="459.06430385622156"/>
    <n v="597.08775286221658"/>
    <n v="192.82634950021716"/>
    <n v="7.2704261997772965"/>
    <n v="0"/>
    <n v="0"/>
    <n v="0"/>
    <n v="0"/>
    <n v="10.899897166460677"/>
    <m/>
    <n v="0.30789451369567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073827001256525"/>
    <n v="0"/>
    <n v="0"/>
    <n v="0"/>
    <n v="0"/>
    <n v="0"/>
    <m/>
    <m/>
    <m/>
    <m/>
    <m/>
    <m/>
    <m/>
    <m/>
    <m/>
    <n v="200.03373220034283"/>
    <m/>
    <m/>
    <m/>
    <m/>
    <m/>
    <m/>
    <m/>
    <m/>
    <m/>
    <m/>
    <m/>
    <m/>
    <n v="1261.0844999999999"/>
    <n v="-86.631620000000112"/>
    <m/>
    <m/>
    <m/>
    <m/>
    <n v="-117.15968000000001"/>
    <n v="26.246659999999988"/>
    <n v="31"/>
    <n v="38.178977953330445"/>
    <n v="0"/>
    <n v="0"/>
    <n v="0"/>
    <n v="0"/>
    <n v="0"/>
    <n v="0"/>
    <n v="0"/>
    <n v="20.672870686648423"/>
    <n v="0"/>
    <n v="0"/>
    <n v="26.252894194420037"/>
    <n v="0"/>
    <n v="0"/>
    <n v="0"/>
    <n v="0.981269706839905"/>
    <n v="0"/>
    <n v="-8.4237198729338161"/>
    <m/>
    <n v="0"/>
    <n v="0"/>
    <n v="0"/>
    <n v="0"/>
    <n v="-1.2561435120056981"/>
    <n v="-4.819324963828725E-2"/>
    <n v="0"/>
    <n v="0"/>
    <m/>
    <m/>
    <m/>
    <n v="597.08775286221658"/>
    <n v="0"/>
    <n v="0"/>
    <n v="-117.15968000000021"/>
    <n v="26.246659999999991"/>
    <n v="0"/>
    <n v="0"/>
    <n v="-129.08715053309692"/>
    <n v="0"/>
    <n v="0"/>
    <n v="0"/>
    <n v="0"/>
    <n v="0"/>
    <n v="0"/>
    <n v="0"/>
    <n v="0"/>
    <n v="0"/>
    <n v="0"/>
    <n v="0"/>
    <n v="0"/>
    <n v="11.6952447273494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07"/>
    <s v="Regular"/>
    <s v="Verde"/>
    <s v="A4"/>
    <s v="Industrial"/>
    <s v="Não se aplica"/>
    <s v="Não se aplica"/>
    <s v="Não se aplica"/>
    <s v="Fora ponta"/>
    <s v="CATIVO"/>
    <x v="4"/>
    <n v="0"/>
    <n v="0"/>
    <n v="1788.13"/>
    <n v="1788.13"/>
    <n v="1788.13"/>
    <n v="1788.13"/>
    <m/>
    <n v="78.42"/>
    <n v="171.61"/>
    <m/>
    <n v="447086.14390000002"/>
    <n v="447086.14390000002"/>
    <n v="473925.97520000004"/>
    <n v="0"/>
    <n v="94051.794241178446"/>
    <n v="0"/>
    <n v="0"/>
    <n v="0"/>
    <n v="0"/>
    <n v="0"/>
    <n v="295710.6177802945"/>
    <n v="11149.628816987803"/>
    <n v="0"/>
    <n v="0"/>
    <n v="0"/>
    <n v="0"/>
    <n v="16715.637324411095"/>
    <m/>
    <n v="472.17445692508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52.947879567482"/>
    <n v="0"/>
    <n v="0"/>
    <n v="0"/>
    <n v="0"/>
    <n v="0"/>
    <m/>
    <m/>
    <m/>
    <m/>
    <m/>
    <m/>
    <m/>
    <m/>
    <m/>
    <n v="306763.56565986201"/>
    <m/>
    <m/>
    <m/>
    <m/>
    <m/>
    <m/>
    <m/>
    <m/>
    <m/>
    <m/>
    <m/>
    <m/>
    <n v="473925.97520000004"/>
    <n v="26839.801299999992"/>
    <m/>
    <m/>
    <m/>
    <m/>
    <n v="-13410.975"/>
    <n v="40250.806299999989"/>
    <n v="31"/>
    <n v="26846.651446631528"/>
    <n v="0"/>
    <n v="0"/>
    <n v="0"/>
    <n v="0"/>
    <n v="0"/>
    <n v="0"/>
    <n v="0"/>
    <n v="0"/>
    <n v="0"/>
    <n v="0"/>
    <n v="40260.366806061997"/>
    <n v="0"/>
    <n v="0"/>
    <n v="0"/>
    <n v="1504.8351637149572"/>
    <n v="0"/>
    <n v="-12918.272912855187"/>
    <m/>
    <n v="0"/>
    <n v="0"/>
    <n v="0"/>
    <n v="0"/>
    <n v="-1926.370410053818"/>
    <n v="-73.907200236458493"/>
    <n v="0"/>
    <n v="0"/>
    <m/>
    <m/>
    <m/>
    <n v="0"/>
    <n v="0"/>
    <n v="0"/>
    <n v="-13410.974999999991"/>
    <n v="40250.806299999997"/>
    <n v="0"/>
    <n v="0"/>
    <n v="0"/>
    <n v="0"/>
    <n v="0"/>
    <n v="0"/>
    <n v="0"/>
    <n v="0"/>
    <n v="0"/>
    <n v="0"/>
    <n v="0"/>
    <n v="0"/>
    <n v="0"/>
    <n v="0"/>
    <n v="0"/>
    <n v="17935.3498750560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08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28.181999999999999"/>
    <n v="28.181999999999999"/>
    <n v="28.181999999999999"/>
    <n v="28.181999999999999"/>
    <m/>
    <n v="78.42"/>
    <n v="171.61"/>
    <m/>
    <n v="7046.3454600000005"/>
    <n v="7046.3454600000005"/>
    <n v="7469.3572800000002"/>
    <n v="0"/>
    <n v="1482.3126200583238"/>
    <n v="0"/>
    <n v="0"/>
    <n v="0"/>
    <n v="0"/>
    <n v="0"/>
    <n v="4660.5764850901551"/>
    <n v="175.72482947008899"/>
    <n v="0"/>
    <n v="0"/>
    <n v="0"/>
    <n v="0"/>
    <n v="263.44845792898354"/>
    <m/>
    <n v="7.441752302719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4.20107997850869"/>
    <n v="0"/>
    <n v="0"/>
    <n v="0"/>
    <n v="0"/>
    <n v="0"/>
    <m/>
    <m/>
    <m/>
    <m/>
    <m/>
    <m/>
    <m/>
    <m/>
    <m/>
    <n v="4834.7775650686635"/>
    <m/>
    <m/>
    <m/>
    <m/>
    <m/>
    <m/>
    <m/>
    <m/>
    <m/>
    <m/>
    <m/>
    <m/>
    <n v="7468.8271999999997"/>
    <n v="422.45173999999861"/>
    <m/>
    <m/>
    <m/>
    <m/>
    <n v="-211.36499999999998"/>
    <n v="634.37681999999973"/>
    <n v="31"/>
    <n v="423.11930959660094"/>
    <n v="0"/>
    <n v="0"/>
    <n v="0"/>
    <n v="0"/>
    <n v="0"/>
    <n v="0"/>
    <n v="0"/>
    <n v="0"/>
    <n v="0"/>
    <n v="0"/>
    <n v="634.52749930286882"/>
    <n v="0"/>
    <n v="0"/>
    <n v="0"/>
    <n v="23.717103669092808"/>
    <n v="0"/>
    <n v="-203.59971994770217"/>
    <m/>
    <n v="0"/>
    <n v="0"/>
    <n v="0"/>
    <n v="0"/>
    <n v="-30.360751676967908"/>
    <n v="-1.1648217506914333"/>
    <n v="0"/>
    <n v="0"/>
    <m/>
    <m/>
    <m/>
    <n v="0"/>
    <n v="0"/>
    <n v="0"/>
    <n v="-211.36500000000001"/>
    <n v="634.3768199999995"/>
    <n v="0"/>
    <n v="0"/>
    <n v="0"/>
    <n v="0"/>
    <n v="0"/>
    <n v="0"/>
    <n v="0"/>
    <n v="0"/>
    <n v="0"/>
    <n v="0"/>
    <n v="0"/>
    <n v="0"/>
    <n v="0"/>
    <n v="0"/>
    <n v="0"/>
    <n v="282.6718584100881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09"/>
    <s v="Regular"/>
    <s v="Verde"/>
    <s v="A4"/>
    <s v="Industrial"/>
    <s v="Não se aplica"/>
    <s v="Não se aplica"/>
    <s v="Não se aplica"/>
    <s v="Não se aplica"/>
    <s v="CATIVO"/>
    <x v="4"/>
    <n v="9733"/>
    <n v="9733"/>
    <n v="0"/>
    <n v="0"/>
    <n v="0"/>
    <n v="0"/>
    <n v="12.58"/>
    <m/>
    <m/>
    <n v="122441.14"/>
    <m/>
    <n v="122441.14"/>
    <n v="112805.47"/>
    <n v="0"/>
    <n v="0"/>
    <n v="0"/>
    <n v="0"/>
    <n v="0"/>
    <n v="64504.867899109966"/>
    <n v="57908.517944298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41388.95"/>
    <n v="51"/>
    <m/>
    <m/>
    <m/>
    <m/>
    <m/>
    <m/>
    <m/>
    <m/>
    <m/>
    <n v="0"/>
    <m/>
    <m/>
    <m/>
    <m/>
    <m/>
    <m/>
    <m/>
    <m/>
    <m/>
    <m/>
    <m/>
    <m/>
    <n v="112805.47"/>
    <n v="-9635.6999999999825"/>
    <m/>
    <m/>
    <m/>
    <m/>
    <n v="-9635.6700000000019"/>
    <n v="0"/>
    <n v="31"/>
    <n v="2904.8235324244088"/>
    <n v="0"/>
    <n v="0"/>
    <n v="0"/>
    <n v="0"/>
    <m/>
    <m/>
    <m/>
    <n v="2904.82353242440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908.51794429811"/>
    <m/>
    <n v="0"/>
    <n v="0"/>
    <n v="-9635.6699999999983"/>
    <m/>
    <n v="0"/>
    <m/>
    <n v="-12519.509129421283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10"/>
    <s v="Sistema de Compensação"/>
    <s v="Verde"/>
    <s v="A4"/>
    <s v="Industrial"/>
    <s v="Não se aplica"/>
    <s v="Não se aplica"/>
    <s v="Não se aplica"/>
    <s v="Não se aplica"/>
    <s v="CATIVO"/>
    <x v="4"/>
    <n v="826"/>
    <n v="826"/>
    <n v="0"/>
    <n v="0"/>
    <n v="0"/>
    <n v="0"/>
    <n v="12.58"/>
    <m/>
    <m/>
    <n v="10391.08"/>
    <m/>
    <n v="10391.08"/>
    <n v="9573.34"/>
    <n v="0"/>
    <n v="0"/>
    <n v="0"/>
    <n v="0"/>
    <n v="0"/>
    <n v="5474.2649629779953"/>
    <n v="4914.45965498718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757.37"/>
    <n v="3"/>
    <m/>
    <m/>
    <m/>
    <m/>
    <m/>
    <m/>
    <m/>
    <m/>
    <m/>
    <n v="0"/>
    <m/>
    <m/>
    <m/>
    <m/>
    <m/>
    <m/>
    <m/>
    <m/>
    <m/>
    <m/>
    <m/>
    <m/>
    <n v="9573.34"/>
    <n v="-817.77000000000044"/>
    <m/>
    <m/>
    <m/>
    <m/>
    <n v="-817.74000000000012"/>
    <n v="0"/>
    <n v="31"/>
    <n v="246.52052170785646"/>
    <n v="0"/>
    <n v="0"/>
    <n v="0"/>
    <n v="0"/>
    <m/>
    <m/>
    <m/>
    <n v="246.520521707856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14.4596549871812"/>
    <m/>
    <n v="0"/>
    <n v="0"/>
    <n v="-817.73999999999978"/>
    <m/>
    <n v="0"/>
    <m/>
    <n v="-1062.4796610399649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11"/>
    <s v="Regular"/>
    <s v="Convencional"/>
    <s v="B3"/>
    <s v="Comercial"/>
    <s v="Não se aplica"/>
    <s v="Não se aplica"/>
    <s v="Não se aplica"/>
    <s v="Não se aplica"/>
    <s v="CATIVO"/>
    <x v="4"/>
    <n v="0"/>
    <n v="0"/>
    <n v="574.92600000000004"/>
    <n v="574.92600000000004"/>
    <n v="574.92600000000004"/>
    <n v="574.92600000000004"/>
    <m/>
    <n v="239.69"/>
    <n v="171.61"/>
    <m/>
    <n v="236467.06380000003"/>
    <n v="236467.06380000003"/>
    <n v="235598.92554000003"/>
    <n v="0"/>
    <n v="34758.473265304754"/>
    <n v="0"/>
    <n v="0"/>
    <n v="0"/>
    <n v="30664.249127755582"/>
    <n v="50946.91010280815"/>
    <n v="95077.943235644838"/>
    <n v="3584.8688279015114"/>
    <n v="0"/>
    <n v="0"/>
    <n v="0"/>
    <n v="0"/>
    <n v="5374.4719368135275"/>
    <m/>
    <n v="227.70038886842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04.5151969685667"/>
    <n v="0"/>
    <n v="0"/>
    <n v="0"/>
    <n v="105528.94"/>
    <n v="553"/>
    <m/>
    <m/>
    <m/>
    <m/>
    <m/>
    <m/>
    <m/>
    <m/>
    <m/>
    <n v="104282.45843261341"/>
    <m/>
    <m/>
    <m/>
    <m/>
    <m/>
    <m/>
    <m/>
    <m/>
    <m/>
    <m/>
    <m/>
    <m/>
    <n v="235600.56469999999"/>
    <n v="-866.5291000000725"/>
    <m/>
    <m/>
    <m/>
    <m/>
    <n v="-13809.722520000007"/>
    <n v="12941.584259999996"/>
    <n v="31"/>
    <n v="10149.538424333528"/>
    <n v="0"/>
    <n v="0"/>
    <n v="0"/>
    <n v="0"/>
    <n v="0"/>
    <n v="0"/>
    <n v="0"/>
    <n v="1380.8916345623438"/>
    <n v="0"/>
    <n v="0"/>
    <n v="12944.658188354311"/>
    <n v="0"/>
    <n v="0"/>
    <n v="0"/>
    <n v="1253.1750157759107"/>
    <n v="0"/>
    <n v="-4774.1720112639669"/>
    <m/>
    <n v="0"/>
    <n v="0"/>
    <n v="0"/>
    <n v="0"/>
    <n v="-619.37355470273451"/>
    <n v="-35.640848392373528"/>
    <n v="0"/>
    <n v="0"/>
    <m/>
    <m/>
    <m/>
    <n v="50946.91010280815"/>
    <n v="0"/>
    <n v="0"/>
    <n v="-13809.72252000001"/>
    <n v="12941.584259999989"/>
    <n v="0"/>
    <n v="0"/>
    <n v="-11014.447076014585"/>
    <n v="0"/>
    <n v="0"/>
    <n v="0"/>
    <n v="0"/>
    <n v="0"/>
    <n v="0"/>
    <n v="0"/>
    <n v="0"/>
    <n v="0"/>
    <n v="0"/>
    <n v="0"/>
    <n v="0"/>
    <n v="6628.319897198539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12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2.488"/>
    <n v="2.488"/>
    <n v="2.488"/>
    <n v="2.488"/>
    <m/>
    <n v="239.69"/>
    <n v="171.61"/>
    <m/>
    <n v="1023.3144"/>
    <n v="1023.3144"/>
    <n v="1019.5575200000001"/>
    <n v="0"/>
    <n v="150.4177606928165"/>
    <n v="0"/>
    <n v="0"/>
    <n v="0"/>
    <n v="132.69995065426835"/>
    <n v="220.47343890480977"/>
    <n v="411.45107852190426"/>
    <n v="15.513568083229771"/>
    <n v="0"/>
    <n v="0"/>
    <n v="0"/>
    <n v="0"/>
    <n v="23.258099614197402"/>
    <m/>
    <n v="0.985376496287603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832663351557926"/>
    <n v="0"/>
    <n v="0"/>
    <n v="0"/>
    <n v="1377.23"/>
    <n v="8"/>
    <m/>
    <m/>
    <m/>
    <m/>
    <m/>
    <m/>
    <m/>
    <m/>
    <m/>
    <n v="451.28374187346219"/>
    <m/>
    <m/>
    <m/>
    <m/>
    <m/>
    <m/>
    <m/>
    <m/>
    <m/>
    <m/>
    <m/>
    <m/>
    <n v="1020.3771000000002"/>
    <n v="-2.9672999999997955"/>
    <m/>
    <m/>
    <m/>
    <m/>
    <n v="-59.761760000000024"/>
    <n v="56.004879999999979"/>
    <n v="31"/>
    <n v="43.922264082232687"/>
    <n v="0"/>
    <n v="0"/>
    <n v="0"/>
    <n v="0"/>
    <n v="0"/>
    <n v="0"/>
    <n v="0"/>
    <n v="5.9758271269539023"/>
    <n v="0"/>
    <n v="0"/>
    <n v="56.018182466309611"/>
    <n v="0"/>
    <n v="0"/>
    <n v="0"/>
    <n v="5.4231317408683282"/>
    <n v="0"/>
    <n v="-20.660293610003293"/>
    <m/>
    <n v="0"/>
    <n v="0"/>
    <n v="0"/>
    <n v="0"/>
    <n v="-2.6803473909692812"/>
    <n v="-0.15423625092659821"/>
    <n v="0"/>
    <n v="0"/>
    <m/>
    <m/>
    <m/>
    <n v="220.47343890480977"/>
    <n v="0"/>
    <n v="0"/>
    <n v="-59.761759999999981"/>
    <n v="56.004880000000014"/>
    <n v="0"/>
    <n v="0"/>
    <n v="-47.665167908781768"/>
    <n v="0"/>
    <n v="0"/>
    <n v="0"/>
    <n v="0"/>
    <n v="0"/>
    <n v="0"/>
    <n v="0"/>
    <n v="0"/>
    <n v="0"/>
    <n v="0"/>
    <n v="0"/>
    <n v="0"/>
    <n v="28.6841435319153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13"/>
    <s v="Regular"/>
    <s v="Verde"/>
    <s v="A4"/>
    <s v="Comercial"/>
    <s v="Não se aplica"/>
    <s v="Não se aplica"/>
    <s v="Não se aplica"/>
    <s v="Ponta"/>
    <s v="CATIVO"/>
    <x v="4"/>
    <n v="0"/>
    <n v="0"/>
    <n v="8.5909999999999993"/>
    <n v="8.5909999999999993"/>
    <n v="8.5909999999999993"/>
    <n v="8.5909999999999993"/>
    <m/>
    <n v="984.21"/>
    <n v="171.61"/>
    <m/>
    <n v="9929.6496199999983"/>
    <n v="9929.6496199999983"/>
    <n v="9259.8093499999995"/>
    <n v="0"/>
    <n v="451.86813281247106"/>
    <n v="0"/>
    <n v="0"/>
    <n v="0"/>
    <n v="3382.3511444500855"/>
    <n v="4399.2974998621803"/>
    <n v="1420.7299901855624"/>
    <n v="53.567951528547816"/>
    <n v="0"/>
    <n v="0"/>
    <n v="0"/>
    <n v="0"/>
    <n v="80.309619688733861"/>
    <m/>
    <n v="2.26854353958793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10345178111448"/>
    <n v="0"/>
    <n v="0"/>
    <n v="0"/>
    <n v="0"/>
    <n v="0"/>
    <m/>
    <m/>
    <m/>
    <m/>
    <m/>
    <m/>
    <m/>
    <m/>
    <m/>
    <n v="1473.8334419666769"/>
    <m/>
    <m/>
    <m/>
    <m/>
    <m/>
    <m/>
    <m/>
    <m/>
    <m/>
    <m/>
    <m/>
    <m/>
    <n v="9258.7314999999999"/>
    <n v="-670.94811999999911"/>
    <m/>
    <m/>
    <m/>
    <m/>
    <n v="-863.22368000000006"/>
    <n v="193.38340999999991"/>
    <n v="31"/>
    <n v="281.29982812784056"/>
    <n v="0"/>
    <n v="0"/>
    <n v="0"/>
    <n v="0"/>
    <n v="0"/>
    <n v="0"/>
    <n v="0"/>
    <n v="152.31615100256977"/>
    <n v="0"/>
    <n v="0"/>
    <n v="193.4293430739815"/>
    <n v="0"/>
    <n v="0"/>
    <n v="0"/>
    <n v="7.2299211419053364"/>
    <n v="0"/>
    <n v="-62.065332271333091"/>
    <m/>
    <n v="0"/>
    <n v="0"/>
    <n v="0"/>
    <n v="0"/>
    <n v="-9.2551705931740571"/>
    <n v="-0.35508422610851276"/>
    <n v="0"/>
    <n v="0"/>
    <m/>
    <m/>
    <m/>
    <n v="4399.2974998621803"/>
    <n v="0"/>
    <n v="0"/>
    <n v="-863.22367999999915"/>
    <n v="193.38340999999991"/>
    <n v="0"/>
    <n v="0"/>
    <n v="-951.1043827014023"/>
    <n v="0"/>
    <n v="0"/>
    <n v="0"/>
    <n v="0"/>
    <n v="0"/>
    <n v="0"/>
    <n v="0"/>
    <n v="0"/>
    <n v="0"/>
    <n v="0"/>
    <n v="0"/>
    <n v="0"/>
    <n v="86.16968049113147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14"/>
    <s v="Regular"/>
    <s v="Verde"/>
    <s v="A4"/>
    <s v="Comercial"/>
    <s v="Não se aplica"/>
    <s v="Não se aplica"/>
    <s v="Não se aplica"/>
    <s v="Fora ponta"/>
    <s v="CATIVO"/>
    <x v="4"/>
    <n v="0"/>
    <n v="0"/>
    <n v="96.287999999999997"/>
    <n v="96.287999999999997"/>
    <n v="96.287999999999997"/>
    <n v="96.287999999999997"/>
    <m/>
    <n v="78.42"/>
    <n v="171.61"/>
    <m/>
    <n v="24074.888640000001"/>
    <n v="24074.888640000001"/>
    <n v="25520.17152"/>
    <n v="0"/>
    <n v="5064.5418196074052"/>
    <n v="0"/>
    <n v="0"/>
    <n v="0"/>
    <n v="0"/>
    <n v="0"/>
    <n v="15923.553636944178"/>
    <n v="600.39004967766402"/>
    <n v="0"/>
    <n v="0"/>
    <n v="0"/>
    <n v="0"/>
    <n v="900.1108905353052"/>
    <m/>
    <n v="25.425855004055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5.18393261552217"/>
    <n v="0"/>
    <n v="0"/>
    <n v="0"/>
    <n v="0"/>
    <n v="0"/>
    <m/>
    <m/>
    <m/>
    <m/>
    <m/>
    <m/>
    <m/>
    <m/>
    <m/>
    <n v="16518.7375695597"/>
    <m/>
    <m/>
    <m/>
    <m/>
    <m/>
    <m/>
    <m/>
    <m/>
    <m/>
    <m/>
    <m/>
    <m/>
    <n v="25520.7016"/>
    <n v="1445.7829600000005"/>
    <m/>
    <m/>
    <m/>
    <m/>
    <n v="-722.16"/>
    <n v="2167.4428799999991"/>
    <n v="31"/>
    <n v="1445.6501342146621"/>
    <n v="0"/>
    <n v="0"/>
    <n v="0"/>
    <n v="0"/>
    <n v="0"/>
    <n v="0"/>
    <n v="0"/>
    <n v="0"/>
    <n v="0"/>
    <n v="0"/>
    <n v="2167.9576982781455"/>
    <n v="0"/>
    <n v="0"/>
    <n v="0"/>
    <n v="81.033016751458717"/>
    <n v="0"/>
    <n v="-695.62876425819195"/>
    <m/>
    <n v="0"/>
    <n v="0"/>
    <n v="0"/>
    <n v="0"/>
    <n v="-103.7320295746182"/>
    <n v="-3.9797869821367087"/>
    <n v="0"/>
    <n v="0"/>
    <m/>
    <m/>
    <m/>
    <n v="0"/>
    <n v="0"/>
    <n v="0"/>
    <n v="-722.15999999999985"/>
    <n v="2167.4428799999987"/>
    <n v="0"/>
    <n v="0"/>
    <n v="0"/>
    <n v="0"/>
    <n v="0"/>
    <n v="0"/>
    <n v="0"/>
    <n v="0"/>
    <n v="0"/>
    <n v="0"/>
    <n v="0"/>
    <n v="0"/>
    <n v="0"/>
    <n v="0"/>
    <n v="0"/>
    <n v="965.7905011209484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15"/>
    <s v="Regular"/>
    <s v="Verde"/>
    <s v="A4"/>
    <s v="Comercial"/>
    <s v="Não se aplica"/>
    <s v="Não se aplica"/>
    <s v="Não se aplica"/>
    <s v="Não se aplica"/>
    <s v="CATIVO"/>
    <x v="4"/>
    <n v="537"/>
    <n v="537"/>
    <n v="0"/>
    <n v="0"/>
    <n v="0"/>
    <n v="0"/>
    <n v="12.58"/>
    <m/>
    <m/>
    <n v="6755.46"/>
    <m/>
    <n v="6755.46"/>
    <n v="6223.83"/>
    <n v="0"/>
    <n v="0"/>
    <n v="0"/>
    <n v="0"/>
    <n v="0"/>
    <n v="3558.9349698779461"/>
    <n v="3194.99374664420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9825.91"/>
    <n v="5"/>
    <m/>
    <m/>
    <m/>
    <m/>
    <m/>
    <m/>
    <m/>
    <m/>
    <m/>
    <n v="0"/>
    <m/>
    <m/>
    <m/>
    <m/>
    <m/>
    <m/>
    <m/>
    <m/>
    <m/>
    <m/>
    <m/>
    <m/>
    <n v="6223.83"/>
    <n v="-531.66000000000076"/>
    <m/>
    <m/>
    <m/>
    <m/>
    <n v="-531.63000000000011"/>
    <n v="0"/>
    <n v="31"/>
    <n v="160.26818420958671"/>
    <n v="0"/>
    <n v="0"/>
    <n v="0"/>
    <n v="0"/>
    <m/>
    <m/>
    <m/>
    <n v="160.268184209586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94.9937466442088"/>
    <m/>
    <n v="0"/>
    <n v="0"/>
    <n v="-531.63000000000011"/>
    <m/>
    <n v="0"/>
    <m/>
    <n v="-690.74040917489265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16"/>
    <s v="Regular"/>
    <s v="Convencional"/>
    <s v="B2"/>
    <s v="Rural"/>
    <s v="Não se aplica"/>
    <s v="Não se aplica"/>
    <s v="Não se aplica"/>
    <s v="Não se aplica"/>
    <s v="CATIVO"/>
    <x v="4"/>
    <n v="0"/>
    <n v="0"/>
    <n v="685.76099999999997"/>
    <n v="685.76099999999997"/>
    <n v="685.76099999999997"/>
    <n v="685.76099999999997"/>
    <m/>
    <n v="239.69"/>
    <n v="171.61"/>
    <m/>
    <n v="282053.49930000002"/>
    <n v="282053.49930000002"/>
    <n v="281018.00018999999"/>
    <n v="0"/>
    <n v="41459.258034753431"/>
    <n v="0"/>
    <n v="0"/>
    <n v="0"/>
    <n v="36575.743915040883"/>
    <n v="60768.523286495678"/>
    <n v="113407.19576296606"/>
    <n v="4275.9646150818853"/>
    <n v="0"/>
    <n v="0"/>
    <n v="0"/>
    <n v="0"/>
    <n v="6410.569794827823"/>
    <m/>
    <n v="271.59677309914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78.973895750689"/>
    <n v="0"/>
    <n v="0"/>
    <n v="0"/>
    <n v="96369.81"/>
    <n v="727"/>
    <m/>
    <m/>
    <m/>
    <m/>
    <m/>
    <n v="33718.868369999989"/>
    <m/>
    <m/>
    <m/>
    <n v="124386.16965871675"/>
    <m/>
    <m/>
    <m/>
    <m/>
    <m/>
    <m/>
    <m/>
    <m/>
    <m/>
    <m/>
    <m/>
    <m/>
    <n v="247298.77120000002"/>
    <n v="-912.45275000002584"/>
    <m/>
    <m/>
    <m/>
    <m/>
    <n v="-16471.979220000005"/>
    <n v="15436.480109999993"/>
    <n v="31"/>
    <n v="12106.179959524132"/>
    <n v="0"/>
    <n v="0"/>
    <n v="0"/>
    <n v="0"/>
    <n v="0"/>
    <n v="0"/>
    <n v="0"/>
    <n v="1647.1017630253409"/>
    <n v="0"/>
    <n v="0"/>
    <n v="15440.146634356497"/>
    <n v="0"/>
    <n v="0"/>
    <n v="0"/>
    <n v="1494.7637643688122"/>
    <n v="0"/>
    <n v="-5694.543250116345"/>
    <m/>
    <n v="0"/>
    <n v="0"/>
    <n v="0"/>
    <n v="0"/>
    <n v="-738.77721349617514"/>
    <n v="-42.511738614017247"/>
    <n v="0"/>
    <n v="0"/>
    <m/>
    <m/>
    <m/>
    <n v="60768.523286495678"/>
    <n v="0"/>
    <n v="0"/>
    <n v="-16471.979220000008"/>
    <n v="15436.480110000004"/>
    <n v="0"/>
    <n v="0"/>
    <n v="-13137.826853012099"/>
    <n v="0"/>
    <n v="0"/>
    <n v="0"/>
    <n v="0"/>
    <n v="0"/>
    <n v="0"/>
    <n v="0"/>
    <n v="0"/>
    <n v="0"/>
    <n v="0"/>
    <n v="0"/>
    <n v="0"/>
    <n v="7906.136234963746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17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42.182000000000002"/>
    <n v="42.182000000000002"/>
    <n v="42.182000000000002"/>
    <n v="42.182000000000002"/>
    <m/>
    <n v="239.69"/>
    <n v="171.61"/>
    <m/>
    <n v="17349.456600000001"/>
    <n v="17349.456600000001"/>
    <n v="17285.761780000001"/>
    <n v="0"/>
    <n v="2550.2097996561038"/>
    <n v="0"/>
    <n v="0"/>
    <n v="0"/>
    <n v="2249.8188579173425"/>
    <n v="3737.9463825895041"/>
    <n v="6975.8156729143757"/>
    <n v="263.01982672298965"/>
    <n v="0"/>
    <n v="0"/>
    <n v="0"/>
    <n v="0"/>
    <n v="394.32200881273104"/>
    <m/>
    <n v="16.706250549197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5.33014690330242"/>
    <n v="0"/>
    <n v="0"/>
    <n v="0"/>
    <n v="9133.89"/>
    <n v="10"/>
    <m/>
    <m/>
    <m/>
    <m/>
    <m/>
    <n v="2074.0889399999996"/>
    <m/>
    <m/>
    <m/>
    <n v="7651.1458198176779"/>
    <m/>
    <m/>
    <m/>
    <m/>
    <m/>
    <m/>
    <m/>
    <m/>
    <m/>
    <m/>
    <m/>
    <m/>
    <n v="15210.9516"/>
    <n v="-56.853300000002491"/>
    <m/>
    <m/>
    <m/>
    <m/>
    <n v="-1013.2116400000004"/>
    <n v="949.51681999999971"/>
    <n v="31"/>
    <n v="744.66597408229245"/>
    <n v="0"/>
    <n v="0"/>
    <n v="0"/>
    <n v="0"/>
    <n v="0"/>
    <n v="0"/>
    <n v="0"/>
    <n v="101.31524914355714"/>
    <n v="0"/>
    <n v="0"/>
    <n v="949.74235240911275"/>
    <n v="0"/>
    <n v="0"/>
    <n v="0"/>
    <n v="91.94475204714945"/>
    <n v="0"/>
    <n v="-350.27833804548163"/>
    <m/>
    <n v="0"/>
    <n v="0"/>
    <n v="0"/>
    <n v="0"/>
    <n v="-45.443092301393165"/>
    <n v="-2.6149491706534409"/>
    <n v="0"/>
    <n v="0"/>
    <m/>
    <m/>
    <m/>
    <n v="3737.9463825895041"/>
    <n v="0"/>
    <n v="0"/>
    <n v="-1013.2116400000014"/>
    <n v="949.51681999999892"/>
    <n v="0"/>
    <n v="0"/>
    <n v="-808.1238395209939"/>
    <n v="0"/>
    <n v="0"/>
    <n v="0"/>
    <n v="0"/>
    <n v="0"/>
    <n v="0"/>
    <n v="0"/>
    <n v="0"/>
    <n v="0"/>
    <n v="0"/>
    <n v="0"/>
    <n v="0"/>
    <n v="486.3161344305680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18"/>
    <s v="Regular"/>
    <s v="Verde"/>
    <s v="A4"/>
    <s v="Rural"/>
    <s v="Não se aplica"/>
    <s v="Não se aplica"/>
    <s v="Não se aplica"/>
    <s v="Ponta"/>
    <s v="CATIVO"/>
    <x v="4"/>
    <n v="0"/>
    <n v="0"/>
    <n v="24.062000000000001"/>
    <n v="23.099519999999998"/>
    <n v="24.062000000000001"/>
    <n v="23.099519999999998"/>
    <m/>
    <n v="984.21"/>
    <n v="171.61"/>
    <m/>
    <n v="27811.340840000001"/>
    <n v="27811.340840000001"/>
    <n v="25935.226700000003"/>
    <n v="0"/>
    <n v="1265.609476397821"/>
    <n v="0"/>
    <n v="0"/>
    <n v="0"/>
    <n v="9473.4179068511185"/>
    <n v="12321.719990883925"/>
    <n v="3979.2346669590274"/>
    <n v="150.03515884994968"/>
    <n v="0"/>
    <n v="0"/>
    <n v="0"/>
    <n v="0"/>
    <n v="224.9342415260522"/>
    <m/>
    <n v="6.3538231462652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7341702662294"/>
    <n v="0"/>
    <n v="0"/>
    <n v="0"/>
    <n v="0"/>
    <n v="0"/>
    <m/>
    <m/>
    <m/>
    <m/>
    <m/>
    <n v="1037.4090680000031"/>
    <m/>
    <m/>
    <m/>
    <n v="4127.9688372252567"/>
    <m/>
    <m/>
    <m/>
    <m/>
    <m/>
    <m/>
    <m/>
    <m/>
    <m/>
    <m/>
    <m/>
    <m/>
    <n v="24898.334999999999"/>
    <n v="-1800.5822063999949"/>
    <m/>
    <m/>
    <m/>
    <m/>
    <n v="-2417.7497600000006"/>
    <n v="541.63561999999979"/>
    <n v="31"/>
    <n v="787.87527230964042"/>
    <n v="0"/>
    <n v="0"/>
    <n v="0"/>
    <n v="0"/>
    <n v="0"/>
    <n v="0"/>
    <n v="0"/>
    <n v="426.61287689719938"/>
    <n v="0"/>
    <n v="0"/>
    <n v="541.76427110303166"/>
    <n v="0"/>
    <n v="0"/>
    <n v="0"/>
    <n v="20.249838495696224"/>
    <n v="0"/>
    <n v="-173.83494646872509"/>
    <m/>
    <n v="0"/>
    <n v="0"/>
    <n v="0"/>
    <n v="0"/>
    <n v="-25.922234293208533"/>
    <n v="-0.99453342435374559"/>
    <n v="0"/>
    <n v="0"/>
    <m/>
    <m/>
    <m/>
    <n v="12321.719990883925"/>
    <n v="0"/>
    <n v="0"/>
    <n v="-2417.7497599999988"/>
    <n v="541.63562000000002"/>
    <n v="0"/>
    <n v="0"/>
    <n v="-2663.8893791829996"/>
    <n v="0"/>
    <n v="0"/>
    <n v="0"/>
    <n v="0"/>
    <n v="0"/>
    <n v="0"/>
    <n v="0"/>
    <n v="0"/>
    <n v="0"/>
    <n v="0"/>
    <n v="0"/>
    <n v="0"/>
    <n v="241.347323009848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19"/>
    <s v="Regular"/>
    <s v="Verde"/>
    <s v="A4"/>
    <s v="Rural"/>
    <s v="Não se aplica"/>
    <s v="Não se aplica"/>
    <s v="Não se aplica"/>
    <s v="Fora ponta"/>
    <s v="CATIVO"/>
    <x v="4"/>
    <n v="0"/>
    <n v="0"/>
    <n v="308.15600000000001"/>
    <n v="295.82976000000002"/>
    <n v="308.15600000000001"/>
    <n v="295.82976000000002"/>
    <m/>
    <n v="78.42"/>
    <n v="171.61"/>
    <m/>
    <n v="77048.244680000003"/>
    <n v="77048.244680000003"/>
    <n v="81673.666240000006"/>
    <n v="0"/>
    <n v="16208.34318879756"/>
    <n v="0"/>
    <n v="0"/>
    <n v="0"/>
    <n v="0"/>
    <n v="0"/>
    <n v="50961.060511654316"/>
    <n v="1921.4626552474895"/>
    <n v="0"/>
    <n v="0"/>
    <n v="0"/>
    <n v="0"/>
    <n v="2880.6764247237197"/>
    <m/>
    <n v="81.371819693314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4.8012207031911"/>
    <n v="0"/>
    <n v="0"/>
    <n v="0"/>
    <n v="0"/>
    <n v="0"/>
    <m/>
    <m/>
    <m/>
    <m/>
    <m/>
    <n v="3266.9466495999959"/>
    <m/>
    <m/>
    <m/>
    <n v="52865.861732357509"/>
    <m/>
    <m/>
    <m/>
    <m/>
    <m/>
    <m/>
    <m/>
    <m/>
    <m/>
    <m/>
    <m/>
    <m/>
    <n v="78406.783200000005"/>
    <n v="4440.4383072000055"/>
    <m/>
    <m/>
    <m/>
    <m/>
    <n v="-2311.17"/>
    <n v="6936.5915599999971"/>
    <n v="31"/>
    <n v="4626.5969046927057"/>
    <n v="0"/>
    <n v="0"/>
    <n v="0"/>
    <n v="0"/>
    <n v="0"/>
    <n v="0"/>
    <n v="0"/>
    <n v="0"/>
    <n v="0"/>
    <n v="0"/>
    <n v="6938.2391624148295"/>
    <n v="0"/>
    <n v="0"/>
    <n v="0"/>
    <n v="259.33460358572711"/>
    <n v="0"/>
    <n v="-2226.2605670358425"/>
    <m/>
    <n v="0"/>
    <n v="0"/>
    <n v="0"/>
    <n v="0"/>
    <n v="-331.97955410431268"/>
    <n v="-12.736740167698144"/>
    <n v="0"/>
    <n v="0"/>
    <m/>
    <m/>
    <m/>
    <n v="0"/>
    <n v="0"/>
    <n v="0"/>
    <n v="-2311.1700000000019"/>
    <n v="6936.5915599999935"/>
    <n v="0"/>
    <n v="0"/>
    <n v="0"/>
    <n v="0"/>
    <n v="0"/>
    <n v="0"/>
    <n v="0"/>
    <n v="0"/>
    <n v="0"/>
    <n v="0"/>
    <n v="0"/>
    <n v="0"/>
    <n v="0"/>
    <n v="0"/>
    <n v="0"/>
    <n v="3090.874643397172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20"/>
    <s v="Regular"/>
    <s v="Verde"/>
    <s v="A4"/>
    <s v="Rural"/>
    <s v="Não se aplica"/>
    <s v="Não se aplica"/>
    <s v="Não se aplica"/>
    <s v="Não se aplica"/>
    <s v="CATIVO"/>
    <x v="4"/>
    <n v="1319"/>
    <n v="1266.24"/>
    <n v="0"/>
    <n v="0"/>
    <n v="0"/>
    <n v="0"/>
    <n v="12.58"/>
    <m/>
    <m/>
    <n v="16593.02"/>
    <m/>
    <n v="16593.02"/>
    <n v="15287.21"/>
    <n v="0"/>
    <n v="0"/>
    <n v="0"/>
    <n v="0"/>
    <n v="0"/>
    <n v="8741.5925982663139"/>
    <n v="7847.6662045134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7796.04"/>
    <n v="10"/>
    <m/>
    <m/>
    <m/>
    <m/>
    <m/>
    <n v="611.48839999999984"/>
    <m/>
    <m/>
    <m/>
    <n v="0"/>
    <m/>
    <m/>
    <m/>
    <m/>
    <m/>
    <m/>
    <m/>
    <m/>
    <m/>
    <m/>
    <m/>
    <m/>
    <n v="14675.721600000001"/>
    <n v="-1253.6075999999994"/>
    <m/>
    <m/>
    <m/>
    <m/>
    <n v="-1305.8100000000002"/>
    <n v="0"/>
    <n v="31"/>
    <n v="393.65686214608104"/>
    <n v="0"/>
    <n v="0"/>
    <n v="0"/>
    <n v="0"/>
    <m/>
    <m/>
    <m/>
    <n v="393.656862146081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7847.666204513429"/>
    <m/>
    <n v="0"/>
    <n v="0"/>
    <n v="-1305.8100000000013"/>
    <m/>
    <n v="0"/>
    <m/>
    <n v="-1696.6230906921473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21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34.177"/>
    <n v="34.177"/>
    <n v="34.177"/>
    <n v="34.177"/>
    <m/>
    <n v="239.69"/>
    <n v="171.61"/>
    <m/>
    <n v="14057.000100000001"/>
    <n v="14057.000100000001"/>
    <n v="14005.392829999999"/>
    <n v="0"/>
    <n v="2066.2491186488705"/>
    <n v="0"/>
    <n v="0"/>
    <n v="0"/>
    <n v="1822.8642337262577"/>
    <n v="3028.5854989749532"/>
    <n v="5651.994980162026"/>
    <n v="213.10579436517037"/>
    <n v="0"/>
    <n v="0"/>
    <n v="0"/>
    <n v="0"/>
    <n v="319.49038203955973"/>
    <m/>
    <n v="13.535857119622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7.17079395747396"/>
    <n v="0"/>
    <n v="0"/>
    <n v="0"/>
    <n v="5757.36"/>
    <n v="45"/>
    <m/>
    <m/>
    <m/>
    <m/>
    <m/>
    <m/>
    <m/>
    <m/>
    <m/>
    <n v="6199.1657741194995"/>
    <m/>
    <m/>
    <m/>
    <m/>
    <m/>
    <m/>
    <m/>
    <m/>
    <m/>
    <m/>
    <m/>
    <m/>
    <n v="14006.6222"/>
    <n v="-50.407900000001973"/>
    <m/>
    <m/>
    <m/>
    <m/>
    <n v="-820.93154000000038"/>
    <n v="769.32426999999973"/>
    <n v="31"/>
    <n v="603.34856090774338"/>
    <n v="0"/>
    <n v="0"/>
    <n v="0"/>
    <n v="0"/>
    <n v="0"/>
    <n v="0"/>
    <n v="0"/>
    <n v="82.088361622951879"/>
    <n v="0"/>
    <n v="0"/>
    <n v="769.5070024722927"/>
    <n v="0"/>
    <n v="0"/>
    <n v="0"/>
    <n v="74.496130831051801"/>
    <n v="0"/>
    <n v="-283.80500591201076"/>
    <m/>
    <n v="0"/>
    <n v="0"/>
    <n v="0"/>
    <n v="0"/>
    <n v="-36.819225394355726"/>
    <n v="-2.1187027121858311"/>
    <n v="0"/>
    <n v="0"/>
    <m/>
    <m/>
    <m/>
    <n v="3028.5854989749532"/>
    <n v="0"/>
    <n v="0"/>
    <n v="-820.9315400000005"/>
    <n v="769.32426999999916"/>
    <n v="0"/>
    <n v="0"/>
    <n v="-654.76384389808482"/>
    <n v="0"/>
    <n v="0"/>
    <n v="0"/>
    <n v="0"/>
    <n v="0"/>
    <n v="0"/>
    <n v="0"/>
    <n v="0"/>
    <n v="0"/>
    <n v="0"/>
    <n v="0"/>
    <n v="0"/>
    <n v="394.026516676153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22"/>
    <s v="Regular"/>
    <s v="Verde"/>
    <s v="A4"/>
    <s v="Poder público"/>
    <s v="Não se aplica"/>
    <s v="Não se aplica"/>
    <s v="Não se aplica"/>
    <s v="Ponta"/>
    <s v="CATIVO"/>
    <x v="4"/>
    <n v="0"/>
    <n v="0"/>
    <n v="0.40100000000000002"/>
    <n v="0.40100000000000002"/>
    <n v="0.40100000000000002"/>
    <n v="0.40100000000000002"/>
    <m/>
    <n v="984.21"/>
    <n v="171.61"/>
    <m/>
    <n v="463.48382000000004"/>
    <n v="463.48382000000004"/>
    <n v="432.21785000000006"/>
    <n v="0"/>
    <n v="21.091738011616915"/>
    <n v="0"/>
    <n v="0"/>
    <n v="0"/>
    <n v="157.87717482533867"/>
    <n v="205.34493044403848"/>
    <n v="66.315065308393741"/>
    <n v="2.5003781356009402"/>
    <n v="0"/>
    <n v="0"/>
    <n v="0"/>
    <n v="0"/>
    <n v="3.7485924217416229"/>
    <m/>
    <n v="0.1058882504219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786967948116527"/>
    <n v="0"/>
    <n v="0"/>
    <n v="0"/>
    <n v="0"/>
    <n v="0"/>
    <m/>
    <m/>
    <m/>
    <m/>
    <m/>
    <m/>
    <m/>
    <m/>
    <m/>
    <n v="68.793762103205395"/>
    <m/>
    <m/>
    <m/>
    <m/>
    <m/>
    <m/>
    <m/>
    <m/>
    <m/>
    <m/>
    <m/>
    <m/>
    <n v="431.14000000000004"/>
    <n v="-32.373819999999967"/>
    <m/>
    <m/>
    <m/>
    <m/>
    <n v="-40.292480000000012"/>
    <n v="9.0265099999999965"/>
    <n v="31"/>
    <n v="13.130163086865764"/>
    <n v="0"/>
    <n v="0"/>
    <n v="0"/>
    <n v="0"/>
    <n v="0"/>
    <n v="0"/>
    <n v="0"/>
    <n v="7.1096236237958692"/>
    <n v="0"/>
    <n v="0"/>
    <n v="9.0286540068288446"/>
    <n v="0"/>
    <n v="0"/>
    <n v="0"/>
    <n v="0.33746925595437549"/>
    <n v="0"/>
    <n v="-2.897008292492675"/>
    <m/>
    <n v="0"/>
    <n v="0"/>
    <n v="0"/>
    <n v="0"/>
    <n v="-0.43200132788532164"/>
    <n v="-1.6574179335294328E-2"/>
    <n v="0"/>
    <n v="0"/>
    <m/>
    <m/>
    <m/>
    <n v="205.34493044403848"/>
    <n v="0"/>
    <n v="0"/>
    <n v="-40.292480000000012"/>
    <n v="9.0265100000000018"/>
    <n v="0"/>
    <n v="0"/>
    <n v="-44.394466006665397"/>
    <n v="0"/>
    <n v="0"/>
    <n v="0"/>
    <n v="0"/>
    <n v="0"/>
    <n v="0"/>
    <n v="0"/>
    <n v="0"/>
    <n v="0"/>
    <n v="0"/>
    <n v="0"/>
    <n v="0"/>
    <n v="4.022121042596173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23"/>
    <s v="Regular"/>
    <s v="Verde"/>
    <s v="A4"/>
    <s v="Poder público"/>
    <s v="Não se aplica"/>
    <s v="Não se aplica"/>
    <s v="Não se aplica"/>
    <s v="Fora ponta"/>
    <s v="CATIVO"/>
    <x v="4"/>
    <n v="0"/>
    <n v="0"/>
    <n v="11.417"/>
    <n v="11.417"/>
    <n v="11.417"/>
    <n v="11.417"/>
    <m/>
    <n v="78.42"/>
    <n v="171.61"/>
    <m/>
    <n v="2854.5925100000004"/>
    <n v="2854.5925100000004"/>
    <n v="3025.9616799999999"/>
    <n v="0"/>
    <n v="600.5096580514471"/>
    <n v="0"/>
    <n v="0"/>
    <n v="0"/>
    <n v="0"/>
    <n v="0"/>
    <n v="1888.0775576706515"/>
    <n v="71.189070259740475"/>
    <n v="0"/>
    <n v="0"/>
    <n v="0"/>
    <n v="0"/>
    <n v="106.72738074569602"/>
    <m/>
    <n v="3.0147784415639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57177383133326"/>
    <n v="0"/>
    <n v="0"/>
    <n v="0"/>
    <n v="0"/>
    <n v="0"/>
    <m/>
    <m/>
    <m/>
    <m/>
    <m/>
    <m/>
    <m/>
    <m/>
    <m/>
    <n v="1958.6493315019848"/>
    <m/>
    <m/>
    <m/>
    <m/>
    <m/>
    <m/>
    <m/>
    <m/>
    <m/>
    <m/>
    <m/>
    <m/>
    <n v="3026.7568000000001"/>
    <n v="172.13428999999996"/>
    <m/>
    <m/>
    <m/>
    <m/>
    <n v="-85.627499999999998"/>
    <n v="256.99666999999988"/>
    <n v="31"/>
    <n v="171.41271583508615"/>
    <n v="0"/>
    <n v="0"/>
    <n v="0"/>
    <n v="0"/>
    <n v="0"/>
    <n v="0"/>
    <n v="0"/>
    <n v="0"/>
    <n v="0"/>
    <n v="0"/>
    <n v="257.05771270814193"/>
    <n v="0"/>
    <n v="0"/>
    <n v="0"/>
    <n v="9.6081957487059952"/>
    <n v="0"/>
    <n v="-82.481655050845006"/>
    <m/>
    <n v="0"/>
    <n v="0"/>
    <n v="0"/>
    <n v="0"/>
    <n v="-12.299648779218742"/>
    <n v="-0.47188879169839248"/>
    <n v="0"/>
    <n v="0"/>
    <m/>
    <m/>
    <m/>
    <n v="0"/>
    <n v="0"/>
    <n v="0"/>
    <n v="-85.627500000000055"/>
    <n v="256.99666999999977"/>
    <n v="0"/>
    <n v="0"/>
    <n v="0"/>
    <n v="0"/>
    <n v="0"/>
    <n v="0"/>
    <n v="0"/>
    <n v="0"/>
    <n v="0"/>
    <n v="0"/>
    <n v="0"/>
    <n v="0"/>
    <n v="0"/>
    <n v="0"/>
    <n v="0"/>
    <n v="114.5151021030436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24"/>
    <s v="Regular"/>
    <s v="Verde"/>
    <s v="A4"/>
    <s v="Poder público"/>
    <s v="Não se aplica"/>
    <s v="Não se aplica"/>
    <s v="Não se aplica"/>
    <s v="Não se aplica"/>
    <s v="CATIVO"/>
    <x v="4"/>
    <n v="168"/>
    <n v="168"/>
    <n v="0"/>
    <n v="0"/>
    <n v="0"/>
    <n v="0"/>
    <n v="12.58"/>
    <m/>
    <m/>
    <n v="2113.44"/>
    <m/>
    <n v="2113.44"/>
    <n v="1947.12"/>
    <n v="0"/>
    <n v="0"/>
    <n v="0"/>
    <n v="0"/>
    <n v="0"/>
    <n v="1113.4098229785754"/>
    <n v="999.551116268579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54.9"/>
    <n v="3"/>
    <m/>
    <m/>
    <m/>
    <m/>
    <m/>
    <m/>
    <m/>
    <m/>
    <m/>
    <n v="0"/>
    <m/>
    <m/>
    <m/>
    <m/>
    <m/>
    <m/>
    <m/>
    <m/>
    <m/>
    <m/>
    <m/>
    <m/>
    <n v="1947.12"/>
    <n v="-166.35000000000082"/>
    <m/>
    <m/>
    <m/>
    <m/>
    <n v="-166.32000000000005"/>
    <n v="0"/>
    <n v="31"/>
    <n v="50.139767127021514"/>
    <n v="0"/>
    <n v="0"/>
    <n v="0"/>
    <n v="0"/>
    <m/>
    <m/>
    <m/>
    <n v="50.1397671270215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999.55111626857934"/>
    <m/>
    <n v="0"/>
    <n v="0"/>
    <n v="-166.32000000000016"/>
    <m/>
    <n v="0"/>
    <m/>
    <n v="-216.09755817762004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25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101.904"/>
    <n v="101.904"/>
    <n v="101.904"/>
    <n v="101.904"/>
    <m/>
    <n v="131.83000000000001"/>
    <n v="94.39"/>
    <m/>
    <n v="23052.722880000001"/>
    <n v="23052.722880000001"/>
    <n v="22968.14256"/>
    <n v="0"/>
    <n v="3388.4623461022657"/>
    <n v="0"/>
    <n v="0"/>
    <n v="0"/>
    <n v="2989.3330684525358"/>
    <n v="4966.607284962075"/>
    <n v="9268.7624148444102"/>
    <n v="349.47429785948395"/>
    <n v="0"/>
    <n v="0"/>
    <n v="0"/>
    <n v="0"/>
    <n v="523.93543436368327"/>
    <m/>
    <n v="22.19758583711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7.31079155845396"/>
    <n v="0"/>
    <n v="0"/>
    <n v="0"/>
    <n v="12479.44"/>
    <n v="7"/>
    <m/>
    <m/>
    <m/>
    <m/>
    <m/>
    <m/>
    <m/>
    <m/>
    <m/>
    <n v="10166.073206402863"/>
    <m/>
    <m/>
    <m/>
    <m/>
    <m/>
    <m/>
    <m/>
    <m/>
    <m/>
    <m/>
    <m/>
    <m/>
    <n v="22967.241000000002"/>
    <n v="-85.511879999994562"/>
    <m/>
    <m/>
    <m/>
    <m/>
    <n v="-1346.1518400000007"/>
    <n v="1261.5715199999995"/>
    <n v="31"/>
    <n v="989.43726666789735"/>
    <n v="0"/>
    <n v="0"/>
    <n v="0"/>
    <n v="0"/>
    <n v="0"/>
    <n v="0"/>
    <n v="0"/>
    <n v="134.61751533352299"/>
    <n v="0"/>
    <n v="0"/>
    <n v="1261.9221367868886"/>
    <n v="0"/>
    <n v="0"/>
    <n v="0"/>
    <n v="122.16694103971076"/>
    <n v="0"/>
    <n v="-465.41463344798103"/>
    <m/>
    <n v="0"/>
    <n v="0"/>
    <n v="0"/>
    <n v="0"/>
    <n v="-60.380211531805969"/>
    <n v="-3.4744815124329556"/>
    <n v="0"/>
    <n v="0"/>
    <m/>
    <m/>
    <m/>
    <n v="4966.607284962075"/>
    <n v="0"/>
    <n v="0"/>
    <n v="-1346.1518400000004"/>
    <n v="1261.5715199999995"/>
    <n v="0"/>
    <n v="0"/>
    <n v="-1073.7536972737366"/>
    <n v="0"/>
    <n v="0"/>
    <n v="0"/>
    <n v="0"/>
    <n v="0"/>
    <n v="0"/>
    <n v="0"/>
    <n v="0"/>
    <n v="0"/>
    <n v="0"/>
    <n v="0"/>
    <n v="0"/>
    <n v="646.1679780393734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26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41.804000000000002"/>
    <n v="39.295760000000001"/>
    <n v="41.804000000000002"/>
    <n v="39.295760000000001"/>
    <m/>
    <n v="239.69"/>
    <n v="171.61"/>
    <m/>
    <n v="17193.985200000003"/>
    <n v="17193.985200000003"/>
    <n v="17130.86116"/>
    <n v="0"/>
    <n v="2527.3569405154749"/>
    <n v="0"/>
    <n v="0"/>
    <n v="0"/>
    <n v="2229.6578525526666"/>
    <n v="3704.4500160677926"/>
    <n v="6913.3042148431214"/>
    <n v="260.66286179716133"/>
    <n v="0"/>
    <n v="0"/>
    <n v="0"/>
    <n v="0"/>
    <n v="390.78842293886987"/>
    <m/>
    <n v="16.556543026851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9.27839981854004"/>
    <n v="0"/>
    <n v="0"/>
    <n v="0"/>
    <n v="7688.63"/>
    <n v="40"/>
    <m/>
    <m/>
    <m/>
    <m/>
    <n v="1027.8516696000002"/>
    <m/>
    <m/>
    <m/>
    <m/>
    <n v="7582.5826146616619"/>
    <m/>
    <m/>
    <m/>
    <m/>
    <m/>
    <m/>
    <m/>
    <m/>
    <m/>
    <m/>
    <m/>
    <m/>
    <n v="16104.746999999998"/>
    <n v="-57.62908800000514"/>
    <m/>
    <m/>
    <m/>
    <m/>
    <n v="-1004.1320800000004"/>
    <n v="941.00803999999971"/>
    <n v="31"/>
    <n v="737.99289698297798"/>
    <n v="0"/>
    <n v="0"/>
    <n v="0"/>
    <n v="0"/>
    <n v="0"/>
    <n v="0"/>
    <n v="0"/>
    <n v="100.40734614758094"/>
    <n v="0"/>
    <n v="0"/>
    <n v="941.23155137524463"/>
    <n v="0"/>
    <n v="0"/>
    <n v="0"/>
    <n v="91.120819652435557"/>
    <n v="0"/>
    <n v="-347.13943491663076"/>
    <m/>
    <n v="0"/>
    <n v="0"/>
    <n v="0"/>
    <n v="0"/>
    <n v="-45.035869104533674"/>
    <n v="-2.5915161711155594"/>
    <n v="0"/>
    <n v="0"/>
    <m/>
    <m/>
    <m/>
    <n v="3704.4500160677926"/>
    <n v="0"/>
    <n v="0"/>
    <n v="-1004.1320800000012"/>
    <n v="941.00803999999971"/>
    <n v="0"/>
    <n v="0"/>
    <n v="-800.88210581137992"/>
    <n v="0"/>
    <n v="0"/>
    <n v="0"/>
    <n v="0"/>
    <n v="0"/>
    <n v="0"/>
    <n v="0"/>
    <n v="0"/>
    <n v="0"/>
    <n v="0"/>
    <n v="0"/>
    <n v="0"/>
    <n v="481.9581737171179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27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10.606"/>
    <n v="10.606"/>
    <n v="10.606"/>
    <n v="10.606"/>
    <m/>
    <n v="239.69"/>
    <n v="171.61"/>
    <m/>
    <n v="4362.2478000000001"/>
    <n v="4362.2478000000001"/>
    <n v="4346.2327399999995"/>
    <n v="0"/>
    <n v="641.21011652251275"/>
    <n v="0"/>
    <n v="0"/>
    <n v="0"/>
    <n v="565.68154205754422"/>
    <n v="939.84778658537471"/>
    <n v="1753.9590590045484"/>
    <n v="66.132195776018875"/>
    <n v="0"/>
    <n v="0"/>
    <n v="0"/>
    <n v="0"/>
    <n v="99.146062905216084"/>
    <m/>
    <n v="4.2005237619076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80113645764604"/>
    <n v="0"/>
    <n v="0"/>
    <n v="0"/>
    <n v="1950.73"/>
    <n v="4"/>
    <m/>
    <m/>
    <m/>
    <m/>
    <m/>
    <m/>
    <m/>
    <m/>
    <m/>
    <n v="1923.7601954621944"/>
    <m/>
    <m/>
    <m/>
    <m/>
    <m/>
    <m/>
    <m/>
    <m/>
    <m/>
    <m/>
    <m/>
    <m/>
    <n v="4347.8719000000001"/>
    <n v="-14.405900000000656"/>
    <m/>
    <m/>
    <m/>
    <m/>
    <n v="-254.7561200000001"/>
    <n v="238.74105999999989"/>
    <n v="31"/>
    <n v="187.23453892932503"/>
    <n v="0"/>
    <n v="0"/>
    <n v="0"/>
    <n v="0"/>
    <n v="0"/>
    <n v="0"/>
    <n v="0"/>
    <n v="25.474124802440997"/>
    <n v="0"/>
    <n v="0"/>
    <n v="238.79776657463026"/>
    <n v="0"/>
    <n v="0"/>
    <n v="0"/>
    <n v="23.118060789248204"/>
    <n v="0"/>
    <n v="-88.071975091517174"/>
    <m/>
    <n v="0"/>
    <n v="0"/>
    <n v="0"/>
    <n v="0"/>
    <n v="-11.425950333046686"/>
    <n v="-0.6574878124306669"/>
    <n v="0"/>
    <n v="0"/>
    <m/>
    <m/>
    <m/>
    <n v="939.84778658537471"/>
    <n v="0"/>
    <n v="0"/>
    <n v="-254.75612000000046"/>
    <n v="238.74106000000006"/>
    <n v="0"/>
    <n v="0"/>
    <n v="-203.19002043430044"/>
    <n v="0"/>
    <n v="0"/>
    <n v="0"/>
    <n v="0"/>
    <n v="0"/>
    <n v="0"/>
    <n v="0"/>
    <n v="0"/>
    <n v="0"/>
    <n v="0"/>
    <n v="0"/>
    <n v="0"/>
    <n v="122.2765379017259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28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29"/>
    <s v="Regular"/>
    <s v="Convencional"/>
    <s v="B2"/>
    <s v="Rural"/>
    <s v="Agropecuária rural"/>
    <s v="IRRIG./AQUIC."/>
    <s v="Não se aplica"/>
    <s v="Não se aplica"/>
    <s v="CATIVO"/>
    <x v="4"/>
    <n v="0"/>
    <n v="0"/>
    <n v="0.1"/>
    <n v="0.1"/>
    <n v="0.1"/>
    <n v="0.1"/>
    <m/>
    <n v="239.69"/>
    <n v="171.61"/>
    <m/>
    <n v="41.13"/>
    <n v="41.13"/>
    <n v="40.978999999999999"/>
    <n v="0"/>
    <n v="6.0457299313832999"/>
    <n v="0"/>
    <n v="0"/>
    <n v="0"/>
    <n v="5.3335993028242905"/>
    <n v="8.8614726247913893"/>
    <n v="16.537422770173002"/>
    <n v="0.62353569466357606"/>
    <n v="0"/>
    <n v="0"/>
    <n v="0"/>
    <n v="0"/>
    <n v="0.9348110777410531"/>
    <m/>
    <n v="3.960516464178470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01"/>
    <n v="0"/>
    <n v="0"/>
    <n v="0"/>
    <n v="0"/>
    <n v="0"/>
    <m/>
    <m/>
    <m/>
    <m/>
    <m/>
    <n v="5.7799999999999985"/>
    <m/>
    <m/>
    <m/>
    <n v="18.138414062438191"/>
    <m/>
    <m/>
    <m/>
    <m/>
    <m/>
    <m/>
    <m/>
    <m/>
    <m/>
    <m/>
    <m/>
    <m/>
    <n v="35.198999999999998"/>
    <n v="-6.7000000000007276E-2"/>
    <m/>
    <m/>
    <m/>
    <m/>
    <n v="-2.402000000000001"/>
    <n v="2.250999999999999"/>
    <n v="31"/>
    <n v="1.7653643119868505"/>
    <n v="0"/>
    <n v="0"/>
    <n v="0"/>
    <n v="0"/>
    <n v="0"/>
    <n v="0"/>
    <n v="0"/>
    <n v="0.24018597777145967"/>
    <n v="0"/>
    <n v="0"/>
    <n v="2.2515346650445984"/>
    <n v="0"/>
    <n v="0"/>
    <n v="0"/>
    <n v="0.21797153299310001"/>
    <n v="0"/>
    <n v="-0.83039765313518021"/>
    <m/>
    <n v="0"/>
    <n v="0"/>
    <n v="0"/>
    <n v="0"/>
    <n v="-0.10773100446018002"/>
    <n v="-6.1992062269533091E-3"/>
    <n v="0"/>
    <n v="0"/>
    <m/>
    <m/>
    <m/>
    <n v="8.8614726247913893"/>
    <n v="0"/>
    <n v="0"/>
    <n v="-2.402000000000001"/>
    <n v="2.2510000000000012"/>
    <n v="0"/>
    <n v="0"/>
    <n v="-1.915802568680939"/>
    <n v="0"/>
    <n v="0"/>
    <n v="0"/>
    <n v="0"/>
    <n v="0"/>
    <n v="0"/>
    <n v="0"/>
    <n v="0"/>
    <n v="0"/>
    <n v="0"/>
    <n v="0"/>
    <n v="0"/>
    <n v="1.1528996596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31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024.560000000001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32"/>
    <s v="Sistema de Compensação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9.6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33"/>
    <s v="Regular"/>
    <s v="Convencional"/>
    <s v="B2"/>
    <s v="Rural"/>
    <s v="Aquicultura"/>
    <s v="IRRIG./AQUIC."/>
    <s v="Não se aplica"/>
    <s v="Não se aplica"/>
    <s v="CATIVO"/>
    <x v="4"/>
    <n v="0"/>
    <n v="0"/>
    <n v="50.314"/>
    <n v="50.314"/>
    <n v="50.314"/>
    <n v="50.314"/>
    <m/>
    <n v="239.69"/>
    <n v="171.61"/>
    <m/>
    <n v="20694.148200000003"/>
    <n v="20694.148200000003"/>
    <n v="20618.174059999998"/>
    <n v="0"/>
    <n v="3041.8485576761936"/>
    <n v="0"/>
    <n v="0"/>
    <n v="0"/>
    <n v="2683.5471532230135"/>
    <n v="4458.5613364375395"/>
    <n v="8320.6388925848441"/>
    <n v="313.72574941303162"/>
    <n v="0"/>
    <n v="0"/>
    <n v="0"/>
    <n v="0"/>
    <n v="470.34084565463343"/>
    <m/>
    <n v="19.9269425378675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5.52275879030765"/>
    <n v="0"/>
    <n v="0"/>
    <n v="0"/>
    <n v="0"/>
    <n v="0"/>
    <m/>
    <m/>
    <m/>
    <m/>
    <m/>
    <n v="2908.1491999999989"/>
    <m/>
    <m/>
    <m/>
    <n v="9126.1616513751524"/>
    <m/>
    <m/>
    <m/>
    <m/>
    <m/>
    <m/>
    <m/>
    <m/>
    <m/>
    <m/>
    <m/>
    <m/>
    <n v="17708.616900000001"/>
    <n v="-20.054139999996551"/>
    <m/>
    <m/>
    <m/>
    <m/>
    <n v="-1208.5422800000006"/>
    <n v="1132.5681399999996"/>
    <n v="31"/>
    <n v="888.22539993306054"/>
    <n v="0"/>
    <n v="0"/>
    <n v="0"/>
    <n v="0"/>
    <n v="0"/>
    <n v="0"/>
    <n v="0"/>
    <n v="120.84717285593206"/>
    <n v="0"/>
    <n v="0"/>
    <n v="1132.8371513705388"/>
    <n v="0"/>
    <n v="0"/>
    <n v="0"/>
    <n v="109.67019711014837"/>
    <n v="0"/>
    <n v="-417.80627519843483"/>
    <m/>
    <n v="0"/>
    <n v="0"/>
    <n v="0"/>
    <n v="0"/>
    <n v="-54.203777584094951"/>
    <n v="-3.1190686210292817"/>
    <n v="0"/>
    <n v="0"/>
    <m/>
    <m/>
    <m/>
    <n v="4458.5613364375395"/>
    <n v="0"/>
    <n v="0"/>
    <n v="-1208.5422800000015"/>
    <n v="1132.5681399999994"/>
    <n v="0"/>
    <n v="0"/>
    <n v="-963.91690440612774"/>
    <n v="0"/>
    <n v="0"/>
    <n v="0"/>
    <n v="0"/>
    <n v="0"/>
    <n v="0"/>
    <n v="0"/>
    <n v="0"/>
    <n v="0"/>
    <n v="0"/>
    <n v="0"/>
    <n v="0"/>
    <n v="580.0699347527287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34"/>
    <s v="Regular"/>
    <s v="Convencional"/>
    <s v="B2"/>
    <s v="Rural"/>
    <s v="Aquicultura"/>
    <s v="IRRIG./AQUIC. PR"/>
    <s v="Não se aplica"/>
    <s v="Não se aplica"/>
    <s v="CATIVO"/>
    <x v="4"/>
    <n v="0"/>
    <n v="0"/>
    <n v="74.948999999999998"/>
    <n v="29.979600000000001"/>
    <n v="74.948999999999998"/>
    <n v="29.979600000000001"/>
    <m/>
    <n v="239.69"/>
    <n v="171.61"/>
    <m/>
    <n v="30826.523699999998"/>
    <n v="30826.523699999998"/>
    <n v="30713.350709999999"/>
    <n v="0"/>
    <n v="4531.214126272469"/>
    <n v="0"/>
    <n v="0"/>
    <n v="0"/>
    <n v="3997.4793414737774"/>
    <n v="6641.5851175548978"/>
    <n v="12394.632992016963"/>
    <n v="467.33376779340358"/>
    <n v="0"/>
    <n v="0"/>
    <n v="0"/>
    <n v="0"/>
    <n v="700.63155465614182"/>
    <m/>
    <n v="29.6836748473712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9.9269636398371"/>
    <n v="0"/>
    <n v="0"/>
    <n v="0"/>
    <n v="0"/>
    <n v="0"/>
    <m/>
    <m/>
    <m/>
    <m/>
    <m/>
    <m/>
    <n v="20160.831305999996"/>
    <m/>
    <m/>
    <n v="13594.5599556568"/>
    <m/>
    <m/>
    <m/>
    <m/>
    <m/>
    <m/>
    <m/>
    <m/>
    <m/>
    <m/>
    <m/>
    <m/>
    <n v="10552.6602"/>
    <n v="-10.981656000001749"/>
    <m/>
    <m/>
    <m/>
    <m/>
    <n v="-1800.2749800000008"/>
    <n v="1687.1019899999992"/>
    <n v="31"/>
    <n v="1323.1228981910208"/>
    <n v="0"/>
    <n v="0"/>
    <n v="0"/>
    <n v="0"/>
    <n v="0"/>
    <n v="0"/>
    <n v="0"/>
    <n v="180.01698847993111"/>
    <n v="0"/>
    <n v="0"/>
    <n v="1687.5027161042763"/>
    <n v="0"/>
    <n v="0"/>
    <n v="0"/>
    <n v="163.36748426299846"/>
    <n v="0"/>
    <n v="-622.37473704828562"/>
    <m/>
    <n v="0"/>
    <n v="0"/>
    <n v="0"/>
    <n v="0"/>
    <n v="-80.743310532860278"/>
    <n v="-4.6462430750392301"/>
    <n v="0"/>
    <n v="0"/>
    <m/>
    <m/>
    <m/>
    <n v="6641.5851175548978"/>
    <n v="0"/>
    <n v="0"/>
    <n v="-1800.2749800000001"/>
    <n v="1687.1019899999992"/>
    <n v="0"/>
    <n v="0"/>
    <n v="-1435.8748672006768"/>
    <n v="0"/>
    <n v="0"/>
    <n v="0"/>
    <n v="0"/>
    <n v="0"/>
    <n v="0"/>
    <n v="0"/>
    <n v="0"/>
    <n v="0"/>
    <n v="0"/>
    <n v="0"/>
    <n v="0"/>
    <n v="864.0867659057570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35"/>
    <s v="Sistema de Compensação"/>
    <s v="Convencional"/>
    <s v="B2"/>
    <s v="Rural"/>
    <s v="Aquicultura"/>
    <s v="IRRIG./AQUIC. PR"/>
    <s v="Não se aplica"/>
    <s v="Não se aplica"/>
    <s v="CATIVO"/>
    <x v="4"/>
    <n v="0"/>
    <n v="0"/>
    <n v="0.1"/>
    <n v="0.1"/>
    <n v="0.1"/>
    <n v="0.1"/>
    <m/>
    <n v="239.69"/>
    <n v="171.61"/>
    <m/>
    <n v="41.13"/>
    <n v="41.13"/>
    <n v="40.978999999999999"/>
    <n v="0"/>
    <n v="6.0457299313832999"/>
    <n v="0"/>
    <n v="0"/>
    <n v="0"/>
    <n v="5.3335993028242905"/>
    <n v="8.8614726247913893"/>
    <n v="16.537422770173002"/>
    <n v="0.62353569466357606"/>
    <n v="0"/>
    <n v="0"/>
    <n v="0"/>
    <n v="0"/>
    <n v="0.9348110777410531"/>
    <m/>
    <n v="3.960516464178470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01"/>
    <n v="0"/>
    <n v="0"/>
    <n v="0"/>
    <n v="0"/>
    <n v="0"/>
    <m/>
    <m/>
    <m/>
    <m/>
    <m/>
    <n v="5.7799999999999985"/>
    <m/>
    <m/>
    <m/>
    <n v="18.138414062438191"/>
    <m/>
    <m/>
    <m/>
    <m/>
    <m/>
    <m/>
    <m/>
    <m/>
    <m/>
    <m/>
    <m/>
    <m/>
    <n v="35.198999999999998"/>
    <n v="-6.7000000000007276E-2"/>
    <m/>
    <m/>
    <m/>
    <m/>
    <n v="-2.402000000000001"/>
    <n v="2.250999999999999"/>
    <n v="31"/>
    <n v="1.7653643119868505"/>
    <n v="0"/>
    <n v="0"/>
    <n v="0"/>
    <n v="0"/>
    <n v="0"/>
    <n v="0"/>
    <n v="0"/>
    <n v="0.24018597777145967"/>
    <n v="0"/>
    <n v="0"/>
    <n v="2.2515346650445984"/>
    <n v="0"/>
    <n v="0"/>
    <n v="0"/>
    <n v="0.21797153299310001"/>
    <n v="0"/>
    <n v="-0.83039765313518021"/>
    <m/>
    <n v="0"/>
    <n v="0"/>
    <n v="0"/>
    <n v="0"/>
    <n v="-0.10773100446018002"/>
    <n v="-6.1992062269533091E-3"/>
    <n v="0"/>
    <n v="0"/>
    <m/>
    <m/>
    <m/>
    <n v="8.8614726247913893"/>
    <n v="0"/>
    <n v="0"/>
    <n v="-2.402000000000001"/>
    <n v="2.2510000000000012"/>
    <n v="0"/>
    <n v="0"/>
    <n v="-1.915802568680939"/>
    <n v="0"/>
    <n v="0"/>
    <n v="0"/>
    <n v="0"/>
    <n v="0"/>
    <n v="0"/>
    <n v="0"/>
    <n v="0"/>
    <n v="0"/>
    <n v="0"/>
    <n v="0"/>
    <n v="0"/>
    <n v="1.1528996596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36"/>
    <s v="Regular"/>
    <s v="Convencional"/>
    <s v="B1"/>
    <s v="Residencial"/>
    <s v="Residencial"/>
    <s v="Não se aplica"/>
    <s v="Não se aplica"/>
    <s v="Não se aplica"/>
    <s v="CATIVO"/>
    <x v="5"/>
    <n v="0"/>
    <n v="0"/>
    <n v="1493.732"/>
    <n v="1493.732"/>
    <n v="1493.732"/>
    <n v="1493.732"/>
    <m/>
    <n v="239.69"/>
    <n v="171.61"/>
    <m/>
    <n v="614371.97160000005"/>
    <n v="614371.97160000005"/>
    <n v="612116.43628000002"/>
    <n v="0"/>
    <n v="90307.002618650396"/>
    <n v="0"/>
    <n v="0"/>
    <n v="0"/>
    <n v="79669.679538063327"/>
    <n v="132366.65226774893"/>
    <n v="247024.77589336055"/>
    <n v="9313.9522026121267"/>
    <n v="0"/>
    <n v="0"/>
    <n v="0"/>
    <n v="0"/>
    <n v="13963.572207762987"/>
    <m/>
    <n v="591.59501790702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914.519249778667"/>
    <n v="0"/>
    <n v="0"/>
    <n v="0"/>
    <n v="205790.95"/>
    <n v="4691"/>
    <m/>
    <m/>
    <m/>
    <m/>
    <m/>
    <m/>
    <m/>
    <m/>
    <m/>
    <n v="270939.2951431392"/>
    <m/>
    <m/>
    <m/>
    <m/>
    <m/>
    <m/>
    <m/>
    <m/>
    <m/>
    <m/>
    <m/>
    <m/>
    <n v="612115.6166999999"/>
    <n v="-2256.3849000001792"/>
    <m/>
    <m/>
    <m/>
    <m/>
    <n v="-35879.442640000016"/>
    <n v="33623.907319999984"/>
    <n v="29"/>
    <n v="26369.811644727364"/>
    <n v="0"/>
    <n v="0"/>
    <n v="0"/>
    <n v="0"/>
    <n v="0"/>
    <n v="0"/>
    <n v="0"/>
    <n v="3587.7348094851768"/>
    <n v="0"/>
    <n v="0"/>
    <n v="33631.893782863976"/>
    <n v="0"/>
    <n v="0"/>
    <n v="0"/>
    <n v="3255.910539208493"/>
    <n v="0"/>
    <n v="-12403.9154721292"/>
    <m/>
    <n v="0"/>
    <n v="0"/>
    <n v="0"/>
    <n v="0"/>
    <n v="-1609.2124875431364"/>
    <n v="-92.599527157994146"/>
    <n v="0"/>
    <n v="0"/>
    <m/>
    <m/>
    <m/>
    <n v="132366.65226774893"/>
    <n v="0"/>
    <n v="0"/>
    <n v="-35879.442640000023"/>
    <n v="33623.907319999969"/>
    <n v="0"/>
    <n v="0"/>
    <n v="-28616.956025209191"/>
    <n v="0"/>
    <n v="0"/>
    <n v="0"/>
    <n v="0"/>
    <n v="0"/>
    <n v="0"/>
    <n v="0"/>
    <n v="0"/>
    <n v="0"/>
    <n v="0"/>
    <n v="0"/>
    <n v="0"/>
    <n v="17221.23114397708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37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0.80400000000000005"/>
    <n v="-0.80400000000000005"/>
    <n v="-0.80400000000000005"/>
    <n v="-0.80400000000000005"/>
    <m/>
    <n v="239.69"/>
    <n v="171.61"/>
    <m/>
    <n v="-330.68520000000001"/>
    <n v="-330.68520000000001"/>
    <n v="-329.47116000000005"/>
    <n v="0"/>
    <n v="-48.607668648321734"/>
    <n v="0"/>
    <n v="0"/>
    <n v="0"/>
    <n v="-42.882138394707297"/>
    <n v="-71.246239903322774"/>
    <n v="-132.96087907219092"/>
    <n v="-5.0132269850951516"/>
    <n v="0"/>
    <n v="0"/>
    <n v="0"/>
    <n v="0"/>
    <n v="-7.5158810650380667"/>
    <m/>
    <n v="-0.318425523719949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.871969989812127"/>
    <n v="0"/>
    <n v="0"/>
    <n v="0"/>
    <n v="-136.58000000000001"/>
    <n v="0"/>
    <m/>
    <m/>
    <m/>
    <m/>
    <m/>
    <m/>
    <m/>
    <m/>
    <m/>
    <n v="-145.83284906200305"/>
    <m/>
    <m/>
    <m/>
    <m/>
    <m/>
    <m/>
    <m/>
    <m/>
    <m/>
    <m/>
    <m/>
    <m/>
    <n v="-327.83199999999999"/>
    <n v="2.8232000000000426"/>
    <m/>
    <m/>
    <m/>
    <m/>
    <n v="19.312080000000009"/>
    <n v="-18.098039999999994"/>
    <n v="29"/>
    <n v="-14.193529068374289"/>
    <n v="0"/>
    <n v="0"/>
    <n v="0"/>
    <n v="0"/>
    <n v="0"/>
    <n v="0"/>
    <n v="0"/>
    <n v="-1.9310952612825361"/>
    <n v="0"/>
    <n v="0"/>
    <n v="-18.102338706958591"/>
    <n v="0"/>
    <n v="0"/>
    <n v="0"/>
    <n v="-1.752491125264525"/>
    <n v="0"/>
    <n v="6.6763971312068477"/>
    <m/>
    <n v="0"/>
    <n v="0"/>
    <n v="0"/>
    <n v="0"/>
    <n v="0.86615727585984725"/>
    <n v="4.9841618064704551E-2"/>
    <n v="0"/>
    <n v="0"/>
    <m/>
    <m/>
    <m/>
    <n v="-71.246239903322774"/>
    <n v="0"/>
    <n v="0"/>
    <n v="19.312080000000009"/>
    <n v="-18.098039999999997"/>
    <n v="0"/>
    <n v="0"/>
    <n v="15.403052652194752"/>
    <n v="0"/>
    <n v="0"/>
    <n v="0"/>
    <n v="0"/>
    <n v="0"/>
    <n v="0"/>
    <n v="0"/>
    <n v="0"/>
    <n v="0"/>
    <n v="0"/>
    <n v="0"/>
    <n v="0"/>
    <n v="-9.269313263528916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38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.6639999999999999"/>
    <n v="1.6639999999999999"/>
    <n v="1.6639999999999999"/>
    <n v="1.6639999999999999"/>
    <m/>
    <n v="239.69"/>
    <n v="171.61"/>
    <m/>
    <n v="684.40319999999997"/>
    <n v="684.40319999999997"/>
    <n v="681.89055999999994"/>
    <n v="0"/>
    <n v="100.6009460582181"/>
    <n v="0"/>
    <n v="0"/>
    <n v="0"/>
    <n v="88.751092398996192"/>
    <n v="147.45490447652872"/>
    <n v="275.18271489567871"/>
    <n v="10.375633959201904"/>
    <n v="0"/>
    <n v="0"/>
    <n v="0"/>
    <n v="0"/>
    <n v="15.555256333611123"/>
    <m/>
    <n v="0.65902993963929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640495103292761"/>
    <n v="0"/>
    <n v="0"/>
    <n v="0"/>
    <n v="656.08"/>
    <n v="11"/>
    <m/>
    <m/>
    <m/>
    <m/>
    <m/>
    <m/>
    <m/>
    <m/>
    <m/>
    <n v="301.82320999897149"/>
    <m/>
    <m/>
    <m/>
    <m/>
    <m/>
    <m/>
    <m/>
    <m/>
    <m/>
    <m/>
    <m/>
    <m/>
    <n v="680.25139999999988"/>
    <n v="-4.1818000000000666"/>
    <m/>
    <m/>
    <m/>
    <m/>
    <n v="-39.969280000000012"/>
    <n v="37.456639999999986"/>
    <n v="29"/>
    <n v="29.375662151461142"/>
    <n v="0"/>
    <n v="0"/>
    <n v="0"/>
    <n v="0"/>
    <n v="0"/>
    <n v="0"/>
    <n v="0"/>
    <n v="3.9966946701170798"/>
    <n v="0"/>
    <n v="0"/>
    <n v="37.465536826342145"/>
    <n v="0"/>
    <n v="0"/>
    <n v="0"/>
    <n v="3.6270463090051841"/>
    <n v="0"/>
    <n v="-13.817816948169394"/>
    <m/>
    <n v="0"/>
    <n v="0"/>
    <n v="0"/>
    <n v="0"/>
    <n v="-1.7926439142173951"/>
    <n v="-0.10315479161650287"/>
    <n v="0"/>
    <n v="0"/>
    <m/>
    <m/>
    <m/>
    <n v="147.45490447652872"/>
    <n v="0"/>
    <n v="0"/>
    <n v="-39.969280000000026"/>
    <n v="37.456639999999993"/>
    <n v="0"/>
    <n v="0"/>
    <n v="-31.878954742850851"/>
    <n v="0"/>
    <n v="0"/>
    <n v="0"/>
    <n v="0"/>
    <n v="0"/>
    <n v="0"/>
    <n v="0"/>
    <n v="0"/>
    <n v="0"/>
    <n v="0"/>
    <n v="0"/>
    <n v="0"/>
    <n v="19.18425033645785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39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8.94"/>
    <n v="8.94"/>
    <n v="8.94"/>
    <n v="8.94"/>
    <m/>
    <n v="158.36000000000001"/>
    <n v="171.61"/>
    <m/>
    <n v="2949.9318000000003"/>
    <n v="2949.9318000000003"/>
    <n v="3020.2896000000001"/>
    <n v="0"/>
    <n v="0"/>
    <n v="0"/>
    <n v="0"/>
    <n v="0"/>
    <n v="476.82377767249153"/>
    <n v="792.21565265635013"/>
    <n v="1478.4455956534662"/>
    <n v="55.744091102923697"/>
    <n v="0"/>
    <n v="0"/>
    <n v="0"/>
    <n v="0"/>
    <n v="0"/>
    <m/>
    <n v="3.54070171897555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12862152850798"/>
    <n v="0"/>
    <n v="0"/>
    <n v="0"/>
    <n v="143.04"/>
    <n v="3"/>
    <m/>
    <m/>
    <m/>
    <m/>
    <m/>
    <m/>
    <m/>
    <n v="1963.2239999999999"/>
    <m/>
    <n v="1621.5742171819741"/>
    <m/>
    <m/>
    <m/>
    <m/>
    <m/>
    <m/>
    <m/>
    <m/>
    <m/>
    <m/>
    <m/>
    <m/>
    <n v="1057.0655999999999"/>
    <n v="24.644399999999905"/>
    <m/>
    <m/>
    <m/>
    <m/>
    <n v="-130.88160000000013"/>
    <n v="201.2393999999999"/>
    <n v="29"/>
    <n v="241.69227148064965"/>
    <n v="0"/>
    <n v="0"/>
    <n v="0"/>
    <n v="0"/>
    <n v="0"/>
    <n v="0"/>
    <n v="0"/>
    <n v="21.472626412768534"/>
    <n v="0"/>
    <n v="0"/>
    <n v="201.28719905498724"/>
    <n v="0"/>
    <n v="0"/>
    <n v="0"/>
    <n v="19.486655049583135"/>
    <n v="0"/>
    <n v="0"/>
    <m/>
    <n v="0"/>
    <n v="0"/>
    <n v="0"/>
    <n v="0"/>
    <n v="0"/>
    <n v="-0.55420903668962529"/>
    <n v="0"/>
    <n v="0"/>
    <m/>
    <m/>
    <m/>
    <n v="792.21565265635013"/>
    <n v="0"/>
    <n v="0"/>
    <n v="-130.88159999999993"/>
    <n v="201.23939999999993"/>
    <n v="0"/>
    <n v="0"/>
    <n v="-171.272749640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0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9.795999999999999"/>
    <n v="19.795999999999999"/>
    <n v="19.795999999999999"/>
    <n v="19.795999999999999"/>
    <m/>
    <n v="158.36000000000001"/>
    <n v="171.61"/>
    <m/>
    <n v="6532.0861199999999"/>
    <n v="6532.0861199999999"/>
    <n v="6687.8806399999994"/>
    <n v="0"/>
    <n v="0"/>
    <n v="0"/>
    <n v="0"/>
    <n v="0"/>
    <n v="1055.8393179870966"/>
    <n v="1754.2171208037034"/>
    <n v="3273.7482115834473"/>
    <n v="123.43512611560151"/>
    <n v="0"/>
    <n v="0"/>
    <n v="0"/>
    <n v="0"/>
    <n v="0"/>
    <m/>
    <n v="7.8402383924876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.93223621681699"/>
    <n v="0"/>
    <n v="0"/>
    <n v="0"/>
    <n v="543.01"/>
    <n v="30"/>
    <m/>
    <m/>
    <m/>
    <m/>
    <m/>
    <m/>
    <m/>
    <n v="2675.2314399999996"/>
    <m/>
    <n v="3590.6804478002641"/>
    <m/>
    <m/>
    <m/>
    <m/>
    <m/>
    <m/>
    <m/>
    <m/>
    <m/>
    <m/>
    <m/>
    <m/>
    <n v="4013.46"/>
    <n v="94.217920000000049"/>
    <m/>
    <m/>
    <m/>
    <m/>
    <n v="-289.8134400000003"/>
    <n v="445.60795999999982"/>
    <n v="29"/>
    <n v="535.18346825849312"/>
    <n v="0"/>
    <n v="0"/>
    <n v="0"/>
    <n v="0"/>
    <n v="0"/>
    <n v="0"/>
    <n v="0"/>
    <n v="47.547216159638083"/>
    <n v="0"/>
    <n v="0"/>
    <n v="445.71380229222859"/>
    <n v="0"/>
    <n v="0"/>
    <n v="0"/>
    <n v="43.149644671314093"/>
    <n v="0"/>
    <n v="0"/>
    <m/>
    <n v="0"/>
    <n v="0"/>
    <n v="0"/>
    <n v="0"/>
    <n v="0"/>
    <n v="-1.227194864687676"/>
    <n v="0"/>
    <n v="0"/>
    <m/>
    <m/>
    <m/>
    <n v="1754.2171208037034"/>
    <n v="0"/>
    <n v="0"/>
    <n v="-289.81344000000036"/>
    <n v="445.60795999999982"/>
    <n v="0"/>
    <n v="0"/>
    <n v="-379.25227649607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1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6.922000000000001"/>
    <n v="26.922000000000001"/>
    <n v="26.922000000000001"/>
    <n v="26.922000000000001"/>
    <m/>
    <n v="158.36000000000001"/>
    <n v="171.61"/>
    <m/>
    <n v="8883.4523399999998"/>
    <n v="8883.4523399999998"/>
    <n v="9095.3284800000001"/>
    <n v="0"/>
    <n v="0"/>
    <n v="0"/>
    <n v="0"/>
    <n v="0"/>
    <n v="1435.9116043063555"/>
    <n v="2385.6856600463379"/>
    <n v="4452.2049581859756"/>
    <n v="167.86827971732794"/>
    <n v="0"/>
    <n v="0"/>
    <n v="0"/>
    <n v="0"/>
    <n v="0"/>
    <m/>
    <n v="10.662502424861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1.01887570363448"/>
    <n v="0"/>
    <n v="0"/>
    <n v="0"/>
    <n v="2000.84"/>
    <n v="87"/>
    <m/>
    <m/>
    <m/>
    <m/>
    <m/>
    <m/>
    <m/>
    <n v="909.42516000000001"/>
    <m/>
    <n v="4883.2238338896104"/>
    <m/>
    <m/>
    <m/>
    <m/>
    <m/>
    <m/>
    <m/>
    <m/>
    <m/>
    <m/>
    <m/>
    <m/>
    <n v="8185.2952000000005"/>
    <n v="190.23885999999948"/>
    <m/>
    <m/>
    <m/>
    <m/>
    <n v="-394.1380800000004"/>
    <n v="606.0142199999998"/>
    <n v="29"/>
    <n v="727.8343772709195"/>
    <n v="0"/>
    <n v="0"/>
    <n v="0"/>
    <n v="0"/>
    <n v="0"/>
    <n v="0"/>
    <n v="0"/>
    <n v="64.662868935632332"/>
    <n v="0"/>
    <n v="0"/>
    <n v="606.1581625233066"/>
    <n v="0"/>
    <n v="0"/>
    <n v="0"/>
    <n v="58.682296112402355"/>
    <n v="0"/>
    <n v="0"/>
    <m/>
    <n v="0"/>
    <n v="0"/>
    <n v="0"/>
    <n v="0"/>
    <n v="0"/>
    <n v="-1.6689503004203665"/>
    <n v="0"/>
    <n v="0"/>
    <m/>
    <m/>
    <m/>
    <n v="2385.6856600463379"/>
    <n v="0"/>
    <n v="0"/>
    <n v="-394.13808000000063"/>
    <n v="606.01422000000002"/>
    <n v="0"/>
    <n v="0"/>
    <n v="-515.77236754028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2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29.02"/>
    <n v="29.02"/>
    <n v="29.02"/>
    <n v="29.02"/>
    <m/>
    <n v="158.36000000000001"/>
    <n v="171.61"/>
    <m/>
    <n v="9575.7294000000002"/>
    <n v="9575.7294000000002"/>
    <n v="9804.1167999999998"/>
    <n v="0"/>
    <n v="0"/>
    <n v="0"/>
    <n v="0"/>
    <n v="0"/>
    <n v="1547.8105176796091"/>
    <n v="2571.5993557144611"/>
    <n v="4799.1600879042044"/>
    <n v="180.95005859136975"/>
    <n v="0"/>
    <n v="0"/>
    <n v="0"/>
    <n v="0"/>
    <n v="0"/>
    <m/>
    <n v="11.4934187790459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4.6076730153581"/>
    <n v="0"/>
    <n v="0"/>
    <n v="0"/>
    <n v="3267.23"/>
    <n v="175"/>
    <m/>
    <m/>
    <m/>
    <m/>
    <m/>
    <m/>
    <m/>
    <m/>
    <m/>
    <n v="5263.7677609195625"/>
    <m/>
    <m/>
    <m/>
    <m/>
    <m/>
    <m/>
    <m/>
    <m/>
    <m/>
    <m/>
    <m/>
    <m/>
    <n v="9804.1167999999998"/>
    <n v="228.35739999999896"/>
    <m/>
    <m/>
    <m/>
    <m/>
    <n v="-424.8528000000004"/>
    <n v="653.24019999999973"/>
    <n v="29"/>
    <n v="784.55365977275596"/>
    <n v="0"/>
    <n v="0"/>
    <n v="0"/>
    <n v="0"/>
    <n v="0"/>
    <n v="0"/>
    <n v="0"/>
    <n v="69.701970749277507"/>
    <n v="0"/>
    <n v="0"/>
    <n v="653.39535979594257"/>
    <n v="0"/>
    <n v="0"/>
    <n v="0"/>
    <n v="63.255338874597612"/>
    <n v="0"/>
    <n v="0"/>
    <m/>
    <n v="0"/>
    <n v="0"/>
    <n v="0"/>
    <n v="0"/>
    <n v="0"/>
    <n v="-1.7990096470618475"/>
    <n v="0"/>
    <n v="0"/>
    <m/>
    <m/>
    <m/>
    <n v="2571.5993557144611"/>
    <n v="0"/>
    <n v="0"/>
    <n v="-424.85280000000057"/>
    <n v="653.24019999999928"/>
    <n v="0"/>
    <n v="0"/>
    <n v="-555.96590543120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3"/>
    <s v="Regular"/>
    <s v="Convencional"/>
    <s v="B3"/>
    <s v="Industrial"/>
    <s v="Não se aplica"/>
    <s v="Não se aplica"/>
    <s v="Não se aplica"/>
    <s v="Não se aplica"/>
    <s v="CATIVO"/>
    <x v="5"/>
    <n v="0"/>
    <n v="0"/>
    <n v="186.999"/>
    <n v="186.999"/>
    <n v="186.999"/>
    <n v="186.999"/>
    <m/>
    <n v="239.69"/>
    <n v="171.61"/>
    <m/>
    <n v="76912.688699999999"/>
    <n v="76912.688699999999"/>
    <n v="76630.320210000005"/>
    <n v="0"/>
    <n v="11305.454514387457"/>
    <n v="0"/>
    <n v="0"/>
    <n v="0"/>
    <n v="9973.7773602883935"/>
    <n v="16570.86519363365"/>
    <n v="30924.815205995808"/>
    <n v="1166.0055136639405"/>
    <n v="0"/>
    <n v="0"/>
    <n v="0"/>
    <n v="0"/>
    <n v="1748.0873672649918"/>
    <m/>
    <n v="74.06126182849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93.8377066229823"/>
    <n v="0"/>
    <n v="0"/>
    <n v="0"/>
    <n v="34393.97"/>
    <n v="77"/>
    <m/>
    <m/>
    <m/>
    <m/>
    <m/>
    <m/>
    <m/>
    <m/>
    <m/>
    <n v="33918.652912618789"/>
    <m/>
    <m/>
    <m/>
    <m/>
    <m/>
    <m/>
    <m/>
    <m/>
    <m/>
    <m/>
    <m/>
    <m/>
    <n v="76630.73000000001"/>
    <n v="-281.98869999998715"/>
    <m/>
    <m/>
    <m/>
    <m/>
    <n v="-4491.7159800000018"/>
    <n v="4209.3474899999983"/>
    <n v="29"/>
    <n v="3301.2136097722832"/>
    <n v="0"/>
    <n v="0"/>
    <n v="0"/>
    <n v="0"/>
    <n v="0"/>
    <n v="0"/>
    <n v="0"/>
    <n v="449.14537657285291"/>
    <n v="0"/>
    <n v="0"/>
    <n v="4210.3473082867495"/>
    <n v="0"/>
    <n v="0"/>
    <n v="0"/>
    <n v="407.60458698176717"/>
    <n v="0"/>
    <n v="-1552.8353073862563"/>
    <m/>
    <n v="0"/>
    <n v="0"/>
    <n v="0"/>
    <n v="0"/>
    <n v="-201.45590103049199"/>
    <n v="-11.592453652340403"/>
    <n v="0"/>
    <n v="0"/>
    <m/>
    <m/>
    <m/>
    <n v="16570.86519363365"/>
    <n v="0"/>
    <n v="0"/>
    <n v="-4491.7159800000009"/>
    <n v="4209.3474900000001"/>
    <n v="0"/>
    <n v="0"/>
    <n v="-3582.531645407671"/>
    <n v="0"/>
    <n v="0"/>
    <n v="0"/>
    <n v="0"/>
    <n v="0"/>
    <n v="0"/>
    <n v="0"/>
    <n v="0"/>
    <n v="0"/>
    <n v="0"/>
    <n v="0"/>
    <n v="0"/>
    <n v="2155.910834535626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4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7.7480000000000002"/>
    <n v="7.7480000000000002"/>
    <n v="7.7480000000000002"/>
    <n v="7.7480000000000002"/>
    <m/>
    <n v="239.69"/>
    <n v="171.61"/>
    <m/>
    <n v="3186.7524000000003"/>
    <n v="3186.7524000000003"/>
    <n v="3175.0529200000001"/>
    <n v="0"/>
    <n v="468.42315508357808"/>
    <n v="0"/>
    <n v="0"/>
    <n v="0"/>
    <n v="413.24727398282602"/>
    <n v="686.58689896883686"/>
    <n v="1281.3195162330042"/>
    <n v="48.31154562253387"/>
    <n v="0"/>
    <n v="0"/>
    <n v="0"/>
    <n v="0"/>
    <n v="72.429162303376799"/>
    <m/>
    <n v="3.0686081564454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04480532470693"/>
    <n v="0"/>
    <n v="0"/>
    <n v="0"/>
    <n v="1490.31"/>
    <n v="5"/>
    <m/>
    <m/>
    <m/>
    <m/>
    <m/>
    <m/>
    <m/>
    <m/>
    <m/>
    <n v="1405.364321557711"/>
    <m/>
    <m/>
    <m/>
    <m/>
    <m/>
    <m/>
    <m/>
    <m/>
    <m/>
    <m/>
    <m/>
    <m/>
    <n v="3175.8724999999999"/>
    <n v="-10.909900000000562"/>
    <m/>
    <m/>
    <m/>
    <m/>
    <n v="-186.10696000000007"/>
    <n v="174.40747999999994"/>
    <n v="29"/>
    <n v="136.78042689274116"/>
    <n v="0"/>
    <n v="0"/>
    <n v="0"/>
    <n v="0"/>
    <n v="0"/>
    <n v="0"/>
    <n v="0"/>
    <n v="18.609609557732711"/>
    <n v="0"/>
    <n v="0"/>
    <n v="174.44890584765562"/>
    <n v="0"/>
    <n v="0"/>
    <n v="0"/>
    <n v="16.888434376305369"/>
    <n v="0"/>
    <n v="-64.339210164913766"/>
    <m/>
    <n v="0"/>
    <n v="0"/>
    <n v="0"/>
    <n v="0"/>
    <n v="-8.346998225574751"/>
    <n v="-0.48031449846434171"/>
    <n v="0"/>
    <n v="0"/>
    <m/>
    <m/>
    <m/>
    <n v="686.58689896883686"/>
    <n v="0"/>
    <n v="0"/>
    <n v="-186.10696000000007"/>
    <n v="174.40747999999985"/>
    <n v="0"/>
    <n v="0"/>
    <n v="-148.43638302139925"/>
    <n v="0"/>
    <n v="0"/>
    <n v="0"/>
    <n v="0"/>
    <n v="0"/>
    <n v="0"/>
    <n v="0"/>
    <n v="0"/>
    <n v="0"/>
    <n v="0"/>
    <n v="0"/>
    <n v="0"/>
    <n v="89.32666562913189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5"/>
    <s v="Regular"/>
    <s v="Azul"/>
    <s v="A4"/>
    <s v="Industrial"/>
    <s v="Não se aplica"/>
    <s v="Não se aplica"/>
    <s v="Não se aplica"/>
    <s v="Ponta"/>
    <s v="CATIVO"/>
    <x v="5"/>
    <n v="19379"/>
    <n v="19379"/>
    <n v="868.18899999999996"/>
    <n v="868.18899999999996"/>
    <n v="868.18899999999996"/>
    <n v="868.18899999999996"/>
    <n v="37.64"/>
    <n v="78.42"/>
    <n v="171.61"/>
    <n v="729425.56"/>
    <n v="217073.29567000002"/>
    <n v="946498.85567000008"/>
    <n v="884533.64256000007"/>
    <n v="0"/>
    <n v="45664.87514356029"/>
    <n v="0"/>
    <n v="0"/>
    <n v="0"/>
    <n v="316732.60952100961"/>
    <n v="412626.9588970659"/>
    <n v="143576.08537413727"/>
    <n v="5413.4683121427543"/>
    <n v="0"/>
    <n v="0"/>
    <n v="0"/>
    <n v="0"/>
    <n v="8115.926947729271"/>
    <m/>
    <n v="229.25439961486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66.5269116975905"/>
    <n v="0"/>
    <n v="0"/>
    <n v="0"/>
    <n v="0"/>
    <n v="0"/>
    <m/>
    <m/>
    <m/>
    <m/>
    <m/>
    <m/>
    <m/>
    <m/>
    <m/>
    <n v="148942.61228583485"/>
    <m/>
    <m/>
    <m/>
    <m/>
    <m/>
    <m/>
    <m/>
    <m/>
    <m/>
    <m/>
    <m/>
    <m/>
    <n v="884533.90760000015"/>
    <n v="-61964.978069999954"/>
    <m/>
    <m/>
    <m/>
    <m/>
    <n v="-81508.147499999948"/>
    <n v="19542.934389999991"/>
    <n v="29"/>
    <n v="27298.12912665552"/>
    <n v="0"/>
    <n v="0"/>
    <n v="0"/>
    <n v="0"/>
    <n v="0"/>
    <n v="0"/>
    <n v="0"/>
    <n v="14263.300857570139"/>
    <n v="0"/>
    <n v="0"/>
    <n v="19547.576293104037"/>
    <n v="0"/>
    <n v="0"/>
    <n v="0"/>
    <n v="730.64113680242735"/>
    <n v="0"/>
    <n v="-6272.1963402766123"/>
    <m/>
    <n v="0"/>
    <n v="0"/>
    <n v="0"/>
    <n v="0"/>
    <n v="-935.30873031279225"/>
    <n v="-35.884090231745262"/>
    <n v="0"/>
    <n v="0"/>
    <m/>
    <m/>
    <n v="412626.9588970659"/>
    <n v="0"/>
    <n v="0"/>
    <n v="0"/>
    <n v="-81508.147500000079"/>
    <n v="19542.93438999998"/>
    <n v="0"/>
    <n v="0"/>
    <n v="-89207.722151102498"/>
    <n v="0"/>
    <n v="0"/>
    <n v="0"/>
    <n v="0"/>
    <n v="0"/>
    <n v="0"/>
    <n v="0"/>
    <n v="0"/>
    <n v="0"/>
    <n v="0"/>
    <n v="0"/>
    <n v="0"/>
    <n v="8708.13278266964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6"/>
    <s v="Sistema de Compensação"/>
    <s v="Azul"/>
    <s v="A4"/>
    <s v="Industrial"/>
    <s v="Não se aplica"/>
    <s v="Não se aplica"/>
    <s v="Não se aplica"/>
    <s v="Ponta"/>
    <s v="CATIVO"/>
    <x v="5"/>
    <n v="1584"/>
    <n v="1584"/>
    <n v="78.759"/>
    <n v="78.759"/>
    <n v="78.759"/>
    <n v="78.759"/>
    <n v="37.64"/>
    <n v="78.42"/>
    <n v="171.61"/>
    <n v="59621.760000000002"/>
    <n v="19692.11277"/>
    <n v="79313.872770000002"/>
    <n v="74365.965360000002"/>
    <n v="0"/>
    <n v="4142.5540998926099"/>
    <n v="0"/>
    <n v="0"/>
    <n v="0"/>
    <n v="25889.078563459374"/>
    <n v="33727.287419007815"/>
    <n v="13024.708799560554"/>
    <n v="491.09047776008583"/>
    <n v="0"/>
    <n v="0"/>
    <n v="0"/>
    <n v="0"/>
    <n v="736.24785671807604"/>
    <m/>
    <n v="20.797138940100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.83212185179787"/>
    <n v="0"/>
    <n v="0"/>
    <n v="0"/>
    <n v="0"/>
    <n v="0"/>
    <m/>
    <m/>
    <m/>
    <m/>
    <m/>
    <m/>
    <m/>
    <m/>
    <m/>
    <n v="13511.540921412352"/>
    <m/>
    <m/>
    <m/>
    <m/>
    <m/>
    <m/>
    <m/>
    <m/>
    <m/>
    <m/>
    <m/>
    <m/>
    <n v="74366.230400000015"/>
    <n v="-4947.6723699999857"/>
    <m/>
    <m/>
    <m/>
    <m/>
    <n v="-6720.7724999999964"/>
    <n v="1772.8650899999993"/>
    <n v="29"/>
    <n v="2348.3261552748008"/>
    <n v="0"/>
    <n v="0"/>
    <n v="0"/>
    <n v="0"/>
    <n v="0"/>
    <n v="0"/>
    <n v="0"/>
    <n v="1165.8531688111398"/>
    <n v="0"/>
    <n v="0"/>
    <n v="1773.2861868424752"/>
    <n v="0"/>
    <n v="0"/>
    <n v="0"/>
    <n v="66.28114994940313"/>
    <n v="0"/>
    <n v="-568.99121224047531"/>
    <m/>
    <n v="0"/>
    <n v="0"/>
    <n v="0"/>
    <n v="0"/>
    <n v="-84.847861802793204"/>
    <n v="-3.2552762849587218"/>
    <n v="0"/>
    <n v="0"/>
    <m/>
    <m/>
    <n v="33727.287419007815"/>
    <n v="0"/>
    <n v="0"/>
    <n v="0"/>
    <n v="-6720.7724999999919"/>
    <n v="1772.8650899999993"/>
    <n v="0"/>
    <n v="0"/>
    <n v="-7291.6575616567643"/>
    <n v="0"/>
    <n v="0"/>
    <n v="0"/>
    <n v="0"/>
    <n v="0"/>
    <n v="0"/>
    <n v="0"/>
    <n v="0"/>
    <n v="0"/>
    <n v="0"/>
    <n v="0"/>
    <n v="0"/>
    <n v="789.9706513561894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7"/>
    <s v="Regular"/>
    <s v="Azul"/>
    <s v="A4"/>
    <s v="Industrial"/>
    <s v="Não se aplica"/>
    <s v="Não se aplica"/>
    <s v="Não se aplica"/>
    <s v="Fora ponta"/>
    <s v="CATIVO"/>
    <x v="5"/>
    <n v="21523"/>
    <n v="21523"/>
    <n v="7562.3590000000004"/>
    <n v="7562.3590000000004"/>
    <n v="7562.3590000000004"/>
    <n v="7562.3590000000004"/>
    <n v="12.58"/>
    <n v="78.42"/>
    <n v="171.61"/>
    <n v="270759.34000000003"/>
    <n v="1890816.6207700004"/>
    <n v="2161575.9607700002"/>
    <n v="2253779.19936"/>
    <n v="0"/>
    <n v="397763.82737604307"/>
    <n v="0"/>
    <n v="0"/>
    <n v="0"/>
    <n v="142642.37869028497"/>
    <n v="128055.5873538609"/>
    <n v="1250619.2792282272"/>
    <n v="47154.007723603463"/>
    <n v="0"/>
    <n v="0"/>
    <n v="0"/>
    <n v="0"/>
    <n v="70693.769670547525"/>
    <m/>
    <n v="1996.920108659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745.124724476445"/>
    <n v="0"/>
    <n v="0"/>
    <n v="0"/>
    <n v="0"/>
    <n v="0"/>
    <m/>
    <m/>
    <m/>
    <m/>
    <m/>
    <m/>
    <m/>
    <m/>
    <m/>
    <n v="1297364.4039527036"/>
    <m/>
    <m/>
    <m/>
    <m/>
    <m/>
    <m/>
    <m/>
    <m/>
    <m/>
    <m/>
    <m/>
    <m/>
    <n v="2253779.4643999999"/>
    <n v="92203.473629999906"/>
    <m/>
    <m/>
    <m/>
    <m/>
    <n v="-78025.462500000009"/>
    <n v="170228.70108999993"/>
    <n v="29"/>
    <n v="119963.41311378404"/>
    <n v="0"/>
    <n v="0"/>
    <n v="0"/>
    <n v="0"/>
    <n v="0"/>
    <n v="0"/>
    <n v="0"/>
    <n v="6423.5607611600426"/>
    <n v="0"/>
    <n v="0"/>
    <n v="170269.13438012009"/>
    <n v="0"/>
    <n v="0"/>
    <n v="0"/>
    <n v="6364.2485411218877"/>
    <n v="0"/>
    <n v="-54633.956942161138"/>
    <m/>
    <n v="0"/>
    <n v="0"/>
    <n v="0"/>
    <n v="0"/>
    <n v="-8147.0053115848204"/>
    <n v="-312.56831487251134"/>
    <n v="0"/>
    <n v="0"/>
    <m/>
    <m/>
    <n v="128055.5873538609"/>
    <n v="0"/>
    <n v="0"/>
    <n v="0"/>
    <n v="-78025.462499999907"/>
    <n v="170228.70108999987"/>
    <n v="0"/>
    <n v="0"/>
    <n v="-27684.927051529259"/>
    <n v="0"/>
    <n v="0"/>
    <n v="0"/>
    <n v="0"/>
    <n v="0"/>
    <n v="0"/>
    <n v="0"/>
    <n v="0"/>
    <n v="0"/>
    <n v="0"/>
    <n v="0"/>
    <n v="0"/>
    <n v="75852.1777196173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8"/>
    <s v="Sistema de Compensação"/>
    <s v="Azul"/>
    <s v="A4"/>
    <s v="Industrial"/>
    <s v="Não se aplica"/>
    <s v="Não se aplica"/>
    <s v="Não se aplica"/>
    <s v="Fora ponta"/>
    <s v="CATIVO"/>
    <x v="5"/>
    <n v="2035"/>
    <n v="2035"/>
    <n v="679.11199999999997"/>
    <n v="679.11199999999997"/>
    <n v="679.11199999999997"/>
    <n v="679.11199999999997"/>
    <n v="12.58"/>
    <n v="78.42"/>
    <n v="171.61"/>
    <n v="25600.3"/>
    <n v="169798.37336"/>
    <n v="195398.67336000002"/>
    <n v="203577.49447999999"/>
    <n v="0"/>
    <n v="35719.831382905701"/>
    <n v="0"/>
    <n v="0"/>
    <n v="0"/>
    <n v="13486.839224770243"/>
    <n v="12107.657866705707"/>
    <n v="112307.62252297727"/>
    <n v="4234.5057267437041"/>
    <n v="0"/>
    <n v="0"/>
    <n v="0"/>
    <n v="0"/>
    <n v="6348.4142062688197"/>
    <m/>
    <n v="179.32663720831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97.787375855688"/>
    <n v="0"/>
    <n v="0"/>
    <n v="0"/>
    <n v="0"/>
    <n v="0"/>
    <m/>
    <m/>
    <m/>
    <m/>
    <m/>
    <m/>
    <m/>
    <m/>
    <m/>
    <n v="116505.40989883295"/>
    <m/>
    <m/>
    <m/>
    <m/>
    <m/>
    <m/>
    <m/>
    <m/>
    <m/>
    <m/>
    <m/>
    <m/>
    <n v="203576.9644"/>
    <n v="8178.261039999983"/>
    <m/>
    <m/>
    <m/>
    <m/>
    <n v="-7107.9900000000007"/>
    <n v="15286.811119999993"/>
    <n v="29"/>
    <n v="10803.409110695735"/>
    <n v="0"/>
    <n v="0"/>
    <n v="0"/>
    <n v="0"/>
    <n v="0"/>
    <n v="0"/>
    <n v="0"/>
    <n v="607.34777442552877"/>
    <n v="0"/>
    <n v="0"/>
    <n v="15290.442094477679"/>
    <n v="0"/>
    <n v="0"/>
    <n v="0"/>
    <n v="571.51975398924696"/>
    <n v="0"/>
    <n v="-4906.2171958386207"/>
    <m/>
    <n v="0"/>
    <n v="0"/>
    <n v="0"/>
    <n v="0"/>
    <n v="-731.61417900961715"/>
    <n v="-28.069137348504739"/>
    <n v="0"/>
    <n v="0"/>
    <m/>
    <m/>
    <n v="12107.657866705707"/>
    <n v="0"/>
    <n v="0"/>
    <n v="0"/>
    <n v="-7107.9899999999907"/>
    <n v="15286.811119999984"/>
    <n v="0"/>
    <n v="0"/>
    <n v="-2617.6103029253372"/>
    <n v="0"/>
    <n v="0"/>
    <n v="0"/>
    <n v="0"/>
    <n v="0"/>
    <n v="0"/>
    <n v="0"/>
    <n v="0"/>
    <n v="0"/>
    <n v="0"/>
    <n v="0"/>
    <n v="0"/>
    <n v="6811.647544836838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49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31733.06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50"/>
    <s v="Sistema de Compensação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8488.68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51"/>
    <s v="Regular"/>
    <s v="Verde"/>
    <s v="A4"/>
    <s v="Industrial"/>
    <s v="Não se aplica"/>
    <s v="Não se aplica"/>
    <s v="Não se aplica"/>
    <s v="Ponta"/>
    <s v="CATIVO"/>
    <x v="5"/>
    <n v="0"/>
    <n v="0"/>
    <n v="164.81"/>
    <n v="164.81"/>
    <n v="164.81"/>
    <n v="164.81"/>
    <m/>
    <n v="984.21"/>
    <n v="171.61"/>
    <m/>
    <n v="190490.6942"/>
    <n v="190490.6942"/>
    <n v="177640.45850000001"/>
    <n v="0"/>
    <n v="8668.6517249241479"/>
    <n v="0"/>
    <n v="0"/>
    <n v="0"/>
    <n v="64887.125144548787"/>
    <n v="84396.254330379001"/>
    <n v="27255.326467522122"/>
    <n v="1027.6491783750396"/>
    <n v="0"/>
    <n v="0"/>
    <n v="0"/>
    <n v="0"/>
    <n v="1540.6621372250295"/>
    <m/>
    <n v="43.519806862936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8.7382013788241"/>
    <n v="0"/>
    <n v="0"/>
    <n v="0"/>
    <n v="0"/>
    <n v="0"/>
    <m/>
    <m/>
    <m/>
    <m/>
    <m/>
    <m/>
    <m/>
    <m/>
    <m/>
    <n v="28274.064668900945"/>
    <m/>
    <m/>
    <m/>
    <m/>
    <m/>
    <m/>
    <m/>
    <m/>
    <m/>
    <m/>
    <m/>
    <m/>
    <n v="177640.45850000001"/>
    <n v="-12850.265700000018"/>
    <m/>
    <m/>
    <m/>
    <m/>
    <n v="-16560.108800000002"/>
    <n v="3709.8730999999984"/>
    <n v="29"/>
    <n v="5396.4642851530225"/>
    <n v="0"/>
    <n v="0"/>
    <n v="0"/>
    <n v="0"/>
    <n v="0"/>
    <n v="0"/>
    <n v="0"/>
    <n v="2922.0375796453882"/>
    <n v="0"/>
    <n v="0"/>
    <n v="3710.7542814600056"/>
    <n v="0"/>
    <n v="0"/>
    <n v="0"/>
    <n v="138.69902262803146"/>
    <n v="0"/>
    <n v="-1190.6631837549066"/>
    <m/>
    <n v="0"/>
    <n v="0"/>
    <n v="0"/>
    <n v="0"/>
    <n v="-177.55146845082254"/>
    <n v="-6.8119463746879276"/>
    <n v="0"/>
    <n v="0"/>
    <m/>
    <m/>
    <m/>
    <n v="84396.254330379001"/>
    <n v="0"/>
    <n v="0"/>
    <n v="-16560.108799999987"/>
    <n v="3709.8730999999971"/>
    <n v="0"/>
    <n v="0"/>
    <n v="-18246.01481934794"/>
    <n v="0"/>
    <n v="0"/>
    <n v="0"/>
    <n v="0"/>
    <n v="0"/>
    <n v="0"/>
    <n v="0"/>
    <n v="0"/>
    <n v="0"/>
    <n v="0"/>
    <n v="0"/>
    <n v="0"/>
    <n v="1653.081718279988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52"/>
    <s v="Sistema de Compensação"/>
    <s v="Verde"/>
    <s v="A4"/>
    <s v="Industrial"/>
    <s v="Não se aplica"/>
    <s v="Não se aplica"/>
    <s v="Não se aplica"/>
    <s v="Ponta"/>
    <s v="CATIVO"/>
    <x v="5"/>
    <n v="0"/>
    <n v="0"/>
    <n v="1.091"/>
    <n v="1.091"/>
    <n v="1.091"/>
    <n v="1.091"/>
    <m/>
    <n v="984.21"/>
    <n v="171.61"/>
    <m/>
    <n v="1260.99962"/>
    <n v="1260.99962"/>
    <n v="1175.93435"/>
    <n v="0"/>
    <n v="57.384254789710852"/>
    <n v="0"/>
    <n v="0"/>
    <n v="0"/>
    <n v="429.53615395123308"/>
    <n v="558.6815938016108"/>
    <n v="180.42328242258742"/>
    <n v="6.8027744287796139"/>
    <n v="0"/>
    <n v="0"/>
    <n v="0"/>
    <n v="0"/>
    <n v="10.198788858154888"/>
    <m/>
    <n v="0.28808997808060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7437860427419274"/>
    <n v="0"/>
    <n v="0"/>
    <n v="0"/>
    <n v="0"/>
    <n v="0"/>
    <m/>
    <m/>
    <m/>
    <m/>
    <m/>
    <m/>
    <m/>
    <m/>
    <m/>
    <n v="187.16706846532935"/>
    <m/>
    <m/>
    <m/>
    <m/>
    <m/>
    <m/>
    <m/>
    <m/>
    <m/>
    <m/>
    <m/>
    <m/>
    <n v="1174.8565000000001"/>
    <n v="-86.173119999999926"/>
    <m/>
    <m/>
    <m/>
    <m/>
    <n v="-109.62368000000002"/>
    <n v="24.558409999999988"/>
    <n v="29"/>
    <n v="35.72321178995162"/>
    <n v="0"/>
    <n v="0"/>
    <n v="0"/>
    <n v="0"/>
    <n v="0"/>
    <n v="0"/>
    <n v="0"/>
    <n v="19.343140582447177"/>
    <n v="0"/>
    <n v="0"/>
    <n v="24.564243195636578"/>
    <n v="0"/>
    <n v="0"/>
    <n v="0"/>
    <n v="0.9181520155766183"/>
    <n v="0"/>
    <n v="-7.8818854042631088"/>
    <m/>
    <n v="0"/>
    <n v="0"/>
    <n v="0"/>
    <n v="0"/>
    <n v="-1.1753452586605633"/>
    <n v="-4.5093340785052616E-2"/>
    <n v="0"/>
    <n v="0"/>
    <m/>
    <m/>
    <m/>
    <n v="558.6815938016108"/>
    <n v="0"/>
    <n v="0"/>
    <n v="-109.62368000000015"/>
    <n v="24.558409999999981"/>
    <n v="0"/>
    <n v="0"/>
    <n v="-120.7839461677604"/>
    <n v="0"/>
    <n v="0"/>
    <n v="0"/>
    <n v="0"/>
    <n v="0"/>
    <n v="0"/>
    <n v="0"/>
    <n v="0"/>
    <n v="0"/>
    <n v="0"/>
    <n v="0"/>
    <n v="0"/>
    <n v="10.94297769943248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53"/>
    <s v="Regular"/>
    <s v="Verde"/>
    <s v="A4"/>
    <s v="Industrial"/>
    <s v="Não se aplica"/>
    <s v="Não se aplica"/>
    <s v="Não se aplica"/>
    <s v="Fora ponta"/>
    <s v="CATIVO"/>
    <x v="5"/>
    <n v="0"/>
    <n v="0"/>
    <n v="1894.89"/>
    <n v="1894.89"/>
    <n v="1894.89"/>
    <n v="1894.89"/>
    <m/>
    <n v="78.42"/>
    <n v="171.61"/>
    <m/>
    <n v="473779.34670000005"/>
    <n v="473779.34670000005"/>
    <n v="502221.64560000005"/>
    <n v="0"/>
    <n v="99667.140750206425"/>
    <n v="0"/>
    <n v="0"/>
    <n v="0"/>
    <n v="0"/>
    <n v="0"/>
    <n v="313365.97032973118"/>
    <n v="11815.315524610636"/>
    <n v="0"/>
    <n v="0"/>
    <n v="0"/>
    <n v="0"/>
    <n v="17713.641631007442"/>
    <m/>
    <n v="500.36555322195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12.862268131303"/>
    <n v="0"/>
    <n v="0"/>
    <n v="0"/>
    <n v="0"/>
    <n v="0"/>
    <m/>
    <m/>
    <m/>
    <m/>
    <m/>
    <m/>
    <m/>
    <m/>
    <m/>
    <n v="325078.83259786246"/>
    <m/>
    <m/>
    <m/>
    <m/>
    <m/>
    <m/>
    <m/>
    <m/>
    <m/>
    <m/>
    <m/>
    <m/>
    <n v="502221.64560000005"/>
    <n v="28442.268899999966"/>
    <m/>
    <m/>
    <m/>
    <m/>
    <n v="-14211.675000000001"/>
    <n v="42653.973899999983"/>
    <n v="29"/>
    <n v="28449.526242335618"/>
    <n v="0"/>
    <n v="0"/>
    <n v="0"/>
    <n v="0"/>
    <n v="0"/>
    <n v="0"/>
    <n v="0"/>
    <n v="0"/>
    <n v="0"/>
    <n v="0"/>
    <n v="42664.105214463605"/>
    <n v="0"/>
    <n v="0"/>
    <n v="0"/>
    <n v="1594.6810933052056"/>
    <n v="0"/>
    <n v="-13689.556217858961"/>
    <m/>
    <n v="0"/>
    <n v="0"/>
    <n v="0"/>
    <n v="0"/>
    <n v="-2041.3840304155055"/>
    <n v="-78.319817158742808"/>
    <n v="0"/>
    <n v="0"/>
    <m/>
    <m/>
    <m/>
    <n v="0"/>
    <n v="0"/>
    <n v="0"/>
    <n v="-14211.675000000017"/>
    <n v="42653.973899999983"/>
    <n v="0"/>
    <n v="0"/>
    <n v="0"/>
    <n v="0"/>
    <n v="0"/>
    <n v="0"/>
    <n v="0"/>
    <n v="0"/>
    <n v="0"/>
    <n v="0"/>
    <n v="0"/>
    <n v="0"/>
    <n v="0"/>
    <n v="0"/>
    <n v="0"/>
    <n v="19006.1769137283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54"/>
    <s v="Sistema de Compensação"/>
    <s v="Verde"/>
    <s v="A4"/>
    <s v="Industrial"/>
    <s v="Não se aplica"/>
    <s v="Não se aplica"/>
    <s v="Não se aplica"/>
    <s v="Fora ponta"/>
    <s v="CATIVO"/>
    <x v="5"/>
    <n v="0"/>
    <n v="0"/>
    <n v="30.001000000000001"/>
    <n v="30.001000000000001"/>
    <n v="30.001000000000001"/>
    <n v="30.001000000000001"/>
    <m/>
    <n v="78.42"/>
    <n v="171.61"/>
    <m/>
    <n v="7501.1500300000007"/>
    <n v="7501.1500300000007"/>
    <n v="7951.465040000001"/>
    <n v="0"/>
    <n v="1577.988109941444"/>
    <n v="0"/>
    <n v="0"/>
    <n v="0"/>
    <n v="0"/>
    <n v="0"/>
    <n v="4961.3922052796024"/>
    <n v="187.06694375601944"/>
    <n v="0"/>
    <n v="0"/>
    <n v="0"/>
    <n v="0"/>
    <n v="280.45267143309337"/>
    <m/>
    <n v="7.9220783065042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44484424225533"/>
    <n v="0"/>
    <n v="0"/>
    <n v="0"/>
    <n v="0"/>
    <n v="0"/>
    <m/>
    <m/>
    <m/>
    <m/>
    <m/>
    <m/>
    <m/>
    <m/>
    <m/>
    <n v="5146.8370495218578"/>
    <m/>
    <m/>
    <m/>
    <m/>
    <m/>
    <m/>
    <m/>
    <m/>
    <m/>
    <m/>
    <m/>
    <m/>
    <n v="7951.2000000000007"/>
    <n v="450.01996999999938"/>
    <m/>
    <m/>
    <m/>
    <m/>
    <n v="-225.00750000000002"/>
    <n v="675.32250999999974"/>
    <n v="29"/>
    <n v="450.42943748518883"/>
    <n v="0"/>
    <n v="0"/>
    <n v="0"/>
    <n v="0"/>
    <n v="0"/>
    <n v="0"/>
    <n v="0"/>
    <n v="0"/>
    <n v="0"/>
    <n v="0"/>
    <n v="675.48291486003018"/>
    <n v="0"/>
    <n v="0"/>
    <n v="0"/>
    <n v="25.247918074531754"/>
    <n v="0"/>
    <n v="-216.74101192786225"/>
    <m/>
    <n v="0"/>
    <n v="0"/>
    <n v="0"/>
    <n v="0"/>
    <n v="-32.320378648098625"/>
    <n v="-1.240004873411884"/>
    <n v="0"/>
    <n v="0"/>
    <m/>
    <m/>
    <m/>
    <n v="0"/>
    <n v="0"/>
    <n v="0"/>
    <n v="-225.00750000000016"/>
    <n v="675.32250999999997"/>
    <n v="0"/>
    <n v="0"/>
    <n v="0"/>
    <n v="0"/>
    <n v="0"/>
    <n v="0"/>
    <n v="0"/>
    <n v="0"/>
    <n v="0"/>
    <n v="0"/>
    <n v="0"/>
    <n v="0"/>
    <n v="0"/>
    <n v="0"/>
    <n v="0"/>
    <n v="300.9168413938348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55"/>
    <s v="Regular"/>
    <s v="Verde"/>
    <s v="A4"/>
    <s v="Industrial"/>
    <s v="Não se aplica"/>
    <s v="Não se aplica"/>
    <s v="Não se aplica"/>
    <s v="Não se aplica"/>
    <s v="CATIVO"/>
    <x v="5"/>
    <n v="9748"/>
    <n v="9748"/>
    <n v="0"/>
    <n v="0"/>
    <n v="0"/>
    <n v="0"/>
    <n v="12.58"/>
    <m/>
    <m/>
    <n v="122629.84"/>
    <m/>
    <n v="122629.84"/>
    <n v="112979.31999999999"/>
    <n v="0"/>
    <n v="0"/>
    <n v="0"/>
    <n v="0"/>
    <n v="0"/>
    <n v="64604.279490447334"/>
    <n v="57997.7635796792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61691.11"/>
    <n v="52"/>
    <m/>
    <m/>
    <m/>
    <m/>
    <m/>
    <m/>
    <m/>
    <m/>
    <m/>
    <n v="0"/>
    <m/>
    <m/>
    <m/>
    <m/>
    <m/>
    <m/>
    <m/>
    <m/>
    <m/>
    <m/>
    <m/>
    <m/>
    <n v="112979.31999999999"/>
    <n v="-9650.5499999999884"/>
    <m/>
    <m/>
    <m/>
    <m/>
    <n v="-9650.5200000000023"/>
    <n v="0"/>
    <n v="29"/>
    <n v="2909.3002973464681"/>
    <n v="0"/>
    <n v="0"/>
    <n v="0"/>
    <n v="0"/>
    <m/>
    <m/>
    <m/>
    <n v="2909.30029734646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997.763579679231"/>
    <m/>
    <n v="0"/>
    <n v="0"/>
    <n v="-9650.5200000000041"/>
    <m/>
    <n v="0"/>
    <m/>
    <n v="-12538.803554258571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56"/>
    <s v="Sistema de Compensação"/>
    <s v="Verde"/>
    <s v="A4"/>
    <s v="Industrial"/>
    <s v="Não se aplica"/>
    <s v="Não se aplica"/>
    <s v="Não se aplica"/>
    <s v="Não se aplica"/>
    <s v="CATIVO"/>
    <x v="5"/>
    <n v="821"/>
    <n v="821"/>
    <n v="0"/>
    <n v="0"/>
    <n v="0"/>
    <n v="0"/>
    <n v="12.58"/>
    <m/>
    <m/>
    <n v="10328.18"/>
    <m/>
    <n v="10328.18"/>
    <n v="9515.39"/>
    <n v="0"/>
    <n v="0"/>
    <n v="0"/>
    <n v="0"/>
    <n v="0"/>
    <n v="5441.1277658655381"/>
    <n v="4884.7111098601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935.95"/>
    <n v="3"/>
    <m/>
    <m/>
    <m/>
    <m/>
    <m/>
    <m/>
    <m/>
    <m/>
    <m/>
    <n v="0"/>
    <m/>
    <m/>
    <m/>
    <m/>
    <m/>
    <m/>
    <m/>
    <m/>
    <m/>
    <m/>
    <m/>
    <m/>
    <n v="9515.39"/>
    <n v="-812.82000000000153"/>
    <m/>
    <m/>
    <m/>
    <m/>
    <n v="-812.79000000000019"/>
    <n v="0"/>
    <n v="29"/>
    <n v="245.02826673383697"/>
    <n v="0"/>
    <n v="0"/>
    <n v="0"/>
    <n v="0"/>
    <m/>
    <m/>
    <m/>
    <n v="245.028266733836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4.7111098601408"/>
    <m/>
    <n v="0"/>
    <n v="0"/>
    <n v="-812.79000000000087"/>
    <m/>
    <n v="0"/>
    <m/>
    <n v="-1056.04818609420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57"/>
    <s v="Regular"/>
    <s v="Convencional"/>
    <s v="B3"/>
    <s v="Comercial"/>
    <s v="Não se aplica"/>
    <s v="Não se aplica"/>
    <s v="Não se aplica"/>
    <s v="Não se aplica"/>
    <s v="CATIVO"/>
    <x v="5"/>
    <n v="0"/>
    <n v="0"/>
    <n v="594.74300000000005"/>
    <n v="594.74300000000005"/>
    <n v="594.74300000000005"/>
    <n v="594.74300000000005"/>
    <m/>
    <n v="239.69"/>
    <n v="171.61"/>
    <m/>
    <n v="244617.79590000003"/>
    <n v="244617.79590000003"/>
    <n v="243719.73397"/>
    <n v="0"/>
    <n v="35956.555565806979"/>
    <n v="0"/>
    <n v="0"/>
    <n v="0"/>
    <n v="31721.208501596273"/>
    <n v="52702.988132863058"/>
    <n v="98355.164306010018"/>
    <n v="3708.4348965129925"/>
    <n v="0"/>
    <n v="0"/>
    <n v="0"/>
    <n v="0"/>
    <n v="5559.7234480894722"/>
    <m/>
    <n v="235.54894434548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21.7836413567602"/>
    <n v="0"/>
    <n v="0"/>
    <n v="0"/>
    <n v="109147.45"/>
    <n v="554"/>
    <m/>
    <m/>
    <m/>
    <m/>
    <m/>
    <m/>
    <m/>
    <m/>
    <m/>
    <n v="107876.94794736677"/>
    <m/>
    <m/>
    <m/>
    <m/>
    <m/>
    <m/>
    <m/>
    <m/>
    <m/>
    <m/>
    <m/>
    <m/>
    <n v="243718.50459999999"/>
    <n v="-899.32130000006873"/>
    <m/>
    <m/>
    <m/>
    <m/>
    <n v="-14285.726860000008"/>
    <n v="13387.664929999995"/>
    <n v="29"/>
    <n v="10499.380670039915"/>
    <n v="0"/>
    <n v="0"/>
    <n v="0"/>
    <n v="0"/>
    <n v="0"/>
    <n v="0"/>
    <n v="0"/>
    <n v="1428.4892897773098"/>
    <n v="0"/>
    <n v="0"/>
    <n v="13390.844812926196"/>
    <n v="0"/>
    <n v="0"/>
    <n v="0"/>
    <n v="1296.3704344691523"/>
    <n v="0"/>
    <n v="-4938.7319141857624"/>
    <m/>
    <n v="0"/>
    <n v="0"/>
    <n v="0"/>
    <n v="0"/>
    <n v="-640.7226078566091"/>
    <n v="-36.869345090368881"/>
    <n v="0"/>
    <n v="0"/>
    <m/>
    <m/>
    <m/>
    <n v="52702.988132863058"/>
    <n v="0"/>
    <n v="0"/>
    <n v="-14285.726859999995"/>
    <n v="13387.664929999999"/>
    <n v="0"/>
    <n v="0"/>
    <n v="-11394.101671050084"/>
    <n v="0"/>
    <n v="0"/>
    <n v="0"/>
    <n v="0"/>
    <n v="0"/>
    <n v="0"/>
    <n v="0"/>
    <n v="0"/>
    <n v="0"/>
    <n v="0"/>
    <n v="0"/>
    <n v="0"/>
    <n v="6856.790022749973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58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0.228999999999999"/>
    <n v="10.228999999999999"/>
    <n v="10.228999999999999"/>
    <n v="10.228999999999999"/>
    <m/>
    <n v="239.69"/>
    <n v="171.61"/>
    <m/>
    <n v="4207.1877000000004"/>
    <n v="4207.1877000000004"/>
    <n v="4191.7419099999997"/>
    <n v="0"/>
    <n v="618.41771468119771"/>
    <n v="0"/>
    <n v="0"/>
    <n v="0"/>
    <n v="545.57387268589662"/>
    <n v="906.44003478991112"/>
    <n v="1691.612975160996"/>
    <n v="63.781466207137186"/>
    <n v="0"/>
    <n v="0"/>
    <n v="0"/>
    <n v="0"/>
    <n v="95.621825142132309"/>
    <m/>
    <n v="4.0512122912081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76539928580627"/>
    <n v="0"/>
    <n v="0"/>
    <n v="0"/>
    <n v="2700.59"/>
    <n v="8"/>
    <m/>
    <m/>
    <m/>
    <m/>
    <m/>
    <m/>
    <m/>
    <m/>
    <m/>
    <n v="1855.3783744468024"/>
    <m/>
    <m/>
    <m/>
    <m/>
    <m/>
    <m/>
    <m/>
    <m/>
    <m/>
    <m/>
    <m/>
    <m/>
    <n v="4192.1517000000003"/>
    <n v="-15.066000000000713"/>
    <m/>
    <m/>
    <m/>
    <m/>
    <n v="-245.70058000000009"/>
    <n v="230.2547899999999"/>
    <n v="29"/>
    <n v="180.57911547313461"/>
    <n v="0"/>
    <n v="0"/>
    <n v="0"/>
    <n v="0"/>
    <n v="0"/>
    <n v="0"/>
    <n v="0"/>
    <n v="24.568623666242615"/>
    <n v="0"/>
    <n v="0"/>
    <n v="230.30948088741206"/>
    <n v="0"/>
    <n v="0"/>
    <n v="0"/>
    <n v="22.296308109864185"/>
    <n v="0"/>
    <n v="-84.941375939197542"/>
    <m/>
    <n v="0"/>
    <n v="0"/>
    <n v="0"/>
    <n v="0"/>
    <n v="-11.019804446231817"/>
    <n v="-0.63411680495505296"/>
    <n v="0"/>
    <n v="0"/>
    <m/>
    <m/>
    <m/>
    <n v="906.44003478991112"/>
    <n v="0"/>
    <n v="0"/>
    <n v="-245.70058000000017"/>
    <n v="230.25478999999996"/>
    <n v="0"/>
    <n v="0"/>
    <n v="-195.96744475037326"/>
    <n v="0"/>
    <n v="0"/>
    <n v="0"/>
    <n v="0"/>
    <n v="0"/>
    <n v="0"/>
    <n v="0"/>
    <n v="0"/>
    <n v="0"/>
    <n v="0"/>
    <n v="0"/>
    <n v="0"/>
    <n v="117.9301061848722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59"/>
    <s v="Regular"/>
    <s v="Verde"/>
    <s v="A4"/>
    <s v="Comercial"/>
    <s v="Não se aplica"/>
    <s v="Não se aplica"/>
    <s v="Não se aplica"/>
    <s v="Ponta"/>
    <s v="CATIVO"/>
    <x v="5"/>
    <n v="0"/>
    <n v="0"/>
    <n v="8.202"/>
    <n v="8.202"/>
    <n v="8.202"/>
    <n v="8.202"/>
    <m/>
    <n v="984.21"/>
    <n v="171.61"/>
    <m/>
    <n v="9480.0356400000001"/>
    <n v="9480.0356400000001"/>
    <n v="8840.5257000000001"/>
    <n v="0"/>
    <n v="431.40756900569062"/>
    <n v="0"/>
    <n v="0"/>
    <n v="0"/>
    <n v="3229.1984736095451"/>
    <n v="4200.0975548678389"/>
    <n v="1356.3994156095896"/>
    <n v="51.142397676306508"/>
    <n v="0"/>
    <n v="0"/>
    <n v="0"/>
    <n v="0"/>
    <n v="76.67320459632117"/>
    <m/>
    <n v="2.165824014864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698930451484223"/>
    <n v="0"/>
    <n v="0"/>
    <n v="0"/>
    <n v="0"/>
    <n v="0"/>
    <m/>
    <m/>
    <m/>
    <m/>
    <m/>
    <m/>
    <m/>
    <m/>
    <m/>
    <n v="1407.0983460610739"/>
    <m/>
    <m/>
    <m/>
    <m/>
    <m/>
    <m/>
    <m/>
    <m/>
    <m/>
    <m/>
    <m/>
    <m/>
    <n v="8838.369999999999"/>
    <n v="-641.69564000000173"/>
    <m/>
    <m/>
    <m/>
    <m/>
    <n v="-824.13696000000016"/>
    <n v="184.62701999999993"/>
    <n v="29"/>
    <n v="268.56258762711605"/>
    <n v="0"/>
    <n v="0"/>
    <n v="0"/>
    <n v="0"/>
    <n v="0"/>
    <n v="0"/>
    <n v="0"/>
    <n v="145.41928419544638"/>
    <n v="0"/>
    <n v="0"/>
    <n v="184.67087322695784"/>
    <n v="0"/>
    <n v="0"/>
    <n v="0"/>
    <n v="6.9025507165530939"/>
    <n v="0"/>
    <n v="-59.255017493827779"/>
    <m/>
    <n v="0"/>
    <n v="0"/>
    <n v="0"/>
    <n v="0"/>
    <n v="-8.8360969858239571"/>
    <n v="-0.33900603218973568"/>
    <n v="0"/>
    <n v="0"/>
    <m/>
    <m/>
    <m/>
    <n v="4200.0975548678389"/>
    <n v="0"/>
    <n v="0"/>
    <n v="-824.13695999999982"/>
    <n v="184.6270199999999"/>
    <n v="0"/>
    <n v="0"/>
    <n v="-908.03842939319065"/>
    <n v="0"/>
    <n v="0"/>
    <n v="0"/>
    <n v="0"/>
    <n v="0"/>
    <n v="0"/>
    <n v="0"/>
    <n v="0"/>
    <n v="0"/>
    <n v="0"/>
    <n v="0"/>
    <n v="0"/>
    <n v="82.2679221730020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60"/>
    <s v="Regular"/>
    <s v="Verde"/>
    <s v="A4"/>
    <s v="Comercial"/>
    <s v="Não se aplica"/>
    <s v="Não se aplica"/>
    <s v="Não se aplica"/>
    <s v="Fora ponta"/>
    <s v="CATIVO"/>
    <x v="5"/>
    <n v="0"/>
    <n v="0"/>
    <n v="87.093999999999994"/>
    <n v="87.093999999999994"/>
    <n v="87.093999999999994"/>
    <n v="87.093999999999994"/>
    <m/>
    <n v="78.42"/>
    <n v="171.61"/>
    <m/>
    <n v="21776.112819999998"/>
    <n v="21776.112819999998"/>
    <n v="23083.393759999999"/>
    <n v="0"/>
    <n v="4580.957183001904"/>
    <n v="0"/>
    <n v="0"/>
    <n v="0"/>
    <n v="0"/>
    <n v="0"/>
    <n v="14403.102987454473"/>
    <n v="543.06217791029485"/>
    <n v="0"/>
    <n v="0"/>
    <n v="0"/>
    <n v="0"/>
    <n v="814.16436004779268"/>
    <m/>
    <n v="22.998082998122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8.35316370904252"/>
    <n v="0"/>
    <n v="0"/>
    <n v="0"/>
    <n v="0"/>
    <n v="0"/>
    <m/>
    <m/>
    <m/>
    <m/>
    <m/>
    <m/>
    <m/>
    <m/>
    <m/>
    <n v="14941.456151163515"/>
    <m/>
    <m/>
    <m/>
    <m/>
    <m/>
    <m/>
    <m/>
    <m/>
    <m/>
    <m/>
    <m/>
    <m/>
    <n v="23082.333600000002"/>
    <n v="1306.1907800000045"/>
    <m/>
    <m/>
    <m/>
    <m/>
    <n v="-653.20499999999993"/>
    <n v="1960.4859399999991"/>
    <n v="29"/>
    <n v="1307.6131271735976"/>
    <n v="0"/>
    <n v="0"/>
    <n v="0"/>
    <n v="0"/>
    <n v="0"/>
    <n v="0"/>
    <n v="0"/>
    <n v="0"/>
    <n v="0"/>
    <n v="0"/>
    <n v="1960.9516011739415"/>
    <n v="0"/>
    <n v="0"/>
    <n v="0"/>
    <n v="73.295629371796508"/>
    <n v="0"/>
    <n v="-629.20708285874616"/>
    <m/>
    <n v="0"/>
    <n v="0"/>
    <n v="0"/>
    <n v="0"/>
    <n v="-93.827241024549153"/>
    <n v="-3.599779488848192"/>
    <n v="0"/>
    <n v="0"/>
    <m/>
    <m/>
    <m/>
    <n v="0"/>
    <n v="0"/>
    <n v="0"/>
    <n v="-653.20499999999993"/>
    <n v="1960.4859399999987"/>
    <n v="0"/>
    <n v="0"/>
    <n v="0"/>
    <n v="0"/>
    <n v="0"/>
    <n v="0"/>
    <n v="0"/>
    <n v="0"/>
    <n v="0"/>
    <n v="0"/>
    <n v="0"/>
    <n v="0"/>
    <n v="0"/>
    <n v="0"/>
    <n v="0"/>
    <n v="873.572593725364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61"/>
    <s v="Regular"/>
    <s v="Verde"/>
    <s v="A4"/>
    <s v="Comercial"/>
    <s v="Não se aplica"/>
    <s v="Não se aplica"/>
    <s v="Não se aplica"/>
    <s v="Não se aplica"/>
    <s v="CATIVO"/>
    <x v="5"/>
    <n v="504"/>
    <n v="504"/>
    <n v="0"/>
    <n v="0"/>
    <n v="0"/>
    <n v="0"/>
    <n v="12.58"/>
    <m/>
    <m/>
    <n v="6340.32"/>
    <m/>
    <n v="6340.32"/>
    <n v="5841.36"/>
    <n v="0"/>
    <n v="0"/>
    <n v="0"/>
    <n v="0"/>
    <n v="0"/>
    <n v="3340.2294689357259"/>
    <n v="2998.6533488057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226.53"/>
    <n v="5"/>
    <m/>
    <m/>
    <m/>
    <m/>
    <m/>
    <m/>
    <m/>
    <m/>
    <m/>
    <n v="0"/>
    <m/>
    <m/>
    <m/>
    <m/>
    <m/>
    <m/>
    <m/>
    <m/>
    <m/>
    <m/>
    <m/>
    <m/>
    <n v="5841.36"/>
    <n v="-498.99000000000069"/>
    <m/>
    <m/>
    <m/>
    <m/>
    <n v="-498.96000000000009"/>
    <n v="0"/>
    <n v="29"/>
    <n v="150.419301381065"/>
    <n v="0"/>
    <n v="0"/>
    <n v="0"/>
    <n v="0"/>
    <m/>
    <m/>
    <m/>
    <n v="150.4193013810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98.653348805738"/>
    <m/>
    <n v="0"/>
    <n v="0"/>
    <n v="-498.96000000000004"/>
    <m/>
    <n v="0"/>
    <m/>
    <n v="-648.2926745328600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62"/>
    <s v="Regular"/>
    <s v="Convencional"/>
    <s v="B2"/>
    <s v="Rural"/>
    <s v="Não se aplica"/>
    <s v="Não se aplica"/>
    <s v="Não se aplica"/>
    <s v="Não se aplica"/>
    <s v="CATIVO"/>
    <x v="5"/>
    <n v="0"/>
    <n v="0"/>
    <n v="590.40200000000004"/>
    <n v="590.40200000000004"/>
    <n v="590.40200000000004"/>
    <n v="590.40200000000004"/>
    <m/>
    <n v="239.69"/>
    <n v="171.61"/>
    <m/>
    <n v="242832.34260000003"/>
    <n v="242832.34260000003"/>
    <n v="241940.83558000001"/>
    <n v="0"/>
    <n v="35694.110429485634"/>
    <n v="0"/>
    <n v="0"/>
    <n v="0"/>
    <n v="31489.676955860668"/>
    <n v="52318.311606220865"/>
    <n v="97637.274783556801"/>
    <n v="3681.3672120076462"/>
    <n v="0"/>
    <n v="0"/>
    <n v="0"/>
    <n v="0"/>
    <n v="5519.143299204733"/>
    <m/>
    <n v="233.82968414838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52.2846093595272"/>
    <n v="0"/>
    <n v="0"/>
    <n v="0"/>
    <n v="80313.3"/>
    <n v="720"/>
    <m/>
    <m/>
    <m/>
    <m/>
    <m/>
    <n v="29030.066339999994"/>
    <m/>
    <m/>
    <m/>
    <n v="107089.55939291633"/>
    <m/>
    <m/>
    <m/>
    <m/>
    <m/>
    <m/>
    <m/>
    <m/>
    <m/>
    <m/>
    <m/>
    <m/>
    <n v="212910.04800000001"/>
    <n v="-785.98590000002878"/>
    <m/>
    <m/>
    <m/>
    <m/>
    <n v="-14181.456040000006"/>
    <n v="13289.949019999996"/>
    <n v="29"/>
    <n v="10422.746205256612"/>
    <n v="0"/>
    <n v="0"/>
    <n v="0"/>
    <n v="0"/>
    <n v="0"/>
    <n v="0"/>
    <n v="0"/>
    <n v="1418.0628164822556"/>
    <n v="0"/>
    <n v="0"/>
    <n v="13293.105693116624"/>
    <n v="0"/>
    <n v="0"/>
    <n v="0"/>
    <n v="1286.9082902219234"/>
    <n v="0"/>
    <n v="-4902.6843520631664"/>
    <m/>
    <n v="0"/>
    <n v="0"/>
    <n v="0"/>
    <n v="0"/>
    <n v="-636.04600495299292"/>
    <n v="-36.600237548056839"/>
    <n v="0"/>
    <n v="0"/>
    <m/>
    <m/>
    <m/>
    <n v="52318.311606220865"/>
    <n v="0"/>
    <n v="0"/>
    <n v="-14181.456040000005"/>
    <n v="13289.949019999985"/>
    <n v="0"/>
    <n v="0"/>
    <n v="-11310.936681543644"/>
    <n v="0"/>
    <n v="0"/>
    <n v="0"/>
    <n v="0"/>
    <n v="0"/>
    <n v="0"/>
    <n v="0"/>
    <n v="0"/>
    <n v="0"/>
    <n v="0"/>
    <n v="0"/>
    <n v="0"/>
    <n v="6806.742648524875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63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7.965"/>
    <n v="17.965"/>
    <n v="17.965"/>
    <n v="17.965"/>
    <m/>
    <n v="239.69"/>
    <n v="171.61"/>
    <m/>
    <n v="7389.0045000000009"/>
    <n v="7389.0045000000009"/>
    <n v="7361.8773499999998"/>
    <n v="0"/>
    <n v="1086.1153821730097"/>
    <n v="0"/>
    <n v="0"/>
    <n v="0"/>
    <n v="958.18111475238379"/>
    <n v="1591.9635570437731"/>
    <n v="2970.9480006615795"/>
    <n v="112.01818754631144"/>
    <n v="0"/>
    <n v="0"/>
    <n v="0"/>
    <n v="0"/>
    <n v="167.93881011618018"/>
    <m/>
    <n v="7.11506782789662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61808565544135"/>
    <n v="0"/>
    <n v="0"/>
    <n v="0"/>
    <n v="4817.6899999999996"/>
    <n v="11"/>
    <m/>
    <m/>
    <m/>
    <m/>
    <m/>
    <n v="883.33904999999982"/>
    <m/>
    <m/>
    <m/>
    <n v="3258.566086317021"/>
    <m/>
    <m/>
    <m/>
    <m/>
    <m/>
    <m/>
    <m/>
    <m/>
    <m/>
    <m/>
    <m/>
    <m/>
    <n v="6480.3413999999993"/>
    <n v="-22.120350000001054"/>
    <m/>
    <m/>
    <m/>
    <m/>
    <n v="-431.51930000000016"/>
    <n v="404.39214999999984"/>
    <n v="29"/>
    <n v="317.14769864843765"/>
    <n v="0"/>
    <n v="0"/>
    <n v="0"/>
    <n v="0"/>
    <n v="0"/>
    <n v="0"/>
    <n v="0"/>
    <n v="43.149410906642743"/>
    <n v="0"/>
    <n v="0"/>
    <n v="404.48820257526222"/>
    <n v="0"/>
    <n v="0"/>
    <n v="0"/>
    <n v="39.158585902210461"/>
    <n v="0"/>
    <n v="-149.18093838573498"/>
    <m/>
    <n v="0"/>
    <n v="0"/>
    <n v="0"/>
    <n v="0"/>
    <n v="-19.353874951271337"/>
    <n v="-1.1136873986721607"/>
    <n v="0"/>
    <n v="0"/>
    <m/>
    <m/>
    <m/>
    <n v="1591.9635570437731"/>
    <n v="0"/>
    <n v="0"/>
    <n v="-431.51930000000038"/>
    <n v="404.39214999999967"/>
    <n v="0"/>
    <n v="0"/>
    <n v="-344.17393146353083"/>
    <n v="0"/>
    <n v="0"/>
    <n v="0"/>
    <n v="0"/>
    <n v="0"/>
    <n v="0"/>
    <n v="0"/>
    <n v="0"/>
    <n v="0"/>
    <n v="0"/>
    <n v="0"/>
    <n v="0"/>
    <n v="207.118423854846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64"/>
    <s v="Regular"/>
    <s v="Verde"/>
    <s v="A4"/>
    <s v="Rural"/>
    <s v="Não se aplica"/>
    <s v="Não se aplica"/>
    <s v="Não se aplica"/>
    <s v="Ponta"/>
    <s v="CATIVO"/>
    <x v="5"/>
    <n v="0"/>
    <n v="0"/>
    <n v="20.135000000000002"/>
    <n v="19.329599999999999"/>
    <n v="20.135000000000002"/>
    <n v="19.329599999999999"/>
    <m/>
    <n v="984.21"/>
    <n v="171.61"/>
    <m/>
    <n v="23272.435700000002"/>
    <n v="23272.435700000002"/>
    <n v="21702.509750000005"/>
    <n v="0"/>
    <n v="1059.0577178651038"/>
    <n v="0"/>
    <n v="0"/>
    <n v="0"/>
    <n v="7927.3239778259203"/>
    <n v="10310.773502470611"/>
    <n v="3329.8100747743338"/>
    <n v="125.54891212051105"/>
    <n v="0"/>
    <n v="0"/>
    <n v="0"/>
    <n v="0"/>
    <n v="188.22421050316106"/>
    <m/>
    <n v="5.3168576614600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46024928561752"/>
    <n v="0"/>
    <n v="0"/>
    <n v="0"/>
    <n v="0"/>
    <n v="0"/>
    <m/>
    <m/>
    <m/>
    <m/>
    <m/>
    <n v="868.10039000000256"/>
    <m/>
    <m/>
    <m/>
    <n v="3454.2703240599512"/>
    <m/>
    <m/>
    <m/>
    <m/>
    <m/>
    <m/>
    <m/>
    <m/>
    <m/>
    <m/>
    <m/>
    <m/>
    <n v="20834.840499999998"/>
    <n v="-1506.7277719999947"/>
    <m/>
    <m/>
    <m/>
    <m/>
    <n v="-2023.1648000000005"/>
    <n v="453.23884999999984"/>
    <n v="29"/>
    <n v="659.29135599511937"/>
    <n v="0"/>
    <n v="0"/>
    <n v="0"/>
    <n v="0"/>
    <n v="0"/>
    <n v="0"/>
    <n v="0"/>
    <n v="356.98820864122263"/>
    <n v="0"/>
    <n v="0"/>
    <n v="453.34650480673008"/>
    <n v="0"/>
    <n v="0"/>
    <n v="0"/>
    <n v="16.944996181150515"/>
    <n v="0"/>
    <n v="-145.46449368912727"/>
    <m/>
    <n v="0"/>
    <n v="0"/>
    <n v="0"/>
    <n v="0"/>
    <n v="-21.691637748057246"/>
    <n v="-0.83222219679838183"/>
    <n v="0"/>
    <n v="0"/>
    <m/>
    <m/>
    <m/>
    <n v="10310.773502470611"/>
    <n v="0"/>
    <n v="0"/>
    <n v="-2023.1647999999986"/>
    <n v="453.23884999999973"/>
    <n v="0"/>
    <n v="0"/>
    <n v="-2229.1335986139848"/>
    <n v="0"/>
    <n v="0"/>
    <n v="0"/>
    <n v="0"/>
    <n v="0"/>
    <n v="0"/>
    <n v="0"/>
    <n v="0"/>
    <n v="0"/>
    <n v="0"/>
    <n v="0"/>
    <n v="0"/>
    <n v="201.9586214281145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65"/>
    <s v="Regular"/>
    <s v="Verde"/>
    <s v="A4"/>
    <s v="Rural"/>
    <s v="Não se aplica"/>
    <s v="Não se aplica"/>
    <s v="Não se aplica"/>
    <s v="Fora ponta"/>
    <s v="CATIVO"/>
    <x v="5"/>
    <n v="0"/>
    <n v="0"/>
    <n v="275.83600000000001"/>
    <n v="264.80256000000003"/>
    <n v="275.83600000000001"/>
    <n v="264.80256000000003"/>
    <m/>
    <n v="78.42"/>
    <n v="171.61"/>
    <m/>
    <n v="68967.275080000007"/>
    <n v="68967.275080000007"/>
    <n v="73107.573440000007"/>
    <n v="0"/>
    <n v="14508.380663771479"/>
    <n v="0"/>
    <n v="0"/>
    <n v="0"/>
    <n v="0"/>
    <n v="0"/>
    <n v="45616.165472334404"/>
    <n v="1719.9359187322216"/>
    <n v="0"/>
    <n v="0"/>
    <n v="0"/>
    <n v="0"/>
    <n v="2578.5454843978114"/>
    <m/>
    <n v="72.837385145591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5.0219678146309"/>
    <n v="0"/>
    <n v="0"/>
    <n v="0"/>
    <n v="0"/>
    <n v="0"/>
    <m/>
    <m/>
    <m/>
    <m/>
    <m/>
    <n v="2924.3029375999959"/>
    <m/>
    <m/>
    <m/>
    <n v="47321.187440149035"/>
    <m/>
    <m/>
    <m/>
    <m/>
    <m/>
    <m/>
    <m/>
    <m/>
    <m/>
    <m/>
    <m/>
    <m/>
    <n v="70182.592000000004"/>
    <n v="3973.9779232000001"/>
    <m/>
    <m/>
    <m/>
    <m/>
    <n v="-2068.77"/>
    <n v="6209.0683599999975"/>
    <n v="29"/>
    <n v="4141.3504322577501"/>
    <n v="0"/>
    <n v="0"/>
    <n v="0"/>
    <n v="0"/>
    <n v="0"/>
    <n v="0"/>
    <n v="0"/>
    <n v="0"/>
    <n v="0"/>
    <n v="0"/>
    <n v="6210.5431586724153"/>
    <n v="0"/>
    <n v="0"/>
    <n v="0"/>
    <n v="232.13508649733467"/>
    <n v="0"/>
    <n v="-1992.7660333366821"/>
    <m/>
    <n v="0"/>
    <n v="0"/>
    <n v="0"/>
    <n v="0"/>
    <n v="-297.1608934627825"/>
    <n v="-11.400886112544249"/>
    <n v="0"/>
    <n v="0"/>
    <m/>
    <m/>
    <m/>
    <n v="0"/>
    <n v="0"/>
    <n v="0"/>
    <n v="-2068.7700000000004"/>
    <n v="6209.0683599999975"/>
    <n v="0"/>
    <n v="0"/>
    <n v="0"/>
    <n v="0"/>
    <n v="0"/>
    <n v="0"/>
    <n v="0"/>
    <n v="0"/>
    <n v="0"/>
    <n v="0"/>
    <n v="0"/>
    <n v="0"/>
    <n v="0"/>
    <n v="0"/>
    <n v="0"/>
    <n v="2766.697705500144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66"/>
    <s v="Regular"/>
    <s v="Verde"/>
    <s v="A4"/>
    <s v="Rural"/>
    <s v="Não se aplica"/>
    <s v="Não se aplica"/>
    <s v="Não se aplica"/>
    <s v="Não se aplica"/>
    <s v="CATIVO"/>
    <x v="5"/>
    <n v="1295"/>
    <n v="1243.2"/>
    <n v="0"/>
    <n v="0"/>
    <n v="0"/>
    <n v="0"/>
    <n v="12.58"/>
    <m/>
    <m/>
    <n v="16291.1"/>
    <m/>
    <n v="16291.1"/>
    <n v="15009.05"/>
    <n v="0"/>
    <n v="0"/>
    <n v="0"/>
    <n v="0"/>
    <n v="0"/>
    <n v="8582.5340521265189"/>
    <n v="7704.87318790363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1047.67"/>
    <n v="11"/>
    <m/>
    <m/>
    <m/>
    <m/>
    <m/>
    <n v="600.36199999999951"/>
    <m/>
    <m/>
    <m/>
    <n v="0"/>
    <m/>
    <m/>
    <m/>
    <m/>
    <m/>
    <m/>
    <m/>
    <m/>
    <m/>
    <m/>
    <m/>
    <m/>
    <n v="14408.688"/>
    <n v="-1230.7980000000007"/>
    <m/>
    <m/>
    <m/>
    <m/>
    <n v="-1282.0500000000002"/>
    <n v="0"/>
    <n v="29"/>
    <n v="386.49403827079004"/>
    <n v="0"/>
    <n v="0"/>
    <n v="0"/>
    <n v="0"/>
    <m/>
    <m/>
    <m/>
    <n v="386.494038270790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04.8731879036322"/>
    <m/>
    <n v="0"/>
    <n v="0"/>
    <n v="-1282.0500000000011"/>
    <m/>
    <n v="0"/>
    <m/>
    <n v="-1665.752010952487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67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50.405999999999999"/>
    <n v="50.405999999999999"/>
    <n v="50.405999999999999"/>
    <n v="50.405999999999999"/>
    <m/>
    <n v="239.69"/>
    <n v="171.61"/>
    <m/>
    <n v="20731.987800000003"/>
    <n v="20731.987800000003"/>
    <n v="20655.874739999999"/>
    <n v="0"/>
    <n v="3047.4106292130659"/>
    <n v="0"/>
    <n v="0"/>
    <n v="0"/>
    <n v="2688.4540645816119"/>
    <n v="4466.7138912523478"/>
    <n v="8335.8533215334028"/>
    <n v="314.29940225212215"/>
    <n v="0"/>
    <n v="0"/>
    <n v="0"/>
    <n v="0"/>
    <n v="471.20087184615522"/>
    <m/>
    <n v="19.963379289337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6.99567077919164"/>
    <n v="0"/>
    <n v="0"/>
    <n v="0"/>
    <n v="8405.2199999999993"/>
    <n v="45"/>
    <m/>
    <m/>
    <m/>
    <m/>
    <m/>
    <m/>
    <m/>
    <m/>
    <m/>
    <n v="9142.8489923125944"/>
    <m/>
    <m/>
    <m/>
    <m/>
    <m/>
    <m/>
    <m/>
    <m/>
    <m/>
    <m/>
    <m/>
    <m/>
    <n v="20657.513899999998"/>
    <n v="-74.503899999999703"/>
    <m/>
    <m/>
    <m/>
    <m/>
    <n v="-1210.7521200000006"/>
    <n v="1134.6390599999995"/>
    <n v="29"/>
    <n v="889.84953510008927"/>
    <n v="0"/>
    <n v="0"/>
    <n v="0"/>
    <n v="0"/>
    <n v="0"/>
    <n v="0"/>
    <n v="0"/>
    <n v="121.0681439554819"/>
    <n v="0"/>
    <n v="0"/>
    <n v="1134.908563262381"/>
    <n v="0"/>
    <n v="0"/>
    <n v="0"/>
    <n v="109.87073092050196"/>
    <n v="0"/>
    <n v="-418.57024103931872"/>
    <m/>
    <n v="0"/>
    <n v="0"/>
    <n v="0"/>
    <n v="0"/>
    <n v="-54.302890108198369"/>
    <n v="-3.1247718907580833"/>
    <n v="0"/>
    <n v="0"/>
    <m/>
    <m/>
    <m/>
    <n v="4466.7138912523478"/>
    <n v="0"/>
    <n v="0"/>
    <n v="-1210.752120000001"/>
    <n v="1134.6390599999995"/>
    <n v="0"/>
    <n v="0"/>
    <n v="-965.67944276931439"/>
    <n v="0"/>
    <n v="0"/>
    <n v="0"/>
    <n v="0"/>
    <n v="0"/>
    <n v="0"/>
    <n v="0"/>
    <n v="0"/>
    <n v="0"/>
    <n v="0"/>
    <n v="0"/>
    <n v="0"/>
    <n v="581.1306024396001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68"/>
    <s v="Regular"/>
    <s v="Verde"/>
    <s v="A4"/>
    <s v="Poder público"/>
    <s v="Não se aplica"/>
    <s v="Não se aplica"/>
    <s v="Não se aplica"/>
    <s v="Ponta"/>
    <s v="CATIVO"/>
    <x v="5"/>
    <n v="0"/>
    <n v="0"/>
    <n v="1.5860000000000001"/>
    <n v="1.5860000000000001"/>
    <n v="1.5860000000000001"/>
    <n v="1.5860000000000001"/>
    <m/>
    <n v="984.21"/>
    <n v="171.61"/>
    <m/>
    <n v="1833.1305200000002"/>
    <n v="1833.1305200000002"/>
    <n v="1709.4701"/>
    <n v="0"/>
    <n v="83.420190739213041"/>
    <n v="0"/>
    <n v="0"/>
    <n v="0"/>
    <n v="624.42194332415738"/>
    <n v="812.16224360160845"/>
    <n v="262.28352513494383"/>
    <n v="9.8892761173643162"/>
    <n v="0"/>
    <n v="0"/>
    <n v="0"/>
    <n v="0"/>
    <n v="14.826103692973103"/>
    <m/>
    <n v="0.41879991314008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035239814745161"/>
    <n v="0"/>
    <n v="0"/>
    <n v="0"/>
    <n v="0"/>
    <n v="0"/>
    <m/>
    <m/>
    <m/>
    <m/>
    <m/>
    <m/>
    <m/>
    <m/>
    <m/>
    <n v="272.08704911641837"/>
    <m/>
    <m/>
    <m/>
    <m/>
    <m/>
    <m/>
    <m/>
    <m/>
    <m/>
    <m/>
    <m/>
    <m/>
    <n v="1713.7815000000001"/>
    <n v="-119.37902000000008"/>
    <m/>
    <m/>
    <m/>
    <m/>
    <n v="-159.36128000000005"/>
    <n v="35.700859999999984"/>
    <n v="29"/>
    <n v="51.931268468252483"/>
    <n v="0"/>
    <n v="0"/>
    <n v="0"/>
    <n v="0"/>
    <n v="0"/>
    <n v="0"/>
    <n v="0"/>
    <n v="28.119359270175323"/>
    <n v="0"/>
    <n v="0"/>
    <n v="35.709339787607291"/>
    <n v="0"/>
    <n v="0"/>
    <n v="0"/>
    <n v="1.3347287779143144"/>
    <n v="0"/>
    <n v="-11.457992897489731"/>
    <m/>
    <n v="0"/>
    <n v="0"/>
    <n v="0"/>
    <n v="0"/>
    <n v="-1.7086137307384561"/>
    <n v="-6.5552739216400979E-2"/>
    <n v="0"/>
    <n v="0"/>
    <m/>
    <m/>
    <m/>
    <n v="812.16224360160845"/>
    <n v="0"/>
    <n v="0"/>
    <n v="-159.36128000000008"/>
    <n v="35.700859999999977"/>
    <n v="0"/>
    <n v="0"/>
    <n v="-175.58509497898081"/>
    <n v="0"/>
    <n v="0"/>
    <n v="0"/>
    <n v="0"/>
    <n v="0"/>
    <n v="0"/>
    <n v="0"/>
    <n v="0"/>
    <n v="0"/>
    <n v="0"/>
    <n v="0"/>
    <n v="0"/>
    <n v="15.90794008368461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69"/>
    <s v="Regular"/>
    <s v="Verde"/>
    <s v="A4"/>
    <s v="Poder público"/>
    <s v="Não se aplica"/>
    <s v="Não se aplica"/>
    <s v="Não se aplica"/>
    <s v="Fora ponta"/>
    <s v="CATIVO"/>
    <x v="5"/>
    <n v="0"/>
    <n v="0"/>
    <n v="24.294"/>
    <n v="24.294"/>
    <n v="24.294"/>
    <n v="24.294"/>
    <m/>
    <n v="78.42"/>
    <n v="171.61"/>
    <m/>
    <n v="6074.2288200000003"/>
    <n v="6074.2288200000003"/>
    <n v="6438.8817600000002"/>
    <n v="0"/>
    <n v="1277.8121776913249"/>
    <n v="0"/>
    <n v="0"/>
    <n v="0"/>
    <n v="0"/>
    <n v="0"/>
    <n v="4017.6014877858288"/>
    <n v="151.48176166156915"/>
    <n v="0"/>
    <n v="0"/>
    <n v="0"/>
    <n v="0"/>
    <n v="227.10300322641143"/>
    <m/>
    <n v="6.4150851764345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16822925973636"/>
    <n v="0"/>
    <n v="0"/>
    <n v="0"/>
    <n v="0"/>
    <n v="0"/>
    <m/>
    <m/>
    <m/>
    <m/>
    <m/>
    <m/>
    <m/>
    <m/>
    <m/>
    <n v="4167.7697170455649"/>
    <m/>
    <m/>
    <m/>
    <m/>
    <m/>
    <m/>
    <m/>
    <m/>
    <m/>
    <m/>
    <m/>
    <m/>
    <n v="6437.8215999999993"/>
    <n v="363.56277999999838"/>
    <m/>
    <m/>
    <m/>
    <m/>
    <n v="-182.20500000000001"/>
    <n v="546.85793999999976"/>
    <n v="29"/>
    <n v="364.74560028883025"/>
    <n v="0"/>
    <n v="0"/>
    <n v="0"/>
    <n v="0"/>
    <n v="0"/>
    <n v="0"/>
    <n v="0"/>
    <n v="0"/>
    <n v="0"/>
    <n v="0"/>
    <n v="546.98783152593478"/>
    <n v="0"/>
    <n v="0"/>
    <n v="0"/>
    <n v="20.445082554004017"/>
    <n v="0"/>
    <n v="-175.51102109181306"/>
    <m/>
    <n v="0"/>
    <n v="0"/>
    <n v="0"/>
    <n v="0"/>
    <n v="-26.172170223556122"/>
    <n v="-1.0041224757397513"/>
    <n v="0"/>
    <n v="0"/>
    <m/>
    <m/>
    <m/>
    <n v="0"/>
    <n v="0"/>
    <n v="0"/>
    <n v="-182.20500000000015"/>
    <n v="546.85793999999987"/>
    <n v="0"/>
    <n v="0"/>
    <n v="0"/>
    <n v="0"/>
    <n v="0"/>
    <n v="0"/>
    <n v="0"/>
    <n v="0"/>
    <n v="0"/>
    <n v="0"/>
    <n v="0"/>
    <n v="0"/>
    <n v="0"/>
    <n v="0"/>
    <n v="0"/>
    <n v="243.674335682871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70"/>
    <s v="Regular"/>
    <s v="Verde"/>
    <s v="A4"/>
    <s v="Poder público"/>
    <s v="Não se aplica"/>
    <s v="Não se aplica"/>
    <s v="Não se aplica"/>
    <s v="Não se aplica"/>
    <s v="CATIVO"/>
    <x v="5"/>
    <n v="179"/>
    <n v="179"/>
    <n v="0"/>
    <n v="0"/>
    <n v="0"/>
    <n v="0"/>
    <n v="12.58"/>
    <m/>
    <m/>
    <n v="2251.8200000000002"/>
    <m/>
    <n v="2251.8200000000002"/>
    <n v="2074.61"/>
    <n v="0"/>
    <n v="0"/>
    <n v="0"/>
    <n v="0"/>
    <n v="0"/>
    <n v="1186.3116566259821"/>
    <n v="1064.99791554806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551.77"/>
    <n v="3"/>
    <m/>
    <m/>
    <m/>
    <m/>
    <m/>
    <m/>
    <m/>
    <m/>
    <m/>
    <n v="0"/>
    <m/>
    <m/>
    <m/>
    <m/>
    <m/>
    <m/>
    <m/>
    <m/>
    <m/>
    <m/>
    <m/>
    <m/>
    <n v="2074.61"/>
    <n v="-177.24000000000069"/>
    <m/>
    <m/>
    <m/>
    <m/>
    <n v="-177.21000000000004"/>
    <n v="0"/>
    <n v="29"/>
    <n v="53.42272806986216"/>
    <n v="0"/>
    <n v="0"/>
    <n v="0"/>
    <n v="0"/>
    <m/>
    <m/>
    <m/>
    <n v="53.422728069862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64.9979155480696"/>
    <m/>
    <n v="0"/>
    <n v="0"/>
    <n v="-177.21000000000004"/>
    <m/>
    <n v="0"/>
    <m/>
    <n v="-230.24680305829759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271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92.081999999999994"/>
    <n v="92.081999999999994"/>
    <n v="92.081999999999994"/>
    <n v="92.081999999999994"/>
    <m/>
    <n v="131.83000000000001"/>
    <n v="94.39"/>
    <m/>
    <n v="20830.79004"/>
    <n v="20830.79004"/>
    <n v="20754.361980000001"/>
    <n v="0"/>
    <n v="3061.8659694790081"/>
    <n v="0"/>
    <n v="0"/>
    <n v="0"/>
    <n v="2701.2067005146646"/>
    <n v="4487.9016722982196"/>
    <n v="8375.3942993768942"/>
    <n v="315.79027609806286"/>
    <n v="0"/>
    <n v="0"/>
    <n v="0"/>
    <n v="0"/>
    <n v="473.43600513303386"/>
    <m/>
    <n v="20.058075237996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0.82364095899629"/>
    <n v="0"/>
    <n v="0"/>
    <n v="0"/>
    <n v="11276.6"/>
    <n v="7"/>
    <m/>
    <m/>
    <m/>
    <m/>
    <m/>
    <m/>
    <m/>
    <m/>
    <m/>
    <n v="9186.2179403358896"/>
    <m/>
    <m/>
    <m/>
    <m/>
    <m/>
    <m/>
    <m/>
    <m/>
    <m/>
    <m/>
    <m/>
    <m/>
    <n v="20753.911199999999"/>
    <n v="-76.908840000000055"/>
    <m/>
    <m/>
    <m/>
    <m/>
    <n v="-1216.4032200000006"/>
    <n v="1139.9751599999995"/>
    <n v="29"/>
    <n v="894.07052117006424"/>
    <n v="0"/>
    <n v="0"/>
    <n v="0"/>
    <n v="0"/>
    <n v="0"/>
    <n v="0"/>
    <n v="0"/>
    <n v="121.64242862833134"/>
    <n v="0"/>
    <n v="0"/>
    <n v="1140.2919826465131"/>
    <n v="0"/>
    <n v="0"/>
    <n v="0"/>
    <n v="110.3919008558903"/>
    <n v="0"/>
    <n v="-420.55572182796595"/>
    <m/>
    <n v="0"/>
    <n v="0"/>
    <n v="0"/>
    <n v="0"/>
    <n v="-54.560474939862615"/>
    <n v="-3.1395941928467117"/>
    <n v="0"/>
    <n v="0"/>
    <m/>
    <m/>
    <m/>
    <n v="4487.9016722982196"/>
    <n v="0"/>
    <n v="0"/>
    <n v="-1216.4032200000001"/>
    <n v="1139.97516"/>
    <n v="0"/>
    <n v="0"/>
    <n v="-970.26012671102399"/>
    <n v="0"/>
    <n v="0"/>
    <n v="0"/>
    <n v="0"/>
    <n v="0"/>
    <n v="0"/>
    <n v="0"/>
    <n v="0"/>
    <n v="0"/>
    <n v="0"/>
    <n v="0"/>
    <n v="0"/>
    <n v="583.8871855258045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72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52.497"/>
    <n v="49.347180000000002"/>
    <n v="52.497"/>
    <n v="49.347180000000002"/>
    <m/>
    <n v="239.69"/>
    <n v="171.61"/>
    <m/>
    <n v="21592.016100000001"/>
    <n v="21592.016100000001"/>
    <n v="21512.745629999998"/>
    <n v="0"/>
    <n v="3173.8268420782911"/>
    <n v="0"/>
    <n v="0"/>
    <n v="0"/>
    <n v="2799.9796260036678"/>
    <n v="4652.007283836736"/>
    <n v="8681.6508316577201"/>
    <n v="327.33753362753748"/>
    <n v="0"/>
    <n v="0"/>
    <n v="0"/>
    <n v="0"/>
    <n v="490.74777148172063"/>
    <m/>
    <n v="20.791523281997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0.47239870045678"/>
    <n v="0"/>
    <n v="0"/>
    <n v="0"/>
    <n v="9655.39"/>
    <n v="40"/>
    <m/>
    <m/>
    <m/>
    <m/>
    <n v="1290.7647377999992"/>
    <m/>
    <m/>
    <m/>
    <m/>
    <n v="9522.1232303581764"/>
    <m/>
    <m/>
    <m/>
    <m/>
    <m/>
    <m/>
    <m/>
    <m/>
    <m/>
    <m/>
    <m/>
    <m/>
    <n v="20223.136500000001"/>
    <n v="-73.388633999999001"/>
    <m/>
    <m/>
    <m/>
    <m/>
    <n v="-1260.9779400000004"/>
    <n v="1181.7074699999996"/>
    <n v="29"/>
    <n v="926.76330286373559"/>
    <n v="0"/>
    <n v="0"/>
    <n v="0"/>
    <n v="0"/>
    <n v="0"/>
    <n v="0"/>
    <n v="0"/>
    <n v="126.09043275068325"/>
    <n v="0"/>
    <n v="0"/>
    <n v="1181.9881531084629"/>
    <n v="0"/>
    <n v="0"/>
    <n v="0"/>
    <n v="114.42851567538764"/>
    <n v="0"/>
    <n v="-435.93385596637563"/>
    <m/>
    <n v="0"/>
    <n v="0"/>
    <n v="0"/>
    <n v="0"/>
    <n v="-56.555545411460685"/>
    <n v="-3.2543972929636773"/>
    <n v="0"/>
    <n v="0"/>
    <m/>
    <m/>
    <m/>
    <n v="4652.007283836736"/>
    <n v="0"/>
    <n v="0"/>
    <n v="-1260.9779400000007"/>
    <n v="1181.7074699999994"/>
    <n v="0"/>
    <n v="0"/>
    <n v="-1005.738874480433"/>
    <n v="0"/>
    <n v="0"/>
    <n v="0"/>
    <n v="0"/>
    <n v="0"/>
    <n v="0"/>
    <n v="0"/>
    <n v="0"/>
    <n v="0"/>
    <n v="0"/>
    <n v="0"/>
    <n v="0"/>
    <n v="605.2377343227332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73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10.852"/>
    <n v="10.852"/>
    <n v="10.852"/>
    <n v="10.852"/>
    <m/>
    <n v="239.69"/>
    <n v="171.61"/>
    <m/>
    <n v="4463.4276"/>
    <n v="4463.4276"/>
    <n v="4447.04108"/>
    <n v="0"/>
    <n v="656.08261215371567"/>
    <n v="0"/>
    <n v="0"/>
    <n v="0"/>
    <n v="578.80219634249204"/>
    <n v="961.64700924236161"/>
    <n v="1794.6411190191741"/>
    <n v="67.666093584891271"/>
    <n v="0"/>
    <n v="0"/>
    <n v="0"/>
    <n v="0"/>
    <n v="101.44569815645909"/>
    <m/>
    <n v="4.29795246692647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.73957503661842"/>
    <n v="0"/>
    <n v="0"/>
    <n v="0"/>
    <n v="1995.97"/>
    <n v="4"/>
    <m/>
    <m/>
    <m/>
    <m/>
    <m/>
    <m/>
    <m/>
    <m/>
    <m/>
    <n v="1968.3806940557924"/>
    <m/>
    <m/>
    <m/>
    <m/>
    <m/>
    <m/>
    <m/>
    <m/>
    <m/>
    <m/>
    <m/>
    <m/>
    <n v="4446.2214999999997"/>
    <n v="-17.236100000000988"/>
    <m/>
    <m/>
    <m/>
    <m/>
    <n v="-260.66504000000015"/>
    <n v="244.2785199999999"/>
    <n v="29"/>
    <n v="191.57733513681296"/>
    <n v="0"/>
    <n v="0"/>
    <n v="0"/>
    <n v="0"/>
    <n v="0"/>
    <n v="0"/>
    <n v="0"/>
    <n v="26.064982307758783"/>
    <n v="0"/>
    <n v="0"/>
    <n v="244.33654185063983"/>
    <n v="0"/>
    <n v="0"/>
    <n v="0"/>
    <n v="23.654270760411208"/>
    <n v="0"/>
    <n v="-90.114753318229646"/>
    <m/>
    <n v="0"/>
    <n v="0"/>
    <n v="0"/>
    <n v="0"/>
    <n v="-11.690968604018735"/>
    <n v="-0.67273785974897216"/>
    <n v="0"/>
    <n v="0"/>
    <m/>
    <m/>
    <m/>
    <n v="961.64700924236161"/>
    <n v="0"/>
    <n v="0"/>
    <n v="-260.66503999999986"/>
    <n v="244.27851999999984"/>
    <n v="0"/>
    <n v="0"/>
    <n v="-207.90289475325562"/>
    <n v="0"/>
    <n v="0"/>
    <n v="0"/>
    <n v="0"/>
    <n v="0"/>
    <n v="0"/>
    <n v="0"/>
    <n v="0"/>
    <n v="0"/>
    <n v="0"/>
    <n v="0"/>
    <n v="0"/>
    <n v="125.1126710644475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74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75"/>
    <s v="Regular"/>
    <s v="Convencional"/>
    <s v="B2"/>
    <s v="Rural"/>
    <s v="Agropecuária rural"/>
    <s v="IRRIG./AQUIC."/>
    <s v="Não se aplica"/>
    <s v="Não se aplica"/>
    <s v="CATIVO"/>
    <x v="5"/>
    <n v="0"/>
    <n v="0"/>
    <n v="0.1"/>
    <n v="0.1"/>
    <n v="0.1"/>
    <n v="0.1"/>
    <m/>
    <n v="239.69"/>
    <n v="171.61"/>
    <m/>
    <n v="41.13"/>
    <n v="41.13"/>
    <n v="40.978999999999999"/>
    <n v="0"/>
    <n v="6.0457299313832999"/>
    <n v="0"/>
    <n v="0"/>
    <n v="0"/>
    <n v="5.3335993028242905"/>
    <n v="8.8614726247913893"/>
    <n v="16.537422770173002"/>
    <n v="0.62353569466357606"/>
    <n v="0"/>
    <n v="0"/>
    <n v="0"/>
    <n v="0"/>
    <n v="0.9348110777410531"/>
    <m/>
    <n v="3.960516464178470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01"/>
    <n v="0"/>
    <n v="0"/>
    <n v="0"/>
    <n v="0"/>
    <n v="0"/>
    <m/>
    <m/>
    <m/>
    <m/>
    <m/>
    <n v="5.7799999999999985"/>
    <m/>
    <m/>
    <m/>
    <n v="18.138414062438191"/>
    <m/>
    <m/>
    <m/>
    <m/>
    <m/>
    <m/>
    <m/>
    <m/>
    <m/>
    <m/>
    <m/>
    <m/>
    <n v="35.198999999999998"/>
    <n v="-6.7000000000007276E-2"/>
    <m/>
    <m/>
    <m/>
    <m/>
    <n v="-2.402000000000001"/>
    <n v="2.250999999999999"/>
    <n v="29"/>
    <n v="1.7653643119868505"/>
    <n v="0"/>
    <n v="0"/>
    <n v="0"/>
    <n v="0"/>
    <n v="0"/>
    <n v="0"/>
    <n v="0"/>
    <n v="0.24018597777145967"/>
    <n v="0"/>
    <n v="0"/>
    <n v="2.2515346650445984"/>
    <n v="0"/>
    <n v="0"/>
    <n v="0"/>
    <n v="0.21797153299310001"/>
    <n v="0"/>
    <n v="-0.83039765313518021"/>
    <m/>
    <n v="0"/>
    <n v="0"/>
    <n v="0"/>
    <n v="0"/>
    <n v="-0.10773100446018002"/>
    <n v="-6.1992062269533091E-3"/>
    <n v="0"/>
    <n v="0"/>
    <m/>
    <m/>
    <m/>
    <n v="8.8614726247913893"/>
    <n v="0"/>
    <n v="0"/>
    <n v="-2.402000000000001"/>
    <n v="2.2510000000000012"/>
    <n v="0"/>
    <n v="0"/>
    <n v="-1.915802568680939"/>
    <n v="0"/>
    <n v="0"/>
    <n v="0"/>
    <n v="0"/>
    <n v="0"/>
    <n v="0"/>
    <n v="0"/>
    <n v="0"/>
    <n v="0"/>
    <n v="0"/>
    <n v="0"/>
    <n v="0"/>
    <n v="1.1528996596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77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977.81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78"/>
    <s v="Sistema de Compensação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9.2900000000000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79"/>
    <s v="Regular"/>
    <s v="Convencional"/>
    <s v="B2"/>
    <s v="Rural"/>
    <s v="Aquicultura"/>
    <s v="IRRIG./AQUIC."/>
    <s v="Não se aplica"/>
    <s v="Não se aplica"/>
    <s v="CATIVO"/>
    <x v="5"/>
    <n v="0"/>
    <n v="0"/>
    <n v="53.286999999999999"/>
    <n v="53.286999999999999"/>
    <n v="53.286999999999999"/>
    <n v="53.286999999999999"/>
    <m/>
    <n v="239.69"/>
    <n v="171.61"/>
    <m/>
    <n v="21916.9431"/>
    <n v="21916.9431"/>
    <n v="21836.479729999999"/>
    <n v="0"/>
    <n v="3221.5881085362189"/>
    <n v="0"/>
    <n v="0"/>
    <n v="0"/>
    <n v="2842.1150604959794"/>
    <n v="4722.0129175725879"/>
    <n v="8812.2964715420876"/>
    <n v="332.26346561537974"/>
    <n v="0"/>
    <n v="0"/>
    <n v="0"/>
    <n v="0"/>
    <n v="498.13277899587496"/>
    <m/>
    <n v="21.1044040826678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3.12022990935179"/>
    <n v="0"/>
    <n v="0"/>
    <n v="0"/>
    <n v="0"/>
    <n v="0"/>
    <m/>
    <m/>
    <m/>
    <m/>
    <m/>
    <n v="3079.9885999999988"/>
    <m/>
    <m/>
    <m/>
    <n v="9665.4167014514387"/>
    <m/>
    <m/>
    <m/>
    <m/>
    <m/>
    <m/>
    <m/>
    <m/>
    <m/>
    <m/>
    <m/>
    <m/>
    <n v="18757.547100000003"/>
    <n v="-18.690219999996771"/>
    <m/>
    <m/>
    <m/>
    <m/>
    <n v="-1279.9537400000006"/>
    <n v="1199.4903699999995"/>
    <n v="29"/>
    <n v="940.70968092843032"/>
    <n v="0"/>
    <n v="0"/>
    <n v="0"/>
    <n v="0"/>
    <n v="0"/>
    <n v="0"/>
    <n v="0"/>
    <n v="127.98790197507788"/>
    <n v="0"/>
    <n v="0"/>
    <n v="1199.7752769623148"/>
    <n v="0"/>
    <n v="0"/>
    <n v="0"/>
    <n v="116.15049078603317"/>
    <n v="0"/>
    <n v="-442.49399742614332"/>
    <m/>
    <n v="0"/>
    <n v="0"/>
    <n v="0"/>
    <n v="0"/>
    <n v="-57.406620346696116"/>
    <n v="-3.3033710221566039"/>
    <n v="0"/>
    <n v="0"/>
    <m/>
    <m/>
    <m/>
    <n v="4722.0129175725879"/>
    <n v="0"/>
    <n v="0"/>
    <n v="-1279.9537400000008"/>
    <n v="1199.4903699999995"/>
    <n v="0"/>
    <n v="0"/>
    <n v="-1020.8737147730126"/>
    <n v="0"/>
    <n v="0"/>
    <n v="0"/>
    <n v="0"/>
    <n v="0"/>
    <n v="0"/>
    <n v="0"/>
    <n v="0"/>
    <n v="0"/>
    <n v="0"/>
    <n v="0"/>
    <n v="0"/>
    <n v="614.3456416339121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0"/>
    <s v="Sistema de Compensação"/>
    <s v="Convencional"/>
    <s v="B2"/>
    <s v="Rural"/>
    <s v="Aquicultura"/>
    <s v="IRRIG./AQUIC."/>
    <s v="Não se aplica"/>
    <s v="Não se aplica"/>
    <s v="CATIVO"/>
    <x v="5"/>
    <n v="0"/>
    <n v="0"/>
    <n v="1.385"/>
    <n v="1.385"/>
    <n v="1.385"/>
    <n v="1.385"/>
    <m/>
    <n v="239.69"/>
    <n v="171.61"/>
    <m/>
    <n v="569.65049999999997"/>
    <n v="569.65049999999997"/>
    <n v="567.55915000000005"/>
    <n v="0"/>
    <n v="83.733359549658701"/>
    <n v="0"/>
    <n v="0"/>
    <n v="0"/>
    <n v="73.870350344116417"/>
    <n v="122.73139585336074"/>
    <n v="229.04330536689605"/>
    <n v="8.6359693710905283"/>
    <n v="0"/>
    <n v="0"/>
    <n v="0"/>
    <n v="0"/>
    <n v="12.947133426713584"/>
    <m/>
    <n v="0.54853153028871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173729397872883"/>
    <n v="0"/>
    <n v="0"/>
    <n v="0"/>
    <n v="0"/>
    <n v="0"/>
    <m/>
    <m/>
    <m/>
    <m/>
    <m/>
    <n v="80.052999999999969"/>
    <m/>
    <m/>
    <m/>
    <n v="251.21703476476893"/>
    <m/>
    <m/>
    <m/>
    <m/>
    <m/>
    <m/>
    <m/>
    <m/>
    <m/>
    <m/>
    <m/>
    <m/>
    <n v="489.26609999999994"/>
    <n v="1.2174999999999159"/>
    <m/>
    <m/>
    <m/>
    <m/>
    <n v="-33.267700000000012"/>
    <n v="31.176349999999989"/>
    <n v="29"/>
    <n v="24.450295721017767"/>
    <n v="0"/>
    <n v="0"/>
    <n v="0"/>
    <n v="0"/>
    <n v="0"/>
    <n v="0"/>
    <n v="0"/>
    <n v="3.3265757921347188"/>
    <n v="0"/>
    <n v="0"/>
    <n v="31.183755110867708"/>
    <n v="0"/>
    <n v="0"/>
    <n v="0"/>
    <n v="3.0189057319544332"/>
    <n v="0"/>
    <n v="-11.501007495922238"/>
    <m/>
    <n v="0"/>
    <n v="0"/>
    <n v="0"/>
    <n v="0"/>
    <n v="-1.4920744117734923"/>
    <n v="-8.5859006243303282E-2"/>
    <n v="0"/>
    <n v="0"/>
    <m/>
    <m/>
    <m/>
    <n v="122.73139585336074"/>
    <n v="0"/>
    <n v="0"/>
    <n v="-33.267699999999991"/>
    <n v="31.176349999999985"/>
    <n v="0"/>
    <n v="0"/>
    <n v="-26.533865576231008"/>
    <n v="0"/>
    <n v="0"/>
    <n v="0"/>
    <n v="0"/>
    <n v="0"/>
    <n v="0"/>
    <n v="0"/>
    <n v="0"/>
    <n v="0"/>
    <n v="0"/>
    <n v="0"/>
    <n v="0"/>
    <n v="15.96766028605416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1"/>
    <s v="Regular"/>
    <s v="Convencional"/>
    <s v="B2"/>
    <s v="Rural"/>
    <s v="Aquicultura"/>
    <s v="IRRIG./AQUIC. PR"/>
    <s v="Não se aplica"/>
    <s v="Não se aplica"/>
    <s v="CATIVO"/>
    <x v="5"/>
    <n v="0"/>
    <n v="0"/>
    <n v="77.459999999999994"/>
    <n v="30.984000000000002"/>
    <n v="77.459999999999994"/>
    <n v="30.984000000000002"/>
    <m/>
    <n v="239.69"/>
    <n v="171.61"/>
    <m/>
    <n v="31859.297999999999"/>
    <n v="31859.297999999999"/>
    <n v="31742.333399999996"/>
    <n v="0"/>
    <n v="4683.0224048495038"/>
    <n v="0"/>
    <n v="0"/>
    <n v="0"/>
    <n v="4131.4060199676951"/>
    <n v="6864.09669516341"/>
    <n v="12809.887677776005"/>
    <n v="482.99074908640597"/>
    <n v="0"/>
    <n v="0"/>
    <n v="0"/>
    <n v="0"/>
    <n v="724.1046608182196"/>
    <m/>
    <n v="30.678160531526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0.127854988616"/>
    <n v="0"/>
    <n v="0"/>
    <n v="0"/>
    <n v="0"/>
    <n v="0"/>
    <m/>
    <m/>
    <m/>
    <m/>
    <m/>
    <m/>
    <n v="20836.275239999995"/>
    <m/>
    <m/>
    <n v="14050.015532764621"/>
    <m/>
    <m/>
    <m/>
    <m/>
    <m/>
    <m/>
    <m/>
    <m/>
    <m/>
    <m/>
    <m/>
    <m/>
    <n v="10904.6502"/>
    <n v="-12.902040000002671"/>
    <m/>
    <m/>
    <m/>
    <m/>
    <n v="-1860.5892000000006"/>
    <n v="1743.6245999999992"/>
    <n v="29"/>
    <n v="1367.4511960650125"/>
    <n v="0"/>
    <n v="0"/>
    <n v="0"/>
    <n v="0"/>
    <n v="0"/>
    <n v="0"/>
    <n v="0"/>
    <n v="186.04805838177253"/>
    <n v="0"/>
    <n v="0"/>
    <n v="1744.0387515435468"/>
    <n v="0"/>
    <n v="0"/>
    <n v="0"/>
    <n v="168.84074945645534"/>
    <n v="0"/>
    <n v="-643.22602211851063"/>
    <m/>
    <n v="0"/>
    <n v="0"/>
    <n v="0"/>
    <n v="0"/>
    <n v="-83.448436054855392"/>
    <n v="-4.8019051433980273"/>
    <n v="0"/>
    <n v="0"/>
    <m/>
    <m/>
    <m/>
    <n v="6864.09669516341"/>
    <n v="0"/>
    <n v="0"/>
    <n v="-1860.5892000000022"/>
    <n v="1743.6245999999992"/>
    <n v="0"/>
    <n v="0"/>
    <n v="-1483.9806697002559"/>
    <n v="0"/>
    <n v="0"/>
    <n v="0"/>
    <n v="0"/>
    <n v="0"/>
    <n v="0"/>
    <n v="0"/>
    <n v="0"/>
    <n v="0"/>
    <n v="0"/>
    <n v="0"/>
    <n v="0"/>
    <n v="893.0360763593902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2"/>
    <s v="Regular"/>
    <s v="Convencional"/>
    <s v="B1"/>
    <s v="Residencial"/>
    <s v="Residencial"/>
    <s v="Não se aplica"/>
    <s v="Não se aplica"/>
    <s v="Não se aplica"/>
    <s v="CATIVO"/>
    <x v="6"/>
    <n v="0"/>
    <n v="0"/>
    <n v="1528.277"/>
    <n v="1528.277"/>
    <n v="1528.277"/>
    <n v="1528.277"/>
    <m/>
    <n v="239.69"/>
    <n v="171.61"/>
    <m/>
    <n v="628580.33010000002"/>
    <n v="628580.33010000002"/>
    <n v="626272.63183000009"/>
    <n v="0"/>
    <n v="92395.500023446759"/>
    <n v="0"/>
    <n v="0"/>
    <n v="0"/>
    <n v="81512.171417223988"/>
    <n v="135427.8479859831"/>
    <n v="252737.62858931682"/>
    <n v="9529.3526083336601"/>
    <n v="0"/>
    <n v="0"/>
    <n v="0"/>
    <n v="0"/>
    <n v="14286.502694568635"/>
    <m/>
    <n v="605.27662203252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67.581691691677"/>
    <n v="0"/>
    <n v="0"/>
    <n v="0"/>
    <n v="212012.23"/>
    <n v="4666"/>
    <m/>
    <m/>
    <m/>
    <m/>
    <m/>
    <m/>
    <m/>
    <m/>
    <m/>
    <n v="277205.21028100851"/>
    <m/>
    <m/>
    <m/>
    <m/>
    <m/>
    <m/>
    <m/>
    <m/>
    <m/>
    <m/>
    <m/>
    <m/>
    <n v="626273.86119999993"/>
    <n v="-2306.4989000001224"/>
    <m/>
    <m/>
    <m/>
    <m/>
    <n v="-36709.213540000019"/>
    <n v="34401.515269999989"/>
    <n v="31"/>
    <n v="26979.656746303255"/>
    <n v="0"/>
    <n v="0"/>
    <n v="0"/>
    <n v="0"/>
    <n v="0"/>
    <n v="0"/>
    <n v="0"/>
    <n v="3670.7070555063256"/>
    <n v="0"/>
    <n v="0"/>
    <n v="34409.686432903662"/>
    <n v="0"/>
    <n v="0"/>
    <n v="0"/>
    <n v="3331.2088052809595"/>
    <n v="0"/>
    <n v="-12690.776341404737"/>
    <m/>
    <n v="0"/>
    <n v="0"/>
    <n v="0"/>
    <n v="0"/>
    <n v="-1646.4281630339065"/>
    <n v="-94.741042949095174"/>
    <n v="0"/>
    <n v="0"/>
    <m/>
    <m/>
    <m/>
    <n v="135427.8479859831"/>
    <n v="0"/>
    <n v="0"/>
    <n v="-36709.213539999968"/>
    <n v="34401.515269999974"/>
    <n v="0"/>
    <n v="0"/>
    <n v="-29278.770022559998"/>
    <n v="0"/>
    <n v="0"/>
    <n v="0"/>
    <n v="0"/>
    <n v="0"/>
    <n v="0"/>
    <n v="0"/>
    <n v="0"/>
    <n v="0"/>
    <n v="0"/>
    <n v="0"/>
    <n v="0"/>
    <n v="17619.50033140072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3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2.7429999999999999"/>
    <n v="-2.7429999999999999"/>
    <n v="-2.7429999999999999"/>
    <n v="-2.7429999999999999"/>
    <m/>
    <n v="239.69"/>
    <n v="171.61"/>
    <m/>
    <n v="-1128.1958999999999"/>
    <n v="-1128.1958999999999"/>
    <n v="-1124.0539699999999"/>
    <n v="0"/>
    <n v="-165.83437201784392"/>
    <n v="0"/>
    <n v="0"/>
    <n v="0"/>
    <n v="-146.30062887647028"/>
    <n v="-243.0701940980278"/>
    <n v="-453.6215065858454"/>
    <n v="-17.103584104621891"/>
    <n v="0"/>
    <n v="0"/>
    <n v="0"/>
    <n v="0"/>
    <n v="-25.641867862437085"/>
    <m/>
    <n v="-1.0863696661241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3.915191146834161"/>
    <n v="0"/>
    <n v="0"/>
    <n v="0"/>
    <n v="-517.57000000000005"/>
    <n v="0"/>
    <m/>
    <m/>
    <m/>
    <m/>
    <m/>
    <m/>
    <m/>
    <m/>
    <m/>
    <n v="-497.53669773267956"/>
    <m/>
    <m/>
    <m/>
    <m/>
    <m/>
    <m/>
    <m/>
    <m/>
    <m/>
    <m/>
    <m/>
    <m/>
    <n v="-1122.8245999999999"/>
    <n v="5.3413000000000466"/>
    <m/>
    <m/>
    <m/>
    <m/>
    <n v="65.886860000000027"/>
    <n v="-61.744929999999975"/>
    <n v="31"/>
    <n v="-48.423943077799322"/>
    <n v="0"/>
    <n v="0"/>
    <n v="0"/>
    <n v="0"/>
    <n v="0"/>
    <n v="0"/>
    <n v="0"/>
    <n v="-6.5883013702711253"/>
    <n v="0"/>
    <n v="0"/>
    <n v="-61.759595862173342"/>
    <n v="0"/>
    <n v="0"/>
    <n v="0"/>
    <n v="-5.9789591500007333"/>
    <n v="0"/>
    <n v="22.777807625498014"/>
    <m/>
    <n v="0"/>
    <n v="0"/>
    <n v="0"/>
    <n v="0"/>
    <n v="2.9550614523427363"/>
    <n v="0.17004422680532916"/>
    <n v="0"/>
    <n v="0"/>
    <m/>
    <m/>
    <m/>
    <n v="-243.0701940980278"/>
    <n v="0"/>
    <n v="0"/>
    <n v="65.886859999999956"/>
    <n v="-61.744929999999897"/>
    <n v="0"/>
    <n v="0"/>
    <n v="52.550464458918157"/>
    <n v="0"/>
    <n v="0"/>
    <n v="0"/>
    <n v="0"/>
    <n v="0"/>
    <n v="0"/>
    <n v="0"/>
    <n v="0"/>
    <n v="0"/>
    <n v="0"/>
    <n v="0"/>
    <n v="0"/>
    <n v="-31.62403766400474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4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4.2119999999999997"/>
    <n v="4.2119999999999997"/>
    <n v="4.2119999999999997"/>
    <n v="4.2119999999999997"/>
    <m/>
    <n v="239.69"/>
    <n v="171.61"/>
    <m/>
    <n v="1732.3955999999998"/>
    <n v="1732.3955999999998"/>
    <n v="1726.03548"/>
    <n v="0"/>
    <n v="254.64614470986456"/>
    <n v="0"/>
    <n v="0"/>
    <n v="0"/>
    <n v="224.65120263495911"/>
    <n v="373.24522695621329"/>
    <n v="696.55624707968673"/>
    <n v="26.26332345922982"/>
    <n v="0"/>
    <n v="0"/>
    <n v="0"/>
    <n v="0"/>
    <n v="39.37424259445315"/>
    <m/>
    <n v="1.6681695347119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433753230209803"/>
    <n v="0"/>
    <n v="0"/>
    <n v="0"/>
    <n v="1034.25"/>
    <n v="14"/>
    <m/>
    <m/>
    <m/>
    <m/>
    <m/>
    <m/>
    <m/>
    <m/>
    <m/>
    <n v="763.99000030989657"/>
    <m/>
    <m/>
    <m/>
    <m/>
    <m/>
    <m/>
    <m/>
    <m/>
    <m/>
    <m/>
    <m/>
    <m/>
    <n v="1725.2159000000001"/>
    <n v="-7.2096999999996569"/>
    <m/>
    <m/>
    <m/>
    <m/>
    <n v="-101.17224000000003"/>
    <n v="94.81211999999995"/>
    <n v="31"/>
    <n v="74.357144820886106"/>
    <n v="0"/>
    <n v="0"/>
    <n v="0"/>
    <n v="0"/>
    <n v="0"/>
    <n v="0"/>
    <n v="0"/>
    <n v="10.11663338373387"/>
    <n v="0"/>
    <n v="0"/>
    <n v="94.83464009167858"/>
    <n v="0"/>
    <n v="0"/>
    <n v="0"/>
    <n v="9.1809609696693713"/>
    <n v="0"/>
    <n v="-34.976349150053778"/>
    <m/>
    <n v="0"/>
    <n v="0"/>
    <n v="0"/>
    <n v="0"/>
    <n v="-4.5376299078627795"/>
    <n v="-0.2611105662792732"/>
    <n v="0"/>
    <n v="0"/>
    <m/>
    <m/>
    <m/>
    <n v="373.24522695621329"/>
    <n v="0"/>
    <n v="0"/>
    <n v="-101.17223999999999"/>
    <n v="94.812119999999936"/>
    <n v="0"/>
    <n v="0"/>
    <n v="-80.693604192841178"/>
    <n v="0"/>
    <n v="0"/>
    <n v="0"/>
    <n v="0"/>
    <n v="0"/>
    <n v="0"/>
    <n v="0"/>
    <n v="0"/>
    <n v="0"/>
    <n v="0"/>
    <n v="0"/>
    <n v="0"/>
    <n v="48.56013366415894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5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9.84"/>
    <n v="9.84"/>
    <n v="9.84"/>
    <n v="9.84"/>
    <m/>
    <n v="158.36000000000001"/>
    <n v="171.61"/>
    <m/>
    <n v="3246.9048000000003"/>
    <n v="3246.9048000000003"/>
    <n v="3324.3456000000001"/>
    <n v="0"/>
    <n v="0"/>
    <n v="0"/>
    <n v="0"/>
    <n v="0"/>
    <n v="524.82617139791012"/>
    <n v="871.96890627947266"/>
    <n v="1627.2824005850232"/>
    <n v="61.355912354895878"/>
    <n v="0"/>
    <n v="0"/>
    <n v="0"/>
    <n v="0"/>
    <n v="0"/>
    <m/>
    <n v="3.8971482007516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53754315889469"/>
    <n v="0"/>
    <n v="0"/>
    <n v="0"/>
    <n v="157.44"/>
    <n v="2"/>
    <m/>
    <m/>
    <m/>
    <m/>
    <m/>
    <m/>
    <m/>
    <n v="2160.864"/>
    <m/>
    <n v="1784.819943743918"/>
    <m/>
    <m/>
    <m/>
    <m/>
    <m/>
    <m/>
    <m/>
    <m/>
    <m/>
    <m/>
    <m/>
    <m/>
    <n v="1163.4815999999998"/>
    <n v="27.128399999999829"/>
    <m/>
    <m/>
    <m/>
    <m/>
    <n v="-144.05760000000015"/>
    <n v="221.49839999999992"/>
    <n v="31"/>
    <n v="266.02370820688975"/>
    <n v="0"/>
    <n v="0"/>
    <n v="0"/>
    <n v="0"/>
    <n v="0"/>
    <n v="0"/>
    <n v="0"/>
    <n v="23.634300212711651"/>
    <n v="0"/>
    <n v="0"/>
    <n v="221.55101104038863"/>
    <n v="0"/>
    <n v="0"/>
    <n v="0"/>
    <n v="21.44839884652103"/>
    <n v="0"/>
    <n v="0"/>
    <m/>
    <n v="0"/>
    <n v="0"/>
    <n v="0"/>
    <n v="0"/>
    <n v="0"/>
    <n v="-0.61000189273220506"/>
    <n v="0"/>
    <n v="0"/>
    <m/>
    <m/>
    <m/>
    <n v="871.96890627947266"/>
    <n v="0"/>
    <n v="0"/>
    <n v="-144.05760000000009"/>
    <n v="221.49839999999995"/>
    <n v="0"/>
    <n v="0"/>
    <n v="-188.51497275820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6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22.318000000000001"/>
    <n v="22.318000000000001"/>
    <n v="22.318000000000001"/>
    <n v="22.318000000000001"/>
    <m/>
    <n v="158.36000000000001"/>
    <n v="171.61"/>
    <m/>
    <n v="7364.2704600000015"/>
    <n v="7364.2704600000015"/>
    <n v="7539.9131200000011"/>
    <n v="0"/>
    <n v="0"/>
    <n v="0"/>
    <n v="0"/>
    <n v="0"/>
    <n v="1190.3526924043251"/>
    <n v="1977.7034604009423"/>
    <n v="3690.8220138472107"/>
    <n v="139.16069633501689"/>
    <n v="0"/>
    <n v="0"/>
    <n v="0"/>
    <n v="0"/>
    <n v="0"/>
    <m/>
    <n v="8.8390806447535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30923660774511"/>
    <n v="0"/>
    <n v="0"/>
    <n v="0"/>
    <n v="609.83000000000004"/>
    <n v="28"/>
    <m/>
    <m/>
    <m/>
    <m/>
    <m/>
    <m/>
    <m/>
    <n v="3016.0545200000001"/>
    <m/>
    <n v="4048.131250454956"/>
    <m/>
    <m/>
    <m/>
    <m/>
    <m/>
    <m/>
    <m/>
    <m/>
    <m/>
    <m/>
    <m/>
    <m/>
    <n v="4524.2640000000001"/>
    <n v="105.71635999999944"/>
    <m/>
    <m/>
    <m/>
    <m/>
    <n v="-326.73552000000035"/>
    <n v="502.37817999999982"/>
    <n v="31"/>
    <n v="603.3655609513562"/>
    <n v="0"/>
    <n v="0"/>
    <n v="0"/>
    <n v="0"/>
    <n v="0"/>
    <n v="0"/>
    <n v="0"/>
    <n v="53.60470651903438"/>
    <n v="0"/>
    <n v="0"/>
    <n v="502.49750654465333"/>
    <n v="0"/>
    <n v="0"/>
    <n v="0"/>
    <n v="48.646886733400095"/>
    <n v="0"/>
    <n v="0"/>
    <m/>
    <n v="0"/>
    <n v="0"/>
    <n v="0"/>
    <n v="0"/>
    <n v="0"/>
    <n v="-1.3835388457314384"/>
    <n v="0"/>
    <n v="0"/>
    <m/>
    <m/>
    <m/>
    <n v="1977.7034604009423"/>
    <n v="0"/>
    <n v="0"/>
    <n v="-326.73552000000018"/>
    <n v="502.3781799999997"/>
    <n v="0"/>
    <n v="0"/>
    <n v="-427.56881727821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7"/>
    <s v="Refaturamento - 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-0.05"/>
    <n v="-0.05"/>
    <n v="-0.05"/>
    <n v="-0.05"/>
    <m/>
    <n v="158.36000000000001"/>
    <n v="171.61"/>
    <m/>
    <n v="-16.4985"/>
    <n v="-16.4985"/>
    <n v="-16.892000000000003"/>
    <n v="0"/>
    <n v="0"/>
    <n v="0"/>
    <n v="0"/>
    <n v="0"/>
    <n v="-2.6667996514121453"/>
    <n v="-4.4307363123956947"/>
    <n v="-8.2687113850865011"/>
    <n v="-0.31176784733178803"/>
    <n v="0"/>
    <n v="0"/>
    <n v="0"/>
    <n v="0"/>
    <n v="0"/>
    <m/>
    <n v="-1.980258232089235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0049564613259505"/>
    <n v="0"/>
    <n v="0"/>
    <n v="0"/>
    <n v="-1.37"/>
    <n v="0"/>
    <m/>
    <m/>
    <m/>
    <m/>
    <m/>
    <m/>
    <m/>
    <n v="-6.7569999999999997"/>
    <m/>
    <n v="-9.0692070312190953"/>
    <m/>
    <m/>
    <m/>
    <m/>
    <m/>
    <m/>
    <m/>
    <m/>
    <m/>
    <m/>
    <m/>
    <m/>
    <n v="-10.135000000000002"/>
    <n v="-0.26600000000000001"/>
    <m/>
    <m/>
    <m/>
    <m/>
    <n v="0.73200000000000076"/>
    <n v="-1.1254999999999995"/>
    <n v="31"/>
    <n v="-1.3517464847911036"/>
    <n v="0"/>
    <n v="0"/>
    <n v="0"/>
    <n v="0"/>
    <n v="0"/>
    <n v="0"/>
    <n v="0"/>
    <n v="-0.12009298888572983"/>
    <n v="0"/>
    <n v="0"/>
    <n v="-1.1257673325222992"/>
    <n v="0"/>
    <n v="0"/>
    <n v="0"/>
    <n v="-0.10898576649655001"/>
    <n v="0"/>
    <n v="0"/>
    <m/>
    <n v="0"/>
    <n v="0"/>
    <n v="0"/>
    <n v="0"/>
    <n v="0"/>
    <n v="3.0996031134766545E-3"/>
    <n v="0"/>
    <n v="0"/>
    <m/>
    <m/>
    <m/>
    <n v="-4.4307363123956947"/>
    <n v="0"/>
    <n v="0"/>
    <n v="0.73200000000000109"/>
    <n v="-1.1255000000000006"/>
    <n v="0"/>
    <n v="0"/>
    <n v="0.95790128434046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8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30.167999999999999"/>
    <n v="30.167999999999999"/>
    <n v="30.167999999999999"/>
    <n v="30.167999999999999"/>
    <m/>
    <n v="158.36000000000001"/>
    <n v="171.61"/>
    <m/>
    <n v="9954.5349600000009"/>
    <n v="9954.5349600000009"/>
    <n v="10191.957119999999"/>
    <n v="0"/>
    <n v="0"/>
    <n v="0"/>
    <n v="0"/>
    <n v="0"/>
    <n v="1609.0402376760319"/>
    <n v="2673.3290614470661"/>
    <n v="4989.0097013057912"/>
    <n v="188.1082483661076"/>
    <n v="0"/>
    <n v="0"/>
    <n v="0"/>
    <n v="0"/>
    <n v="0"/>
    <m/>
    <n v="11.948086069133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2.98705305056251"/>
    <n v="0"/>
    <n v="0"/>
    <n v="0"/>
    <n v="2252.9299999999998"/>
    <n v="90"/>
    <m/>
    <m/>
    <m/>
    <m/>
    <m/>
    <m/>
    <m/>
    <n v="1019.0750399999999"/>
    <m/>
    <n v="5471.9967543563534"/>
    <m/>
    <m/>
    <m/>
    <m/>
    <m/>
    <m/>
    <m/>
    <m/>
    <m/>
    <m/>
    <m/>
    <m/>
    <n v="9173.4902000000002"/>
    <n v="214.46924000000035"/>
    <m/>
    <m/>
    <m/>
    <m/>
    <n v="-441.65952000000044"/>
    <n v="679.08167999999966"/>
    <n v="31"/>
    <n v="815.58975906355863"/>
    <n v="0"/>
    <n v="0"/>
    <n v="0"/>
    <n v="0"/>
    <n v="0"/>
    <n v="0"/>
    <n v="0"/>
    <n v="72.459305774093991"/>
    <n v="0"/>
    <n v="0"/>
    <n v="679.24297775065406"/>
    <n v="0"/>
    <n v="0"/>
    <n v="0"/>
    <n v="65.757652073358372"/>
    <n v="0"/>
    <n v="0"/>
    <m/>
    <n v="0"/>
    <n v="0"/>
    <n v="0"/>
    <n v="0"/>
    <n v="0"/>
    <n v="-1.870176534547273"/>
    <n v="0"/>
    <n v="0"/>
    <m/>
    <m/>
    <m/>
    <n v="2673.3290614470661"/>
    <n v="0"/>
    <n v="0"/>
    <n v="-441.65952000000016"/>
    <n v="679.08167999999932"/>
    <n v="0"/>
    <n v="0"/>
    <n v="-577.95931891966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89"/>
    <s v="Refaturamento - 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0.05"/>
    <n v="0.05"/>
    <n v="0.05"/>
    <n v="0.05"/>
    <m/>
    <n v="158.36000000000001"/>
    <n v="171.61"/>
    <m/>
    <n v="16.4985"/>
    <n v="16.4985"/>
    <n v="16.892000000000003"/>
    <n v="0"/>
    <n v="0"/>
    <n v="0"/>
    <n v="0"/>
    <n v="0"/>
    <n v="2.6667996514121453"/>
    <n v="4.4307363123956947"/>
    <n v="8.2687113850865011"/>
    <n v="0.31176784733178803"/>
    <n v="0"/>
    <n v="0"/>
    <n v="0"/>
    <n v="0"/>
    <n v="0"/>
    <m/>
    <n v="1.980258232089235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0049564613259505"/>
    <n v="0"/>
    <n v="0"/>
    <n v="0"/>
    <n v="9.36"/>
    <n v="0"/>
    <m/>
    <m/>
    <m/>
    <m/>
    <m/>
    <m/>
    <m/>
    <n v="1.6890000000000001"/>
    <m/>
    <n v="9.0692070312190953"/>
    <m/>
    <m/>
    <m/>
    <m/>
    <m/>
    <m/>
    <m/>
    <m/>
    <m/>
    <m/>
    <m/>
    <m/>
    <n v="15.202999999999999"/>
    <n v="0.32449999999999868"/>
    <m/>
    <m/>
    <m/>
    <m/>
    <n v="-0.73200000000000076"/>
    <n v="1.1254999999999995"/>
    <n v="31"/>
    <n v="1.3517464847911036"/>
    <n v="0"/>
    <n v="0"/>
    <n v="0"/>
    <n v="0"/>
    <n v="0"/>
    <n v="0"/>
    <n v="0"/>
    <n v="0.12009298888572983"/>
    <n v="0"/>
    <n v="0"/>
    <n v="1.1257673325222992"/>
    <n v="0"/>
    <n v="0"/>
    <n v="0"/>
    <n v="0.10898576649655001"/>
    <n v="0"/>
    <n v="0"/>
    <m/>
    <n v="0"/>
    <n v="0"/>
    <n v="0"/>
    <n v="0"/>
    <n v="0"/>
    <n v="-3.0996031134766545E-3"/>
    <n v="0"/>
    <n v="0"/>
    <m/>
    <m/>
    <m/>
    <n v="4.4307363123956947"/>
    <n v="0"/>
    <n v="0"/>
    <n v="-0.73200000000000109"/>
    <n v="1.1255000000000006"/>
    <n v="0"/>
    <n v="0"/>
    <n v="-0.95790128434046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90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34.133000000000003"/>
    <n v="34.133000000000003"/>
    <n v="34.133000000000003"/>
    <n v="34.133000000000003"/>
    <m/>
    <n v="158.36000000000001"/>
    <n v="171.61"/>
    <m/>
    <n v="11262.866010000002"/>
    <n v="11262.866010000002"/>
    <n v="11531.49272"/>
    <n v="0"/>
    <n v="0"/>
    <n v="0"/>
    <n v="0"/>
    <n v="0"/>
    <n v="1820.5174500330152"/>
    <n v="3024.6864510200453"/>
    <n v="5644.718514143151"/>
    <n v="212.83143865951843"/>
    <n v="0"/>
    <n v="0"/>
    <n v="0"/>
    <n v="0"/>
    <n v="0"/>
    <m/>
    <n v="13.5184308471803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6.4663577888773"/>
    <n v="0"/>
    <n v="0"/>
    <n v="0"/>
    <n v="3842.79"/>
    <n v="205"/>
    <m/>
    <m/>
    <m/>
    <m/>
    <m/>
    <m/>
    <m/>
    <m/>
    <m/>
    <n v="6191.1848719320278"/>
    <m/>
    <m/>
    <m/>
    <m/>
    <m/>
    <m/>
    <m/>
    <m/>
    <m/>
    <m/>
    <m/>
    <m/>
    <n v="11530.479200000002"/>
    <n v="267.58318999999938"/>
    <m/>
    <m/>
    <m/>
    <m/>
    <n v="-499.70712000000054"/>
    <n v="768.33382999999969"/>
    <n v="31"/>
    <n v="922.7832553074968"/>
    <n v="0"/>
    <n v="0"/>
    <n v="0"/>
    <n v="0"/>
    <n v="0"/>
    <n v="0"/>
    <n v="0"/>
    <n v="81.98267979273237"/>
    <n v="0"/>
    <n v="0"/>
    <n v="768.51632721967326"/>
    <n v="0"/>
    <n v="0"/>
    <n v="0"/>
    <n v="74.400223356534866"/>
    <n v="0"/>
    <n v="0"/>
    <m/>
    <n v="0"/>
    <n v="0"/>
    <n v="0"/>
    <n v="0"/>
    <n v="0"/>
    <n v="-2.1159750614459707"/>
    <n v="0"/>
    <n v="0"/>
    <m/>
    <m/>
    <m/>
    <n v="3024.6864510200453"/>
    <n v="0"/>
    <n v="0"/>
    <n v="-499.70712000000094"/>
    <n v="768.33382999999958"/>
    <n v="0"/>
    <n v="0"/>
    <n v="-653.92089076786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91"/>
    <s v="Regular"/>
    <s v="Convencional"/>
    <s v="B3"/>
    <s v="Industrial"/>
    <s v="Não se aplica"/>
    <s v="Não se aplica"/>
    <s v="Não se aplica"/>
    <s v="Não se aplica"/>
    <s v="CATIVO"/>
    <x v="6"/>
    <n v="0"/>
    <n v="0"/>
    <n v="200.33199999999999"/>
    <n v="200.33199999999999"/>
    <n v="200.33199999999999"/>
    <n v="200.33199999999999"/>
    <m/>
    <n v="239.69"/>
    <n v="171.61"/>
    <m/>
    <n v="82396.551600000006"/>
    <n v="82396.551600000006"/>
    <n v="82094.050279999996"/>
    <n v="0"/>
    <n v="12111.531686138791"/>
    <n v="0"/>
    <n v="0"/>
    <n v="0"/>
    <n v="10684.906155333956"/>
    <n v="17752.365338697087"/>
    <n v="33129.749783942978"/>
    <n v="1249.141527833435"/>
    <n v="0"/>
    <n v="0"/>
    <n v="0"/>
    <n v="0"/>
    <n v="1872.7257282602063"/>
    <m/>
    <n v="79.3418184301801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07.2978756207003"/>
    <n v="0"/>
    <n v="0"/>
    <n v="0"/>
    <n v="36846.33"/>
    <n v="80"/>
    <m/>
    <m/>
    <m/>
    <m/>
    <m/>
    <m/>
    <m/>
    <m/>
    <m/>
    <n v="36337.047659563679"/>
    <m/>
    <m/>
    <m/>
    <m/>
    <m/>
    <m/>
    <m/>
    <m/>
    <m/>
    <m/>
    <m/>
    <m/>
    <n v="82093.2307"/>
    <n v="-303.35089999999036"/>
    <m/>
    <m/>
    <m/>
    <m/>
    <n v="-4811.9746400000022"/>
    <n v="4509.4733199999982"/>
    <n v="31"/>
    <n v="3536.5896334894715"/>
    <n v="0"/>
    <n v="0"/>
    <n v="0"/>
    <n v="0"/>
    <n v="0"/>
    <n v="0"/>
    <n v="0"/>
    <n v="481.16937298912126"/>
    <n v="0"/>
    <n v="0"/>
    <n v="4510.5444251771405"/>
    <n v="0"/>
    <n v="0"/>
    <n v="0"/>
    <n v="436.66673147573692"/>
    <n v="0"/>
    <n v="-1663.5522264787687"/>
    <m/>
    <n v="0"/>
    <n v="0"/>
    <n v="0"/>
    <n v="0"/>
    <n v="-215.81967585516782"/>
    <n v="-12.418993818580091"/>
    <n v="0"/>
    <n v="0"/>
    <m/>
    <m/>
    <m/>
    <n v="17752.365338697087"/>
    <n v="0"/>
    <n v="0"/>
    <n v="-4811.9746400000004"/>
    <n v="4509.4733199999973"/>
    <n v="0"/>
    <n v="0"/>
    <n v="-3837.9656018899022"/>
    <n v="0"/>
    <n v="0"/>
    <n v="0"/>
    <n v="0"/>
    <n v="0"/>
    <n v="0"/>
    <n v="0"/>
    <n v="0"/>
    <n v="0"/>
    <n v="0"/>
    <n v="0"/>
    <n v="0"/>
    <n v="2309.626946155814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92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6.3049999999999997"/>
    <n v="6.3049999999999997"/>
    <n v="6.3049999999999997"/>
    <n v="6.3049999999999997"/>
    <m/>
    <n v="239.69"/>
    <n v="171.61"/>
    <m/>
    <n v="2593.2465000000002"/>
    <n v="2593.2465000000002"/>
    <n v="2583.72595"/>
    <n v="0"/>
    <n v="381.18327217371706"/>
    <n v="0"/>
    <n v="0"/>
    <n v="0"/>
    <n v="336.2834360430715"/>
    <n v="558.7158489930971"/>
    <n v="1042.6845056594077"/>
    <n v="39.313925548538464"/>
    <n v="0"/>
    <n v="0"/>
    <n v="0"/>
    <n v="0"/>
    <n v="58.939838451573394"/>
    <m/>
    <n v="2.49710563066452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.94250097732022"/>
    <n v="0"/>
    <n v="0"/>
    <n v="0"/>
    <n v="1237.48"/>
    <n v="5"/>
    <m/>
    <m/>
    <m/>
    <m/>
    <m/>
    <m/>
    <m/>
    <m/>
    <m/>
    <n v="1143.6270066367279"/>
    <m/>
    <m/>
    <m/>
    <m/>
    <m/>
    <m/>
    <m/>
    <m/>
    <m/>
    <m/>
    <m/>
    <m/>
    <n v="2585.7748999999994"/>
    <n v="-7.5016000000005079"/>
    <m/>
    <m/>
    <m/>
    <m/>
    <n v="-151.44610000000006"/>
    <n v="141.92554999999993"/>
    <n v="31"/>
    <n v="111.30621987077006"/>
    <n v="0"/>
    <n v="0"/>
    <n v="0"/>
    <n v="0"/>
    <n v="0"/>
    <n v="0"/>
    <n v="0"/>
    <n v="15.143725898490516"/>
    <n v="0"/>
    <n v="0"/>
    <n v="141.95926063106185"/>
    <n v="0"/>
    <n v="0"/>
    <n v="0"/>
    <n v="13.743105155214948"/>
    <n v="0"/>
    <n v="-52.35657203017314"/>
    <m/>
    <n v="0"/>
    <n v="0"/>
    <n v="0"/>
    <n v="0"/>
    <n v="-6.7924398312143524"/>
    <n v="-0.39085995260940587"/>
    <n v="0"/>
    <n v="0"/>
    <m/>
    <m/>
    <m/>
    <n v="558.7158489930971"/>
    <n v="0"/>
    <n v="0"/>
    <n v="-151.44610000000011"/>
    <n v="141.92554999999993"/>
    <n v="0"/>
    <n v="0"/>
    <n v="-120.79135195533325"/>
    <n v="0"/>
    <n v="0"/>
    <n v="0"/>
    <n v="0"/>
    <n v="0"/>
    <n v="0"/>
    <n v="0"/>
    <n v="0"/>
    <n v="0"/>
    <n v="0"/>
    <n v="0"/>
    <n v="0"/>
    <n v="72.6903235404848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93"/>
    <s v="Regular"/>
    <s v="Azul"/>
    <s v="A4"/>
    <s v="Industrial"/>
    <s v="Não se aplica"/>
    <s v="Não se aplica"/>
    <s v="Não se aplica"/>
    <s v="Ponta"/>
    <s v="CATIVO"/>
    <x v="6"/>
    <n v="19102"/>
    <n v="19102"/>
    <n v="950.56299999999999"/>
    <n v="950.56299999999999"/>
    <n v="950.56299999999999"/>
    <n v="950.56299999999999"/>
    <n v="37.64"/>
    <n v="78.42"/>
    <n v="171.61"/>
    <n v="718999.28"/>
    <n v="237669.26689000003"/>
    <n v="956668.54689000011"/>
    <n v="897011.75751999998"/>
    <n v="0"/>
    <n v="49997.570472659871"/>
    <n v="0"/>
    <n v="0"/>
    <n v="0"/>
    <n v="312205.28959545516"/>
    <n v="406728.94209462579"/>
    <n v="157198.62200683958"/>
    <n v="5927.099605264928"/>
    <n v="0"/>
    <n v="0"/>
    <n v="0"/>
    <n v="0"/>
    <n v="8885.9682249076868"/>
    <m/>
    <n v="251.00611717161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75.7043924352838"/>
    <n v="0"/>
    <n v="0"/>
    <n v="0"/>
    <n v="0"/>
    <n v="0"/>
    <m/>
    <m/>
    <m/>
    <m/>
    <m/>
    <m/>
    <m/>
    <m/>
    <m/>
    <n v="163074.32639927487"/>
    <m/>
    <m/>
    <m/>
    <m/>
    <m/>
    <m/>
    <m/>
    <m/>
    <m/>
    <m/>
    <m/>
    <m/>
    <n v="897010.96240000008"/>
    <n v="-59657.614490000065"/>
    <m/>
    <m/>
    <m/>
    <m/>
    <n v="-81053.962499999951"/>
    <n v="21397.173129999992"/>
    <n v="31"/>
    <n v="28330.999950312427"/>
    <n v="0"/>
    <n v="0"/>
    <n v="0"/>
    <n v="0"/>
    <n v="0"/>
    <n v="0"/>
    <n v="0"/>
    <n v="14059.423756711127"/>
    <n v="0"/>
    <n v="0"/>
    <n v="21402.255458087893"/>
    <n v="0"/>
    <n v="0"/>
    <n v="0"/>
    <n v="799.96455947072172"/>
    <n v="0"/>
    <n v="-6867.3039739070155"/>
    <m/>
    <n v="0"/>
    <n v="0"/>
    <n v="0"/>
    <n v="0"/>
    <n v="-1024.0510679268218"/>
    <n v="-39.288782123429883"/>
    <n v="0"/>
    <n v="0"/>
    <m/>
    <m/>
    <n v="406728.94209462579"/>
    <n v="0"/>
    <n v="0"/>
    <n v="0"/>
    <n v="-81053.962500000023"/>
    <n v="21397.173129999981"/>
    <n v="0"/>
    <n v="0"/>
    <n v="-87932.602741646115"/>
    <n v="0"/>
    <n v="0"/>
    <n v="0"/>
    <n v="0"/>
    <n v="0"/>
    <n v="0"/>
    <n v="0"/>
    <n v="0"/>
    <n v="0"/>
    <n v="0"/>
    <n v="0"/>
    <n v="0"/>
    <n v="9534.362704771436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94"/>
    <s v="Sistema de Compensação"/>
    <s v="Azul"/>
    <s v="A4"/>
    <s v="Industrial"/>
    <s v="Não se aplica"/>
    <s v="Não se aplica"/>
    <s v="Não se aplica"/>
    <s v="Ponta"/>
    <s v="CATIVO"/>
    <x v="6"/>
    <n v="1580"/>
    <n v="1580"/>
    <n v="86.271000000000001"/>
    <n v="86.271000000000001"/>
    <n v="86.271000000000001"/>
    <n v="86.271000000000001"/>
    <n v="37.64"/>
    <n v="78.42"/>
    <n v="171.61"/>
    <n v="59471.200000000004"/>
    <n v="21570.338130000004"/>
    <n v="81041.538130000015"/>
    <n v="76221.865840000013"/>
    <n v="0"/>
    <n v="4537.6691521202065"/>
    <n v="0"/>
    <n v="0"/>
    <n v="0"/>
    <n v="25823.70210244054"/>
    <n v="33642.117501283043"/>
    <n v="14266.99999805595"/>
    <n v="537.93047914321369"/>
    <n v="0"/>
    <n v="0"/>
    <n v="0"/>
    <n v="0"/>
    <n v="806.4708648779839"/>
    <m/>
    <n v="22.780761227306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3.26596305535179"/>
    <n v="0"/>
    <n v="0"/>
    <n v="0"/>
    <n v="0"/>
    <n v="0"/>
    <m/>
    <m/>
    <m/>
    <m/>
    <m/>
    <m/>
    <m/>
    <m/>
    <m/>
    <n v="14800.265961111301"/>
    <m/>
    <m/>
    <m/>
    <m/>
    <m/>
    <m/>
    <m/>
    <m/>
    <m/>
    <m/>
    <m/>
    <m/>
    <n v="76221.600800000015"/>
    <n v="-4819.9673299999849"/>
    <m/>
    <m/>
    <m/>
    <m/>
    <n v="-6761.6324999999961"/>
    <n v="1941.9602099999993"/>
    <n v="31"/>
    <n v="2458.165853303406"/>
    <n v="0"/>
    <n v="0"/>
    <n v="0"/>
    <n v="0"/>
    <n v="0"/>
    <n v="0"/>
    <n v="0"/>
    <n v="1162.909095152525"/>
    <n v="0"/>
    <n v="0"/>
    <n v="1942.4214708806267"/>
    <n v="0"/>
    <n v="0"/>
    <n v="0"/>
    <n v="72.603017906334003"/>
    <n v="0"/>
    <n v="-623.26135262253274"/>
    <m/>
    <n v="0"/>
    <n v="0"/>
    <n v="0"/>
    <n v="0"/>
    <n v="-92.940614857841865"/>
    <n v="-3.5657631556986971"/>
    <n v="0"/>
    <n v="0"/>
    <m/>
    <m/>
    <n v="33642.117501283043"/>
    <n v="0"/>
    <n v="0"/>
    <n v="0"/>
    <n v="-6761.632500000007"/>
    <n v="1941.9602099999993"/>
    <n v="0"/>
    <n v="0"/>
    <n v="-7273.2442849859071"/>
    <n v="0"/>
    <n v="0"/>
    <n v="0"/>
    <n v="0"/>
    <n v="0"/>
    <n v="0"/>
    <n v="0"/>
    <n v="0"/>
    <n v="0"/>
    <n v="0"/>
    <n v="0"/>
    <n v="0"/>
    <n v="865.3177168723552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95"/>
    <s v="Regular"/>
    <s v="Azul"/>
    <s v="A4"/>
    <s v="Industrial"/>
    <s v="Não se aplica"/>
    <s v="Não se aplica"/>
    <s v="Não se aplica"/>
    <s v="Fora ponta"/>
    <s v="CATIVO"/>
    <x v="6"/>
    <n v="21248"/>
    <n v="21248"/>
    <n v="8346.1350000000002"/>
    <n v="8346.1350000000002"/>
    <n v="8346.1350000000002"/>
    <n v="8346.1350000000002"/>
    <n v="12.58"/>
    <n v="78.42"/>
    <n v="171.61"/>
    <n v="267299.84000000003"/>
    <n v="2086784.13405"/>
    <n v="2354083.9740500003"/>
    <n v="2458323.9404000002"/>
    <n v="0"/>
    <n v="438988.76017353201"/>
    <n v="0"/>
    <n v="0"/>
    <n v="0"/>
    <n v="140819.83284909982"/>
    <n v="126419.41737187364"/>
    <n v="1380235.6299193783"/>
    <n v="52041.130849809851"/>
    <n v="0"/>
    <n v="0"/>
    <n v="0"/>
    <n v="0"/>
    <n v="78020.59454322324"/>
    <m/>
    <n v="2203.8843714094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589.870507644271"/>
    <n v="0"/>
    <n v="0"/>
    <n v="0"/>
    <n v="0"/>
    <n v="0"/>
    <m/>
    <m/>
    <m/>
    <m/>
    <m/>
    <m/>
    <m/>
    <m/>
    <m/>
    <n v="1431825.5004270226"/>
    <m/>
    <m/>
    <m/>
    <m/>
    <m/>
    <m/>
    <m/>
    <m/>
    <m/>
    <m/>
    <m/>
    <m/>
    <n v="2458325.2656"/>
    <n v="104241.2615500004"/>
    <m/>
    <m/>
    <m/>
    <m/>
    <n v="-83631.532500000001"/>
    <n v="187871.49884999992"/>
    <n v="31"/>
    <n v="131648.80626778631"/>
    <n v="0"/>
    <n v="0"/>
    <n v="0"/>
    <n v="0"/>
    <n v="0"/>
    <n v="0"/>
    <n v="0"/>
    <n v="6341.4867375890026"/>
    <n v="0"/>
    <n v="0"/>
    <n v="187916.1227164201"/>
    <n v="0"/>
    <n v="0"/>
    <n v="0"/>
    <n v="7023.8502956228767"/>
    <n v="0"/>
    <n v="-60296.314975719084"/>
    <m/>
    <n v="0"/>
    <n v="0"/>
    <n v="0"/>
    <n v="0"/>
    <n v="-8991.3750691026507"/>
    <n v="-344.96343702388208"/>
    <n v="0"/>
    <n v="0"/>
    <m/>
    <m/>
    <n v="126419.41737187364"/>
    <n v="0"/>
    <n v="0"/>
    <n v="0"/>
    <n v="-83631.532499999972"/>
    <n v="187871.49885000009"/>
    <n v="0"/>
    <n v="0"/>
    <n v="-27331.195929512323"/>
    <n v="0"/>
    <n v="0"/>
    <n v="0"/>
    <n v="0"/>
    <n v="0"/>
    <n v="0"/>
    <n v="0"/>
    <n v="0"/>
    <n v="0"/>
    <n v="0"/>
    <n v="0"/>
    <n v="0"/>
    <n v="83713.62894725290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96"/>
    <s v="Sistema de Compensação"/>
    <s v="Azul"/>
    <s v="A4"/>
    <s v="Industrial"/>
    <s v="Não se aplica"/>
    <s v="Não se aplica"/>
    <s v="Não se aplica"/>
    <s v="Fora ponta"/>
    <s v="CATIVO"/>
    <x v="6"/>
    <n v="2008"/>
    <n v="2008"/>
    <n v="807.29"/>
    <n v="807.29"/>
    <n v="807.29"/>
    <n v="807.29"/>
    <n v="12.58"/>
    <n v="78.42"/>
    <n v="171.61"/>
    <n v="25260.639999999999"/>
    <n v="201846.7187"/>
    <n v="227107.35870000001"/>
    <n v="237236.8616"/>
    <n v="0"/>
    <n v="42461.718651865878"/>
    <n v="0"/>
    <n v="0"/>
    <n v="0"/>
    <n v="13307.898360362971"/>
    <n v="11947.015723019686"/>
    <n v="133504.96028132961"/>
    <n v="5033.7413094495823"/>
    <n v="0"/>
    <n v="0"/>
    <n v="0"/>
    <n v="0"/>
    <n v="7546.6363494957468"/>
    <m/>
    <n v="213.17338075590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0.0926071907707"/>
    <n v="0"/>
    <n v="0"/>
    <n v="0"/>
    <n v="0"/>
    <n v="0"/>
    <m/>
    <m/>
    <m/>
    <m/>
    <m/>
    <m/>
    <m/>
    <m/>
    <m/>
    <n v="138495.05288852038"/>
    <m/>
    <m/>
    <m/>
    <m/>
    <m/>
    <m/>
    <m/>
    <m/>
    <m/>
    <m/>
    <m/>
    <m/>
    <n v="237236.8616"/>
    <n v="10129.472899999993"/>
    <m/>
    <m/>
    <m/>
    <m/>
    <n v="-8042.5949999999993"/>
    <n v="18172.097899999993"/>
    <n v="31"/>
    <n v="12719.791600413038"/>
    <n v="0"/>
    <n v="0"/>
    <n v="0"/>
    <n v="0"/>
    <n v="0"/>
    <n v="0"/>
    <n v="0"/>
    <n v="599.28959756583026"/>
    <n v="0"/>
    <n v="0"/>
    <n v="18176.414197438542"/>
    <n v="0"/>
    <n v="0"/>
    <n v="0"/>
    <n v="679.39041306585477"/>
    <n v="0"/>
    <n v="-5832.2339761755866"/>
    <m/>
    <n v="0"/>
    <n v="0"/>
    <n v="0"/>
    <n v="0"/>
    <n v="-869.70162590658674"/>
    <n v="-33.367005575036814"/>
    <n v="0"/>
    <n v="0"/>
    <m/>
    <m/>
    <n v="11947.015723019686"/>
    <n v="0"/>
    <n v="0"/>
    <n v="0"/>
    <n v="-8042.5950000000012"/>
    <n v="18172.097899999993"/>
    <n v="0"/>
    <n v="0"/>
    <n v="-2582.8803382182195"/>
    <n v="0"/>
    <n v="0"/>
    <n v="0"/>
    <n v="0"/>
    <n v="0"/>
    <n v="0"/>
    <n v="0"/>
    <n v="0"/>
    <n v="0"/>
    <n v="0"/>
    <n v="0"/>
    <n v="0"/>
    <n v="8097.301986228090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297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48665.68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98"/>
    <s v="Sistema de Compensação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6804.85999999999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299"/>
    <s v="Regular"/>
    <s v="Verde"/>
    <s v="A4"/>
    <s v="Industrial"/>
    <s v="Não se aplica"/>
    <s v="Não se aplica"/>
    <s v="Não se aplica"/>
    <s v="Ponta"/>
    <s v="CATIVO"/>
    <x v="6"/>
    <n v="0"/>
    <n v="0"/>
    <n v="172.38900000000001"/>
    <n v="172.38900000000001"/>
    <n v="172.38900000000001"/>
    <n v="172.38900000000001"/>
    <m/>
    <n v="984.21"/>
    <n v="171.61"/>
    <m/>
    <n v="199250.65398000003"/>
    <n v="199250.65398000003"/>
    <n v="185809.48365000001"/>
    <n v="0"/>
    <n v="9067.290833128749"/>
    <n v="0"/>
    <n v="0"/>
    <n v="0"/>
    <n v="67871.043119614231"/>
    <n v="88277.324723983416"/>
    <n v="28508.697739273535"/>
    <n v="1074.9069486735921"/>
    <n v="0"/>
    <n v="0"/>
    <n v="0"/>
    <n v="0"/>
    <n v="1611.5114688070241"/>
    <m/>
    <n v="45.521121201958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5.5861889296409"/>
    <n v="0"/>
    <n v="0"/>
    <n v="0"/>
    <n v="0"/>
    <n v="0"/>
    <m/>
    <m/>
    <m/>
    <m/>
    <m/>
    <m/>
    <m/>
    <m/>
    <m/>
    <n v="29574.283928203175"/>
    <m/>
    <m/>
    <m/>
    <m/>
    <m/>
    <m/>
    <m/>
    <m/>
    <m/>
    <m/>
    <m/>
    <m/>
    <n v="185810.56149999998"/>
    <n v="-13440.122480000078"/>
    <m/>
    <m/>
    <m/>
    <m/>
    <n v="-17321.646720000004"/>
    <n v="3880.4763899999984"/>
    <n v="31"/>
    <n v="5644.6276418496709"/>
    <n v="0"/>
    <n v="0"/>
    <n v="0"/>
    <n v="0"/>
    <n v="0"/>
    <n v="0"/>
    <n v="0"/>
    <n v="3056.4112391086092"/>
    <n v="0"/>
    <n v="0"/>
    <n v="3881.3980937237357"/>
    <n v="0"/>
    <n v="0"/>
    <n v="0"/>
    <n v="145.07727572249087"/>
    <n v="0"/>
    <n v="-1245.4173629289771"/>
    <m/>
    <n v="0"/>
    <n v="0"/>
    <n v="0"/>
    <n v="0"/>
    <n v="-185.71640127885985"/>
    <n v="-7.1252024973367938"/>
    <n v="0"/>
    <n v="0"/>
    <m/>
    <m/>
    <m/>
    <n v="88277.324723983416"/>
    <n v="0"/>
    <n v="0"/>
    <n v="-17321.646720000019"/>
    <n v="3880.4763899999962"/>
    <n v="0"/>
    <n v="0"/>
    <n v="-19085.081297813071"/>
    <n v="0"/>
    <n v="0"/>
    <n v="0"/>
    <n v="0"/>
    <n v="0"/>
    <n v="0"/>
    <n v="0"/>
    <n v="0"/>
    <n v="0"/>
    <n v="0"/>
    <n v="0"/>
    <n v="0"/>
    <n v="1729.10080900775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00"/>
    <s v="Sistema de Compensação"/>
    <s v="Verde"/>
    <s v="A4"/>
    <s v="Industrial"/>
    <s v="Não se aplica"/>
    <s v="Não se aplica"/>
    <s v="Não se aplica"/>
    <s v="Ponta"/>
    <s v="CATIVO"/>
    <x v="6"/>
    <n v="0"/>
    <n v="0"/>
    <n v="1.363"/>
    <n v="1.363"/>
    <n v="1.363"/>
    <n v="1.363"/>
    <m/>
    <n v="984.21"/>
    <n v="171.61"/>
    <m/>
    <n v="1575.38266"/>
    <n v="1575.38266"/>
    <n v="1469.1095499999999"/>
    <n v="0"/>
    <n v="71.690870099336294"/>
    <n v="0"/>
    <n v="0"/>
    <n v="0"/>
    <n v="536.62491093999142"/>
    <n v="697.96793066140754"/>
    <n v="225.40507235745801"/>
    <n v="8.4987915182645413"/>
    <n v="0"/>
    <n v="0"/>
    <n v="0"/>
    <n v="0"/>
    <n v="12.741474989610554"/>
    <m/>
    <n v="0.35991442724460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4250965868535719"/>
    <n v="0"/>
    <n v="0"/>
    <n v="0"/>
    <n v="0"/>
    <n v="0"/>
    <m/>
    <m/>
    <m/>
    <m/>
    <m/>
    <m/>
    <m/>
    <m/>
    <m/>
    <n v="233.83016894431159"/>
    <m/>
    <m/>
    <m/>
    <m/>
    <m/>
    <m/>
    <m/>
    <m/>
    <m/>
    <m/>
    <m/>
    <m/>
    <n v="1465.8760000000002"/>
    <n v="-109.53665999999976"/>
    <m/>
    <m/>
    <m/>
    <m/>
    <n v="-136.95424000000003"/>
    <n v="30.681129999999989"/>
    <n v="31"/>
    <n v="44.629457075805817"/>
    <n v="0"/>
    <n v="0"/>
    <n v="0"/>
    <n v="0"/>
    <n v="0"/>
    <n v="0"/>
    <n v="0"/>
    <n v="24.165628427017054"/>
    <n v="0"/>
    <n v="0"/>
    <n v="30.688417484557846"/>
    <n v="0"/>
    <n v="0"/>
    <n v="0"/>
    <n v="1.1470588425581401"/>
    <n v="0"/>
    <n v="-9.8469384106421884"/>
    <m/>
    <n v="0"/>
    <n v="0"/>
    <n v="0"/>
    <n v="0"/>
    <n v="-1.4683735907922539"/>
    <n v="-5.6335676892783515E-2"/>
    <n v="0"/>
    <n v="0"/>
    <m/>
    <m/>
    <m/>
    <n v="697.96793066140754"/>
    <n v="0"/>
    <n v="0"/>
    <n v="-136.95424000000003"/>
    <n v="30.681129999999968"/>
    <n v="0"/>
    <n v="0"/>
    <n v="-150.89690066604726"/>
    <n v="0"/>
    <n v="0"/>
    <n v="0"/>
    <n v="0"/>
    <n v="0"/>
    <n v="0"/>
    <n v="0"/>
    <n v="0"/>
    <n v="0"/>
    <n v="0"/>
    <n v="0"/>
    <n v="0"/>
    <n v="13.67119945401143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01"/>
    <s v="Regular"/>
    <s v="Verde"/>
    <s v="A4"/>
    <s v="Industrial"/>
    <s v="Não se aplica"/>
    <s v="Não se aplica"/>
    <s v="Não se aplica"/>
    <s v="Fora ponta"/>
    <s v="CATIVO"/>
    <x v="6"/>
    <n v="0"/>
    <n v="0"/>
    <n v="2102.66"/>
    <n v="2102.66"/>
    <n v="2102.66"/>
    <n v="2102.66"/>
    <m/>
    <n v="78.42"/>
    <n v="171.61"/>
    <m/>
    <n v="525728.07979999995"/>
    <n v="525728.07979999995"/>
    <n v="557289.00640000007"/>
    <n v="0"/>
    <n v="110595.39612844493"/>
    <n v="0"/>
    <n v="0"/>
    <n v="0"/>
    <n v="0"/>
    <n v="0"/>
    <n v="347725.7736193196"/>
    <n v="13110.835637413147"/>
    <n v="0"/>
    <n v="0"/>
    <n v="0"/>
    <n v="0"/>
    <n v="19655.898607230025"/>
    <m/>
    <n v="555.229398085202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97.148634859523"/>
    <n v="0"/>
    <n v="0"/>
    <n v="0"/>
    <n v="0"/>
    <n v="0"/>
    <m/>
    <m/>
    <m/>
    <m/>
    <m/>
    <m/>
    <m/>
    <m/>
    <m/>
    <n v="360722.92225417914"/>
    <m/>
    <m/>
    <m/>
    <m/>
    <m/>
    <m/>
    <m/>
    <m/>
    <m/>
    <m/>
    <m/>
    <m/>
    <n v="557289.00640000007"/>
    <n v="31560.896600000095"/>
    <m/>
    <m/>
    <m/>
    <m/>
    <n v="-15769.949999999999"/>
    <n v="47330.876599999974"/>
    <n v="31"/>
    <n v="31568.946402540081"/>
    <n v="0"/>
    <n v="0"/>
    <n v="0"/>
    <n v="0"/>
    <n v="0"/>
    <n v="0"/>
    <n v="0"/>
    <n v="0"/>
    <n v="0"/>
    <n v="0"/>
    <n v="47342.118788026739"/>
    <n v="0"/>
    <n v="0"/>
    <n v="0"/>
    <n v="1769.5339294888472"/>
    <n v="0"/>
    <n v="-15190.582185268446"/>
    <m/>
    <n v="0"/>
    <n v="0"/>
    <n v="0"/>
    <n v="0"/>
    <n v="-2265.2167383824199"/>
    <n v="-86.907391324563548"/>
    <n v="0"/>
    <n v="0"/>
    <m/>
    <m/>
    <m/>
    <n v="0"/>
    <n v="0"/>
    <n v="0"/>
    <n v="-15769.949999999983"/>
    <n v="47330.876600000018"/>
    <n v="0"/>
    <n v="0"/>
    <n v="0"/>
    <n v="0"/>
    <n v="0"/>
    <n v="0"/>
    <n v="0"/>
    <n v="0"/>
    <n v="0"/>
    <n v="0"/>
    <n v="0"/>
    <n v="0"/>
    <n v="0"/>
    <n v="0"/>
    <n v="0"/>
    <n v="21090.15718559917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02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24.35"/>
    <n v="24.35"/>
    <n v="24.35"/>
    <n v="24.35"/>
    <m/>
    <n v="78.42"/>
    <n v="171.61"/>
    <m/>
    <n v="6088.2305000000006"/>
    <n v="6088.2305000000006"/>
    <n v="6453.7240000000002"/>
    <n v="0"/>
    <n v="1280.7576573138949"/>
    <n v="0"/>
    <n v="0"/>
    <n v="0"/>
    <n v="0"/>
    <n v="0"/>
    <n v="4026.8624445371261"/>
    <n v="151.83094165058077"/>
    <n v="0"/>
    <n v="0"/>
    <n v="0"/>
    <n v="0"/>
    <n v="227.62649742994643"/>
    <m/>
    <n v="6.429872563027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51438143058289"/>
    <n v="0"/>
    <n v="0"/>
    <n v="0"/>
    <n v="0"/>
    <n v="0"/>
    <m/>
    <m/>
    <m/>
    <m/>
    <m/>
    <m/>
    <m/>
    <m/>
    <m/>
    <n v="4177.376825967709"/>
    <m/>
    <m/>
    <m/>
    <m/>
    <m/>
    <m/>
    <m/>
    <m/>
    <m/>
    <m/>
    <m/>
    <m/>
    <n v="6453.7240000000002"/>
    <n v="365.46349999999984"/>
    <m/>
    <m/>
    <m/>
    <m/>
    <n v="-182.625"/>
    <n v="548.11849999999981"/>
    <n v="31"/>
    <n v="365.58637387968247"/>
    <n v="0"/>
    <n v="0"/>
    <n v="0"/>
    <n v="0"/>
    <n v="0"/>
    <n v="0"/>
    <n v="0"/>
    <n v="0"/>
    <n v="0"/>
    <n v="0"/>
    <n v="548.24869093835969"/>
    <n v="0"/>
    <n v="0"/>
    <n v="0"/>
    <n v="20.492210430147281"/>
    <n v="0"/>
    <n v="-175.91559082842059"/>
    <m/>
    <n v="0"/>
    <n v="0"/>
    <n v="0"/>
    <n v="0"/>
    <n v="-26.232499586053819"/>
    <n v="-1.0064370743501669"/>
    <n v="0"/>
    <n v="0"/>
    <m/>
    <m/>
    <m/>
    <n v="0"/>
    <n v="0"/>
    <n v="0"/>
    <n v="-182.625"/>
    <n v="548.11849999999959"/>
    <n v="0"/>
    <n v="0"/>
    <n v="0"/>
    <n v="0"/>
    <n v="0"/>
    <n v="0"/>
    <n v="0"/>
    <n v="0"/>
    <n v="0"/>
    <n v="0"/>
    <n v="0"/>
    <n v="0"/>
    <n v="0"/>
    <n v="0"/>
    <n v="0"/>
    <n v="244.2360283970494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03"/>
    <s v="Regular"/>
    <s v="Verde"/>
    <s v="A4"/>
    <s v="Industrial"/>
    <s v="Não se aplica"/>
    <s v="Não se aplica"/>
    <s v="Não se aplica"/>
    <s v="Não se aplica"/>
    <s v="CATIVO"/>
    <x v="6"/>
    <n v="9953"/>
    <n v="9953"/>
    <n v="0"/>
    <n v="0"/>
    <n v="0"/>
    <n v="0"/>
    <n v="12.58"/>
    <m/>
    <m/>
    <n v="125208.74"/>
    <m/>
    <n v="125208.74"/>
    <n v="115355.27"/>
    <n v="0"/>
    <n v="0"/>
    <n v="0"/>
    <n v="0"/>
    <n v="0"/>
    <n v="65962.904572058091"/>
    <n v="59217.4539298879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4720.92"/>
    <n v="52"/>
    <m/>
    <m/>
    <m/>
    <m/>
    <m/>
    <m/>
    <m/>
    <m/>
    <m/>
    <n v="0"/>
    <m/>
    <m/>
    <m/>
    <m/>
    <m/>
    <m/>
    <m/>
    <m/>
    <m/>
    <m/>
    <m/>
    <m/>
    <n v="115355.27"/>
    <n v="-9853.4999999999854"/>
    <m/>
    <m/>
    <m/>
    <m/>
    <n v="-9853.470000000003"/>
    <n v="0"/>
    <n v="31"/>
    <n v="2970.4827512812335"/>
    <n v="0"/>
    <n v="0"/>
    <n v="0"/>
    <n v="0"/>
    <m/>
    <m/>
    <m/>
    <n v="2970.48275128123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217.453929887917"/>
    <m/>
    <n v="0"/>
    <n v="0"/>
    <n v="-9853.4700000000012"/>
    <m/>
    <n v="0"/>
    <m/>
    <n v="-12802.49402703483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04"/>
    <s v="Sistema de Compensação"/>
    <s v="Verde"/>
    <s v="A4"/>
    <s v="Industrial"/>
    <s v="Não se aplica"/>
    <s v="Não se aplica"/>
    <s v="Não se aplica"/>
    <s v="Não se aplica"/>
    <s v="CATIVO"/>
    <x v="6"/>
    <n v="821"/>
    <n v="821"/>
    <n v="0"/>
    <n v="0"/>
    <n v="0"/>
    <n v="0"/>
    <n v="12.58"/>
    <m/>
    <m/>
    <n v="10328.18"/>
    <m/>
    <n v="10328.18"/>
    <n v="9515.39"/>
    <n v="0"/>
    <n v="0"/>
    <n v="0"/>
    <n v="0"/>
    <n v="0"/>
    <n v="5441.1277658655381"/>
    <n v="4884.7111098601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640.8"/>
    <n v="3"/>
    <m/>
    <m/>
    <m/>
    <m/>
    <m/>
    <m/>
    <m/>
    <m/>
    <m/>
    <n v="0"/>
    <m/>
    <m/>
    <m/>
    <m/>
    <m/>
    <m/>
    <m/>
    <m/>
    <m/>
    <m/>
    <m/>
    <m/>
    <n v="9515.39"/>
    <n v="-812.82000000000153"/>
    <m/>
    <m/>
    <m/>
    <m/>
    <n v="-812.79000000000019"/>
    <n v="0"/>
    <n v="31"/>
    <n v="245.02826673383697"/>
    <n v="0"/>
    <n v="0"/>
    <n v="0"/>
    <n v="0"/>
    <m/>
    <m/>
    <m/>
    <n v="245.028266733836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4.7111098601408"/>
    <m/>
    <n v="0"/>
    <n v="0"/>
    <n v="-812.79000000000087"/>
    <m/>
    <n v="0"/>
    <m/>
    <n v="-1056.04818609420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05"/>
    <s v="Regular"/>
    <s v="Convencional"/>
    <s v="B3"/>
    <s v="Comercial"/>
    <s v="Não se aplica"/>
    <s v="Não se aplica"/>
    <s v="Não se aplica"/>
    <s v="Não se aplica"/>
    <s v="CATIVO"/>
    <x v="6"/>
    <n v="0"/>
    <n v="0"/>
    <n v="622.923"/>
    <n v="622.923"/>
    <n v="622.923"/>
    <n v="622.923"/>
    <m/>
    <n v="239.69"/>
    <n v="171.61"/>
    <m/>
    <n v="256208.22989999998"/>
    <n v="256208.22989999998"/>
    <n v="255267.61616999999"/>
    <n v="0"/>
    <n v="37660.24226047079"/>
    <n v="0"/>
    <n v="0"/>
    <n v="0"/>
    <n v="33224.216785132157"/>
    <n v="55200.151118529269"/>
    <n v="103015.41004264475"/>
    <n v="3884.1472552691876"/>
    <n v="0"/>
    <n v="0"/>
    <n v="0"/>
    <n v="0"/>
    <n v="5823.1532097969002"/>
    <m/>
    <n v="246.70967974154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72.9429875170899"/>
    <n v="0"/>
    <n v="0"/>
    <n v="0"/>
    <n v="114326.1"/>
    <n v="558"/>
    <m/>
    <m/>
    <m/>
    <m/>
    <m/>
    <m/>
    <m/>
    <m/>
    <m/>
    <n v="112988.35303016184"/>
    <m/>
    <m/>
    <m/>
    <m/>
    <m/>
    <m/>
    <m/>
    <m/>
    <m/>
    <m/>
    <m/>
    <m/>
    <n v="255266.38679999998"/>
    <n v="-941.87310000002617"/>
    <m/>
    <m/>
    <m/>
    <m/>
    <n v="-14962.610460000007"/>
    <n v="14021.996729999993"/>
    <n v="31"/>
    <n v="10996.860333157791"/>
    <n v="0"/>
    <n v="0"/>
    <n v="0"/>
    <n v="0"/>
    <n v="0"/>
    <n v="0"/>
    <n v="0"/>
    <n v="1496.1736983133087"/>
    <n v="0"/>
    <n v="0"/>
    <n v="14025.327281535778"/>
    <n v="0"/>
    <n v="0"/>
    <n v="0"/>
    <n v="1357.7948124666073"/>
    <n v="0"/>
    <n v="-5172.7379728392552"/>
    <m/>
    <n v="0"/>
    <n v="0"/>
    <n v="0"/>
    <n v="0"/>
    <n v="-671.08120491348745"/>
    <n v="-38.616281405124312"/>
    <n v="0"/>
    <n v="0"/>
    <m/>
    <m/>
    <m/>
    <n v="55200.151118529269"/>
    <n v="0"/>
    <n v="0"/>
    <n v="-14962.610459999996"/>
    <n v="14021.996729999999"/>
    <n v="0"/>
    <n v="0"/>
    <n v="-11933.974834904373"/>
    <n v="0"/>
    <n v="0"/>
    <n v="0"/>
    <n v="0"/>
    <n v="0"/>
    <n v="0"/>
    <n v="0"/>
    <n v="0"/>
    <n v="0"/>
    <n v="0"/>
    <n v="0"/>
    <n v="0"/>
    <n v="7181.677146837341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06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6.4610000000000003"/>
    <n v="6.4610000000000003"/>
    <n v="6.4610000000000003"/>
    <n v="6.4610000000000003"/>
    <m/>
    <n v="239.69"/>
    <n v="171.61"/>
    <m/>
    <n v="2657.4093000000003"/>
    <n v="2657.4093000000003"/>
    <n v="2647.65319"/>
    <n v="0"/>
    <n v="390.61461086667504"/>
    <n v="0"/>
    <n v="0"/>
    <n v="0"/>
    <n v="344.60385095547741"/>
    <n v="572.53974628777166"/>
    <n v="1068.4828851808777"/>
    <n v="40.286641232213647"/>
    <n v="0"/>
    <n v="0"/>
    <n v="0"/>
    <n v="0"/>
    <n v="60.398143732849441"/>
    <m/>
    <n v="2.55888968750570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44004739325393"/>
    <n v="0"/>
    <n v="0"/>
    <n v="0"/>
    <n v="2109.42"/>
    <n v="7"/>
    <m/>
    <m/>
    <m/>
    <m/>
    <m/>
    <m/>
    <m/>
    <m/>
    <m/>
    <n v="1171.9229325741317"/>
    <m/>
    <m/>
    <m/>
    <m/>
    <m/>
    <m/>
    <m/>
    <m/>
    <m/>
    <m/>
    <m/>
    <m/>
    <n v="2647.2434000000003"/>
    <n v="-10.19589999999971"/>
    <m/>
    <m/>
    <m/>
    <m/>
    <n v="-155.19322000000008"/>
    <n v="145.43710999999996"/>
    <n v="31"/>
    <n v="114.06018819747032"/>
    <n v="0"/>
    <n v="0"/>
    <n v="0"/>
    <n v="0"/>
    <n v="0"/>
    <n v="0"/>
    <n v="0"/>
    <n v="15.518416023814041"/>
    <n v="0"/>
    <n v="0"/>
    <n v="145.47165470853156"/>
    <n v="0"/>
    <n v="0"/>
    <n v="0"/>
    <n v="14.08314074668418"/>
    <n v="0"/>
    <n v="-53.651992369064033"/>
    <m/>
    <n v="0"/>
    <n v="0"/>
    <n v="0"/>
    <n v="0"/>
    <n v="-6.9605001981722339"/>
    <n v="-0.40053071432345311"/>
    <n v="0"/>
    <n v="0"/>
    <m/>
    <m/>
    <m/>
    <n v="572.53974628777166"/>
    <n v="0"/>
    <n v="0"/>
    <n v="-155.19321999999988"/>
    <n v="145.43711000000008"/>
    <n v="0"/>
    <n v="0"/>
    <n v="-123.78000396247546"/>
    <n v="0"/>
    <n v="0"/>
    <n v="0"/>
    <n v="0"/>
    <n v="0"/>
    <n v="0"/>
    <n v="0"/>
    <n v="0"/>
    <n v="0"/>
    <n v="0"/>
    <n v="0"/>
    <n v="0"/>
    <n v="74.48884700952777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07"/>
    <s v="Regular"/>
    <s v="Verde"/>
    <s v="A4"/>
    <s v="Comercial"/>
    <s v="Não se aplica"/>
    <s v="Não se aplica"/>
    <s v="Não se aplica"/>
    <s v="Ponta"/>
    <s v="CATIVO"/>
    <x v="6"/>
    <n v="0"/>
    <n v="0"/>
    <n v="8.9550000000000001"/>
    <n v="8.9550000000000001"/>
    <n v="8.9550000000000001"/>
    <n v="8.9550000000000001"/>
    <m/>
    <n v="984.21"/>
    <n v="171.61"/>
    <m/>
    <n v="10350.368100000002"/>
    <n v="10350.368100000002"/>
    <n v="9652.1467499999999"/>
    <n v="0"/>
    <n v="471.01375035917573"/>
    <n v="0"/>
    <n v="0"/>
    <n v="0"/>
    <n v="3525.6610986556298"/>
    <n v="4585.6953918363206"/>
    <n v="1480.9262090689922"/>
    <n v="55.837621457123234"/>
    <n v="0"/>
    <n v="0"/>
    <n v="0"/>
    <n v="0"/>
    <n v="83.712332011711297"/>
    <m/>
    <n v="2.3646615524397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353440891616827"/>
    <n v="0"/>
    <n v="0"/>
    <n v="0"/>
    <n v="0"/>
    <n v="0"/>
    <m/>
    <m/>
    <m/>
    <m/>
    <m/>
    <m/>
    <m/>
    <m/>
    <m/>
    <n v="1536.279649960609"/>
    <m/>
    <m/>
    <m/>
    <m/>
    <m/>
    <m/>
    <m/>
    <m/>
    <m/>
    <m/>
    <m/>
    <m/>
    <n v="9657.5360000000019"/>
    <n v="-692.86210000000028"/>
    <m/>
    <m/>
    <m/>
    <m/>
    <n v="-899.79840000000013"/>
    <n v="201.57704999999993"/>
    <n v="31"/>
    <n v="293.21847990744118"/>
    <n v="0"/>
    <n v="0"/>
    <n v="0"/>
    <n v="0"/>
    <n v="0"/>
    <n v="0"/>
    <n v="0"/>
    <n v="158.76977444162685"/>
    <n v="0"/>
    <n v="0"/>
    <n v="201.62492925474385"/>
    <n v="0"/>
    <n v="0"/>
    <n v="0"/>
    <n v="7.5362523368364975"/>
    <n v="0"/>
    <n v="-64.695035559281564"/>
    <m/>
    <n v="0"/>
    <n v="0"/>
    <n v="0"/>
    <n v="0"/>
    <n v="-9.6473114494091163"/>
    <n v="-0.3701291170762111"/>
    <n v="0"/>
    <n v="0"/>
    <m/>
    <m/>
    <m/>
    <n v="4585.6953918363206"/>
    <n v="0"/>
    <n v="0"/>
    <n v="-899.79840000000058"/>
    <n v="201.5770500000001"/>
    <n v="0"/>
    <n v="0"/>
    <n v="-991.40260122116888"/>
    <n v="0"/>
    <n v="0"/>
    <n v="0"/>
    <n v="0"/>
    <n v="0"/>
    <n v="0"/>
    <n v="0"/>
    <n v="0"/>
    <n v="0"/>
    <n v="0"/>
    <n v="0"/>
    <n v="0"/>
    <n v="89.82068313328861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08"/>
    <s v="Regular"/>
    <s v="Verde"/>
    <s v="A4"/>
    <s v="Comercial"/>
    <s v="Não se aplica"/>
    <s v="Não se aplica"/>
    <s v="Não se aplica"/>
    <s v="Fora ponta"/>
    <s v="CATIVO"/>
    <x v="6"/>
    <n v="0"/>
    <n v="0"/>
    <n v="95.128"/>
    <n v="95.128"/>
    <n v="95.128"/>
    <n v="95.128"/>
    <m/>
    <n v="78.42"/>
    <n v="171.61"/>
    <m/>
    <n v="23784.85384"/>
    <n v="23784.85384"/>
    <n v="25212.725120000003"/>
    <n v="0"/>
    <n v="5003.5283131398846"/>
    <n v="0"/>
    <n v="0"/>
    <n v="0"/>
    <n v="0"/>
    <n v="0"/>
    <n v="15731.719532810172"/>
    <n v="593.15703561956661"/>
    <n v="0"/>
    <n v="0"/>
    <n v="0"/>
    <n v="0"/>
    <n v="889.26708203350893"/>
    <m/>
    <n v="25.119544853209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8.01363764798725"/>
    <n v="0"/>
    <n v="0"/>
    <n v="0"/>
    <n v="0"/>
    <n v="0"/>
    <m/>
    <m/>
    <m/>
    <m/>
    <m/>
    <m/>
    <m/>
    <m/>
    <m/>
    <n v="16319.733170458159"/>
    <m/>
    <m/>
    <m/>
    <m/>
    <m/>
    <m/>
    <m/>
    <m/>
    <m/>
    <m/>
    <m/>
    <m/>
    <n v="25213.2552"/>
    <n v="1428.371360000001"/>
    <m/>
    <m/>
    <m/>
    <m/>
    <n v="-713.46"/>
    <n v="2141.331279999999"/>
    <n v="31"/>
    <n v="1428.2341098327124"/>
    <n v="0"/>
    <n v="0"/>
    <n v="0"/>
    <n v="0"/>
    <n v="0"/>
    <n v="0"/>
    <n v="0"/>
    <n v="0"/>
    <n v="0"/>
    <n v="0"/>
    <n v="2141.8398961636285"/>
    <n v="0"/>
    <n v="0"/>
    <n v="0"/>
    <n v="80.056796459919838"/>
    <n v="0"/>
    <n v="-687.24839114275073"/>
    <m/>
    <n v="0"/>
    <n v="0"/>
    <n v="0"/>
    <n v="0"/>
    <n v="-102.48234992287996"/>
    <n v="-3.9318417252066808"/>
    <n v="0"/>
    <n v="0"/>
    <m/>
    <m/>
    <m/>
    <n v="0"/>
    <n v="0"/>
    <n v="0"/>
    <n v="-713.46"/>
    <n v="2141.3312800000003"/>
    <n v="0"/>
    <n v="0"/>
    <n v="0"/>
    <n v="0"/>
    <n v="0"/>
    <n v="0"/>
    <n v="0"/>
    <n v="0"/>
    <n v="0"/>
    <n v="0"/>
    <n v="0"/>
    <n v="0"/>
    <n v="0"/>
    <n v="0"/>
    <n v="0"/>
    <n v="954.1554377558322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09"/>
    <s v="Regular"/>
    <s v="Verde"/>
    <s v="A4"/>
    <s v="Comercial"/>
    <s v="Não se aplica"/>
    <s v="Não se aplica"/>
    <s v="Não se aplica"/>
    <s v="Não se aplica"/>
    <s v="CATIVO"/>
    <x v="6"/>
    <n v="522"/>
    <n v="522"/>
    <n v="0"/>
    <n v="0"/>
    <n v="0"/>
    <n v="0"/>
    <n v="12.58"/>
    <m/>
    <m/>
    <n v="6566.76"/>
    <m/>
    <n v="6566.76"/>
    <n v="6049.98"/>
    <n v="0"/>
    <n v="0"/>
    <n v="0"/>
    <n v="0"/>
    <n v="0"/>
    <n v="3459.5233785405735"/>
    <n v="3105.74811126308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900.91"/>
    <n v="5"/>
    <m/>
    <m/>
    <m/>
    <m/>
    <m/>
    <m/>
    <m/>
    <m/>
    <m/>
    <n v="0"/>
    <m/>
    <m/>
    <m/>
    <m/>
    <m/>
    <m/>
    <m/>
    <m/>
    <m/>
    <m/>
    <m/>
    <m/>
    <n v="6049.98"/>
    <n v="-516.81000000000131"/>
    <m/>
    <m/>
    <m/>
    <m/>
    <n v="-516.78000000000009"/>
    <n v="0"/>
    <n v="31"/>
    <n v="155.79141928753097"/>
    <n v="0"/>
    <n v="0"/>
    <n v="0"/>
    <n v="0"/>
    <m/>
    <m/>
    <m/>
    <n v="155.791419287530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05.7481112630858"/>
    <m/>
    <n v="0"/>
    <n v="0"/>
    <n v="-516.78000000000065"/>
    <m/>
    <n v="0"/>
    <m/>
    <n v="-671.4459843376053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10"/>
    <s v="Regular"/>
    <s v="Convencional"/>
    <s v="B2"/>
    <s v="Rural"/>
    <s v="Não se aplica"/>
    <s v="Não se aplica"/>
    <s v="Não se aplica"/>
    <s v="Não se aplica"/>
    <s v="CATIVO"/>
    <x v="6"/>
    <n v="0"/>
    <n v="0"/>
    <n v="598.899"/>
    <n v="598.899"/>
    <n v="598.899"/>
    <n v="598.899"/>
    <m/>
    <n v="239.69"/>
    <n v="171.61"/>
    <m/>
    <n v="246327.1587"/>
    <n v="246327.1587"/>
    <n v="245422.82120999999"/>
    <n v="0"/>
    <n v="36207.81610175527"/>
    <n v="0"/>
    <n v="0"/>
    <n v="0"/>
    <n v="31942.872888621645"/>
    <n v="53071.270935149383"/>
    <n v="99042.459596338405"/>
    <n v="3734.3490399832103"/>
    <n v="0"/>
    <n v="0"/>
    <n v="0"/>
    <n v="0"/>
    <n v="5598.5741964803892"/>
    <m/>
    <n v="237.19493498800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88.3208394633002"/>
    <n v="0"/>
    <n v="0"/>
    <n v="0"/>
    <n v="81624.42"/>
    <n v="716"/>
    <m/>
    <m/>
    <m/>
    <m/>
    <m/>
    <n v="29447.863829999995"/>
    <m/>
    <m/>
    <m/>
    <n v="108630.7804358017"/>
    <m/>
    <m/>
    <m/>
    <m/>
    <m/>
    <m/>
    <m/>
    <m/>
    <m/>
    <m/>
    <m/>
    <m/>
    <n v="215975.31799999997"/>
    <n v="-796.20505000004778"/>
    <m/>
    <m/>
    <m/>
    <m/>
    <n v="-14385.553980000006"/>
    <n v="13481.216489999995"/>
    <n v="31"/>
    <n v="10572.749210846086"/>
    <n v="0"/>
    <n v="0"/>
    <n v="0"/>
    <n v="0"/>
    <n v="0"/>
    <n v="0"/>
    <n v="0"/>
    <n v="1438.4714190134946"/>
    <n v="0"/>
    <n v="0"/>
    <n v="13484.418593605442"/>
    <n v="0"/>
    <n v="0"/>
    <n v="0"/>
    <n v="1305.4293313803464"/>
    <n v="0"/>
    <n v="-4973.2432406500629"/>
    <m/>
    <n v="0"/>
    <n v="0"/>
    <n v="0"/>
    <n v="0"/>
    <n v="-645.19990840197352"/>
    <n v="-37.126984101161071"/>
    <n v="0"/>
    <n v="0"/>
    <m/>
    <m/>
    <m/>
    <n v="53071.270935149383"/>
    <n v="0"/>
    <n v="0"/>
    <n v="-14385.553980000012"/>
    <n v="13481.216490000006"/>
    <n v="0"/>
    <n v="0"/>
    <n v="-11473.722425804459"/>
    <n v="0"/>
    <n v="0"/>
    <n v="0"/>
    <n v="0"/>
    <n v="0"/>
    <n v="0"/>
    <n v="0"/>
    <n v="0"/>
    <n v="0"/>
    <n v="0"/>
    <n v="0"/>
    <n v="0"/>
    <n v="6904.704532604731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11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26.998999999999999"/>
    <n v="26.998999999999999"/>
    <n v="26.998999999999999"/>
    <n v="26.998999999999999"/>
    <m/>
    <n v="239.69"/>
    <n v="171.61"/>
    <m/>
    <n v="11104.688699999999"/>
    <n v="11104.688699999999"/>
    <n v="11063.92021"/>
    <n v="0"/>
    <n v="1632.2866241741769"/>
    <n v="0"/>
    <n v="0"/>
    <n v="0"/>
    <n v="1440.0184757695301"/>
    <n v="2392.5089939674272"/>
    <n v="4464.9387737190082"/>
    <n v="168.34840220221889"/>
    <n v="0"/>
    <n v="0"/>
    <n v="0"/>
    <n v="0"/>
    <n v="252.3896428793069"/>
    <m/>
    <n v="10.692998401635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25163899867863"/>
    <n v="0"/>
    <n v="0"/>
    <n v="0"/>
    <n v="6679.13"/>
    <n v="13"/>
    <m/>
    <m/>
    <m/>
    <m/>
    <m/>
    <n v="1327.5408299999995"/>
    <m/>
    <m/>
    <m/>
    <n v="4897.1904127176867"/>
    <m/>
    <m/>
    <m/>
    <m/>
    <m/>
    <m/>
    <m/>
    <m/>
    <m/>
    <m/>
    <m/>
    <m/>
    <n v="9736.7400000000016"/>
    <n v="-35.578049999998257"/>
    <m/>
    <m/>
    <m/>
    <m/>
    <n v="-648.51598000000024"/>
    <n v="607.74748999999974"/>
    <n v="31"/>
    <n v="476.63071059333015"/>
    <n v="0"/>
    <n v="0"/>
    <n v="0"/>
    <n v="0"/>
    <n v="0"/>
    <n v="0"/>
    <n v="0"/>
    <n v="64.847812138516474"/>
    <n v="0"/>
    <n v="0"/>
    <n v="607.89184421539176"/>
    <n v="0"/>
    <n v="0"/>
    <n v="0"/>
    <n v="58.850134192807047"/>
    <n v="0"/>
    <n v="-224.19906236996712"/>
    <m/>
    <n v="0"/>
    <n v="0"/>
    <n v="0"/>
    <n v="0"/>
    <n v="-29.086293894204005"/>
    <n v="-1.673723689215123"/>
    <n v="0"/>
    <n v="0"/>
    <m/>
    <m/>
    <m/>
    <n v="2392.5089939674272"/>
    <n v="0"/>
    <n v="0"/>
    <n v="-648.51598000000013"/>
    <n v="607.74748999999974"/>
    <n v="0"/>
    <n v="0"/>
    <n v="-517.24753551816684"/>
    <n v="0"/>
    <n v="0"/>
    <n v="0"/>
    <n v="0"/>
    <n v="0"/>
    <n v="0"/>
    <n v="0"/>
    <n v="0"/>
    <n v="0"/>
    <n v="0"/>
    <n v="0"/>
    <n v="0"/>
    <n v="311.2713791069865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12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13"/>
    <s v="Regular"/>
    <s v="Verde"/>
    <s v="A4"/>
    <s v="Rural"/>
    <s v="Não se aplica"/>
    <s v="Não se aplica"/>
    <s v="Não se aplica"/>
    <s v="Ponta"/>
    <s v="CATIVO"/>
    <x v="6"/>
    <n v="0"/>
    <n v="0"/>
    <n v="16.745000000000001"/>
    <n v="16.075199999999999"/>
    <n v="16.745000000000001"/>
    <n v="16.075199999999999"/>
    <m/>
    <n v="984.21"/>
    <n v="171.61"/>
    <m/>
    <n v="19354.205900000001"/>
    <n v="19354.205900000001"/>
    <n v="18048.598250000003"/>
    <n v="0"/>
    <n v="880.75100499881603"/>
    <n v="0"/>
    <n v="0"/>
    <n v="0"/>
    <n v="6592.6516021204388"/>
    <n v="8574.8151129312319"/>
    <n v="2769.1914428654691"/>
    <n v="104.41105207141581"/>
    <n v="0"/>
    <n v="0"/>
    <n v="0"/>
    <n v="0"/>
    <n v="156.53411496773936"/>
    <m/>
    <n v="4.4216926516587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50568037187313"/>
    <n v="0"/>
    <n v="0"/>
    <n v="0"/>
    <n v="0"/>
    <n v="0"/>
    <m/>
    <m/>
    <m/>
    <m/>
    <m/>
    <n v="721.94393000000241"/>
    <m/>
    <m/>
    <m/>
    <n v="2872.6971232373421"/>
    <m/>
    <m/>
    <m/>
    <m/>
    <m/>
    <m/>
    <m/>
    <m/>
    <m/>
    <m/>
    <m/>
    <m/>
    <n v="17331.828000000001"/>
    <n v="-1248.239663999997"/>
    <m/>
    <m/>
    <m/>
    <m/>
    <n v="-1682.5376000000003"/>
    <n v="376.92994999999985"/>
    <n v="31"/>
    <n v="548.29072541039568"/>
    <n v="0"/>
    <n v="0"/>
    <n v="0"/>
    <n v="0"/>
    <n v="0"/>
    <n v="0"/>
    <n v="0"/>
    <n v="296.88440793132668"/>
    <n v="0"/>
    <n v="0"/>
    <n v="377.01947966171838"/>
    <n v="0"/>
    <n v="0"/>
    <n v="0"/>
    <n v="14.09207653604993"/>
    <n v="0"/>
    <n v="-120.97357570521149"/>
    <m/>
    <n v="0"/>
    <n v="0"/>
    <n v="0"/>
    <n v="0"/>
    <n v="-18.039556696857147"/>
    <n v="-0.69210631663217814"/>
    <n v="0"/>
    <n v="0"/>
    <m/>
    <m/>
    <m/>
    <n v="8574.8151129312319"/>
    <n v="0"/>
    <n v="0"/>
    <n v="-1682.5375999999997"/>
    <n v="376.92994999999974"/>
    <n v="0"/>
    <n v="0"/>
    <n v="-1853.8287613007778"/>
    <n v="0"/>
    <n v="0"/>
    <n v="0"/>
    <n v="0"/>
    <n v="0"/>
    <n v="0"/>
    <n v="0"/>
    <n v="0"/>
    <n v="0"/>
    <n v="0"/>
    <n v="0"/>
    <n v="0"/>
    <n v="167.9561517662666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14"/>
    <s v="Regular"/>
    <s v="Verde"/>
    <s v="A4"/>
    <s v="Rural"/>
    <s v="Não se aplica"/>
    <s v="Não se aplica"/>
    <s v="Não se aplica"/>
    <s v="Fora ponta"/>
    <s v="CATIVO"/>
    <x v="6"/>
    <n v="0"/>
    <n v="0"/>
    <n v="246.93299999999999"/>
    <n v="237.05568"/>
    <n v="246.93299999999999"/>
    <n v="237.05568"/>
    <m/>
    <n v="78.42"/>
    <n v="171.61"/>
    <m/>
    <n v="61740.65799"/>
    <n v="61740.65799"/>
    <n v="65447.122319999995"/>
    <n v="0"/>
    <n v="12988.144993572567"/>
    <n v="0"/>
    <n v="0"/>
    <n v="0"/>
    <n v="0"/>
    <n v="0"/>
    <n v="40836.354169071295"/>
    <n v="1539.7153969036081"/>
    <n v="0"/>
    <n v="0"/>
    <n v="0"/>
    <n v="0"/>
    <n v="2308.3570385983144"/>
    <m/>
    <n v="65.205245240492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6.3641786364733"/>
    <n v="0"/>
    <n v="0"/>
    <n v="0"/>
    <n v="0"/>
    <n v="0"/>
    <m/>
    <m/>
    <m/>
    <m/>
    <m/>
    <n v="2617.8848927999993"/>
    <m/>
    <m/>
    <m/>
    <n v="42362.718347707771"/>
    <m/>
    <m/>
    <m/>
    <m/>
    <m/>
    <m/>
    <m/>
    <m/>
    <m/>
    <m/>
    <m/>
    <m/>
    <n v="62830.382400000002"/>
    <n v="3559.3207296000037"/>
    <m/>
    <m/>
    <m/>
    <m/>
    <n v="-1851.9974999999999"/>
    <n v="5558.4618299999975"/>
    <n v="31"/>
    <n v="3707.4061626789116"/>
    <n v="0"/>
    <n v="0"/>
    <n v="0"/>
    <n v="0"/>
    <n v="0"/>
    <n v="0"/>
    <n v="0"/>
    <n v="0"/>
    <n v="0"/>
    <n v="0"/>
    <n v="5559.7820944345804"/>
    <n v="0"/>
    <n v="0"/>
    <n v="0"/>
    <n v="207.81121142289726"/>
    <n v="0"/>
    <n v="-1783.9574780301591"/>
    <m/>
    <n v="0"/>
    <n v="0"/>
    <n v="0"/>
    <n v="0"/>
    <n v="-266.02340124365628"/>
    <n v="-10.206263904743722"/>
    <n v="0"/>
    <n v="0"/>
    <m/>
    <m/>
    <m/>
    <n v="0"/>
    <n v="0"/>
    <n v="0"/>
    <n v="-1851.9975000000013"/>
    <n v="5558.4618300000002"/>
    <n v="0"/>
    <n v="0"/>
    <n v="0"/>
    <n v="0"/>
    <n v="0"/>
    <n v="0"/>
    <n v="0"/>
    <n v="0"/>
    <n v="0"/>
    <n v="0"/>
    <n v="0"/>
    <n v="0"/>
    <n v="0"/>
    <n v="0"/>
    <n v="0"/>
    <n v="2476.794053395014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15"/>
    <s v="Regular"/>
    <s v="Verde"/>
    <s v="A4"/>
    <s v="Rural"/>
    <s v="Não se aplica"/>
    <s v="Não se aplica"/>
    <s v="Não se aplica"/>
    <s v="Não se aplica"/>
    <s v="CATIVO"/>
    <x v="6"/>
    <n v="1490"/>
    <n v="1430.4"/>
    <n v="0"/>
    <n v="0"/>
    <n v="0"/>
    <n v="0"/>
    <n v="12.58"/>
    <m/>
    <m/>
    <n v="18744.2"/>
    <m/>
    <n v="18744.2"/>
    <n v="17269.099999999999"/>
    <n v="0"/>
    <n v="0"/>
    <n v="0"/>
    <n v="0"/>
    <n v="0"/>
    <n v="9874.8847395123648"/>
    <n v="8865.0664478582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779.23"/>
    <n v="11"/>
    <m/>
    <m/>
    <m/>
    <m/>
    <m/>
    <n v="690.76399999999899"/>
    <m/>
    <m/>
    <m/>
    <n v="0"/>
    <m/>
    <m/>
    <m/>
    <m/>
    <m/>
    <m/>
    <m/>
    <m/>
    <m/>
    <m/>
    <m/>
    <m/>
    <n v="16578.335999999999"/>
    <n v="-1416.1259999999966"/>
    <m/>
    <m/>
    <m/>
    <m/>
    <n v="-1475.1000000000004"/>
    <n v="0"/>
    <n v="31"/>
    <n v="444.69198225751279"/>
    <n v="0"/>
    <n v="0"/>
    <n v="0"/>
    <n v="0"/>
    <m/>
    <m/>
    <m/>
    <n v="444.691982257512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8865.066447858233"/>
    <m/>
    <n v="0"/>
    <n v="0"/>
    <n v="-1475.1000000000022"/>
    <m/>
    <n v="0"/>
    <m/>
    <n v="-1916.5795338372254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16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64.962999999999994"/>
    <n v="64.962999999999994"/>
    <n v="64.962999999999994"/>
    <n v="64.962999999999994"/>
    <m/>
    <n v="239.69"/>
    <n v="171.61"/>
    <m/>
    <n v="26719.281899999998"/>
    <n v="26719.281899999998"/>
    <n v="26621.187769999997"/>
    <n v="0"/>
    <n v="3927.4875353245325"/>
    <n v="0"/>
    <n v="0"/>
    <n v="0"/>
    <n v="3464.8661150937432"/>
    <n v="5756.6784612432293"/>
    <n v="10743.205954187486"/>
    <n v="405.06749332429888"/>
    <n v="0"/>
    <n v="0"/>
    <n v="0"/>
    <n v="0"/>
    <n v="607.28132043292021"/>
    <m/>
    <n v="25.728703106242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0.0519731942352"/>
    <n v="0"/>
    <n v="0"/>
    <n v="0"/>
    <n v="10948.26"/>
    <n v="47"/>
    <m/>
    <m/>
    <m/>
    <m/>
    <m/>
    <m/>
    <m/>
    <m/>
    <m/>
    <n v="11783.257927381721"/>
    <m/>
    <m/>
    <m/>
    <m/>
    <m/>
    <m/>
    <m/>
    <m/>
    <m/>
    <m/>
    <m/>
    <m/>
    <n v="26619.958399999996"/>
    <n v="-99.353500000001077"/>
    <m/>
    <m/>
    <m/>
    <m/>
    <n v="-1560.4112600000005"/>
    <n v="1462.3171299999992"/>
    <n v="31"/>
    <n v="1146.8336179960133"/>
    <n v="0"/>
    <n v="0"/>
    <n v="0"/>
    <n v="0"/>
    <n v="0"/>
    <n v="0"/>
    <n v="0"/>
    <n v="156.03201673967351"/>
    <n v="0"/>
    <n v="0"/>
    <n v="1462.6644644529224"/>
    <n v="0"/>
    <n v="0"/>
    <n v="0"/>
    <n v="141.60084697830757"/>
    <n v="0"/>
    <n v="-539.45122740620673"/>
    <m/>
    <n v="0"/>
    <n v="0"/>
    <n v="0"/>
    <n v="0"/>
    <n v="-69.985292427466675"/>
    <n v="-4.0271903412156753"/>
    <n v="0"/>
    <n v="0"/>
    <m/>
    <m/>
    <m/>
    <n v="5756.6784612432293"/>
    <n v="0"/>
    <n v="0"/>
    <n v="-1560.4112600000008"/>
    <n v="1462.3171299999995"/>
    <n v="0"/>
    <n v="0"/>
    <n v="-1244.5628226921981"/>
    <n v="0"/>
    <n v="0"/>
    <n v="0"/>
    <n v="0"/>
    <n v="0"/>
    <n v="0"/>
    <n v="0"/>
    <n v="0"/>
    <n v="0"/>
    <n v="0"/>
    <n v="0"/>
    <n v="0"/>
    <n v="748.9582058938170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17"/>
    <s v="Regular"/>
    <s v="Verde"/>
    <s v="A4"/>
    <s v="Poder público"/>
    <s v="Não se aplica"/>
    <s v="Não se aplica"/>
    <s v="Não se aplica"/>
    <s v="Ponta"/>
    <s v="CATIVO"/>
    <x v="6"/>
    <n v="0"/>
    <n v="0"/>
    <n v="1.871"/>
    <n v="1.871"/>
    <n v="1.871"/>
    <n v="1.871"/>
    <m/>
    <n v="984.21"/>
    <n v="171.61"/>
    <m/>
    <n v="2162.5392200000001"/>
    <n v="2162.5392200000001"/>
    <n v="2016.65735"/>
    <n v="0"/>
    <n v="98.410578104077914"/>
    <n v="0"/>
    <n v="0"/>
    <n v="0"/>
    <n v="736.62891296311375"/>
    <n v="958.10564803191016"/>
    <n v="309.41518002993683"/>
    <n v="11.666352847155508"/>
    <n v="0"/>
    <n v="0"/>
    <n v="0"/>
    <n v="0"/>
    <n v="17.490315264535102"/>
    <m/>
    <n v="0.49405714847736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65191279532673"/>
    <n v="0"/>
    <n v="0"/>
    <n v="0"/>
    <n v="0"/>
    <n v="0"/>
    <m/>
    <m/>
    <m/>
    <m/>
    <m/>
    <m/>
    <m/>
    <m/>
    <m/>
    <n v="320.98037130946949"/>
    <m/>
    <m/>
    <m/>
    <m/>
    <m/>
    <m/>
    <m/>
    <m/>
    <m/>
    <m/>
    <m/>
    <m/>
    <n v="2015.5795000000001"/>
    <n v="-146.98972000000026"/>
    <m/>
    <m/>
    <m/>
    <m/>
    <n v="-187.99808000000004"/>
    <n v="42.116209999999981"/>
    <n v="31"/>
    <n v="61.263179889091816"/>
    <n v="0"/>
    <n v="0"/>
    <n v="0"/>
    <n v="0"/>
    <n v="0"/>
    <n v="0"/>
    <n v="0"/>
    <n v="33.172333666139934"/>
    <n v="0"/>
    <n v="0"/>
    <n v="42.126213582984462"/>
    <n v="0"/>
    <n v="0"/>
    <n v="0"/>
    <n v="1.574576004714805"/>
    <n v="0"/>
    <n v="-13.516963878438389"/>
    <m/>
    <n v="0"/>
    <n v="0"/>
    <n v="0"/>
    <n v="0"/>
    <n v="-2.0156470934499673"/>
    <n v="-7.7332392858692534E-2"/>
    <n v="0"/>
    <n v="0"/>
    <m/>
    <m/>
    <m/>
    <n v="958.10564803191016"/>
    <n v="0"/>
    <n v="0"/>
    <n v="-187.99808000000007"/>
    <n v="42.116210000000024"/>
    <n v="0"/>
    <n v="0"/>
    <n v="-207.13727156725929"/>
    <n v="0"/>
    <n v="0"/>
    <n v="0"/>
    <n v="0"/>
    <n v="0"/>
    <n v="0"/>
    <n v="0"/>
    <n v="0"/>
    <n v="0"/>
    <n v="0"/>
    <n v="0"/>
    <n v="0"/>
    <n v="18.76655478976917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18"/>
    <s v="Regular"/>
    <s v="Verde"/>
    <s v="A4"/>
    <s v="Poder público"/>
    <s v="Não se aplica"/>
    <s v="Não se aplica"/>
    <s v="Não se aplica"/>
    <s v="Fora ponta"/>
    <s v="CATIVO"/>
    <x v="6"/>
    <n v="0"/>
    <n v="0"/>
    <n v="20.253"/>
    <n v="20.253"/>
    <n v="20.253"/>
    <n v="20.253"/>
    <m/>
    <n v="78.42"/>
    <n v="171.61"/>
    <m/>
    <n v="5063.8575900000005"/>
    <n v="5063.8575900000005"/>
    <n v="5367.8551200000002"/>
    <n v="0"/>
    <n v="1065.2642642126618"/>
    <n v="0"/>
    <n v="0"/>
    <n v="0"/>
    <n v="0"/>
    <n v="0"/>
    <n v="3349.3242336431376"/>
    <n v="126.28468424021405"/>
    <n v="0"/>
    <n v="0"/>
    <n v="0"/>
    <n v="0"/>
    <n v="189.32728757489548"/>
    <m/>
    <n v="5.34801679749441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.18964135990124"/>
    <n v="0"/>
    <n v="0"/>
    <n v="0"/>
    <n v="0"/>
    <n v="0"/>
    <m/>
    <m/>
    <m/>
    <m/>
    <m/>
    <m/>
    <m/>
    <m/>
    <m/>
    <n v="3474.5138750030387"/>
    <m/>
    <m/>
    <m/>
    <m/>
    <m/>
    <m/>
    <m/>
    <m/>
    <m/>
    <m/>
    <m/>
    <m/>
    <n v="5367.06"/>
    <n v="303.17241000000013"/>
    <m/>
    <m/>
    <m/>
    <m/>
    <n v="-151.89750000000001"/>
    <n v="455.89502999999979"/>
    <n v="31"/>
    <n v="304.07477742033734"/>
    <n v="0"/>
    <n v="0"/>
    <n v="0"/>
    <n v="0"/>
    <n v="0"/>
    <n v="0"/>
    <n v="0"/>
    <n v="0"/>
    <n v="0"/>
    <n v="0"/>
    <n v="456.00331571148308"/>
    <n v="0"/>
    <n v="0"/>
    <n v="0"/>
    <n v="17.044301348738074"/>
    <n v="0"/>
    <n v="-146.31697991983583"/>
    <m/>
    <n v="0"/>
    <n v="0"/>
    <n v="0"/>
    <n v="0"/>
    <n v="-21.818760333320256"/>
    <n v="-0.83709938672747075"/>
    <n v="0"/>
    <n v="0"/>
    <m/>
    <m/>
    <m/>
    <n v="0"/>
    <n v="0"/>
    <n v="0"/>
    <n v="-151.89750000000004"/>
    <n v="455.89502999999968"/>
    <n v="0"/>
    <n v="0"/>
    <n v="0"/>
    <n v="0"/>
    <n v="0"/>
    <n v="0"/>
    <n v="0"/>
    <n v="0"/>
    <n v="0"/>
    <n v="0"/>
    <n v="0"/>
    <n v="0"/>
    <n v="0"/>
    <n v="0"/>
    <n v="0"/>
    <n v="203.142188218703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19"/>
    <s v="Regular"/>
    <s v="Verde"/>
    <s v="A4"/>
    <s v="Poder público"/>
    <s v="Não se aplica"/>
    <s v="Não se aplica"/>
    <s v="Não se aplica"/>
    <s v="Não se aplica"/>
    <s v="CATIVO"/>
    <x v="6"/>
    <n v="191"/>
    <n v="191"/>
    <n v="0"/>
    <n v="0"/>
    <n v="0"/>
    <n v="0"/>
    <n v="12.58"/>
    <m/>
    <m/>
    <n v="2402.7800000000002"/>
    <m/>
    <n v="2402.7800000000002"/>
    <n v="2213.69"/>
    <n v="0"/>
    <n v="0"/>
    <n v="0"/>
    <n v="0"/>
    <n v="0"/>
    <n v="1265.8409296958803"/>
    <n v="1136.39442385296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040.08"/>
    <n v="3"/>
    <m/>
    <m/>
    <m/>
    <m/>
    <m/>
    <m/>
    <m/>
    <m/>
    <m/>
    <n v="0"/>
    <m/>
    <m/>
    <m/>
    <m/>
    <m/>
    <m/>
    <m/>
    <m/>
    <m/>
    <m/>
    <m/>
    <m/>
    <n v="2213.69"/>
    <n v="-189.1200000000008"/>
    <m/>
    <m/>
    <m/>
    <m/>
    <n v="-189.09000000000003"/>
    <n v="0"/>
    <n v="31"/>
    <n v="57.004140007506749"/>
    <n v="0"/>
    <n v="0"/>
    <n v="0"/>
    <n v="0"/>
    <m/>
    <m/>
    <m/>
    <n v="57.0041400075067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36.3944238529682"/>
    <m/>
    <n v="0"/>
    <n v="0"/>
    <n v="-189.09000000000015"/>
    <m/>
    <n v="0"/>
    <m/>
    <n v="-245.6823429281275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20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102.523"/>
    <n v="102.523"/>
    <n v="102.523"/>
    <n v="102.523"/>
    <m/>
    <n v="131.83000000000001"/>
    <n v="94.39"/>
    <m/>
    <n v="23192.753060000003"/>
    <n v="23192.753060000003"/>
    <n v="23107.658969999997"/>
    <n v="0"/>
    <n v="3409.0450336536601"/>
    <n v="0"/>
    <n v="0"/>
    <n v="0"/>
    <n v="3007.4913072790014"/>
    <n v="4996.7761685131773"/>
    <n v="9325.0640706654649"/>
    <n v="351.5971251319661"/>
    <n v="0"/>
    <n v="0"/>
    <n v="0"/>
    <n v="0"/>
    <n v="527.11799867785271"/>
    <m/>
    <n v="22.332421620133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2.7613664129708"/>
    <n v="0"/>
    <n v="0"/>
    <n v="0"/>
    <n v="12555.25"/>
    <n v="7"/>
    <m/>
    <m/>
    <m/>
    <m/>
    <m/>
    <m/>
    <m/>
    <m/>
    <m/>
    <n v="10227.825437078436"/>
    <m/>
    <m/>
    <m/>
    <m/>
    <m/>
    <m/>
    <m/>
    <m/>
    <m/>
    <m/>
    <m/>
    <m/>
    <n v="23106.982799999998"/>
    <n v="-85.80025999999998"/>
    <m/>
    <m/>
    <m/>
    <m/>
    <n v="-1354.3288300000008"/>
    <n v="1269.2347399999994"/>
    <n v="31"/>
    <n v="995.44744946805804"/>
    <n v="0"/>
    <n v="0"/>
    <n v="0"/>
    <n v="0"/>
    <n v="0"/>
    <n v="0"/>
    <n v="0"/>
    <n v="135.43522849484543"/>
    <n v="0"/>
    <n v="0"/>
    <n v="1269.5874865540318"/>
    <n v="0"/>
    <n v="0"/>
    <n v="0"/>
    <n v="122.9090251237858"/>
    <n v="0"/>
    <n v="-468.24172225807979"/>
    <m/>
    <n v="0"/>
    <n v="0"/>
    <n v="0"/>
    <n v="0"/>
    <n v="-60.746981736490682"/>
    <n v="-3.4955867100326152"/>
    <n v="0"/>
    <n v="0"/>
    <m/>
    <m/>
    <m/>
    <n v="4996.7761685131773"/>
    <n v="0"/>
    <n v="0"/>
    <n v="-1354.3288300000022"/>
    <n v="1269.2347399999999"/>
    <n v="0"/>
    <n v="0"/>
    <n v="-1080.2760471188108"/>
    <n v="0"/>
    <n v="0"/>
    <n v="0"/>
    <n v="0"/>
    <n v="0"/>
    <n v="0"/>
    <n v="0"/>
    <n v="0"/>
    <n v="0"/>
    <n v="0"/>
    <n v="0"/>
    <n v="0"/>
    <n v="650.0930249306276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21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52.078000000000003"/>
    <n v="48.953319999999998"/>
    <n v="52.078000000000003"/>
    <n v="48.953319999999998"/>
    <m/>
    <n v="239.69"/>
    <n v="171.61"/>
    <m/>
    <n v="21419.681400000001"/>
    <n v="21419.681400000001"/>
    <n v="21341.04362"/>
    <n v="0"/>
    <n v="3148.4952336657952"/>
    <n v="0"/>
    <n v="0"/>
    <n v="0"/>
    <n v="2777.6318449248342"/>
    <n v="4614.87771353886"/>
    <n v="8612.3590302506964"/>
    <n v="324.72491906689714"/>
    <n v="0"/>
    <n v="0"/>
    <n v="0"/>
    <n v="0"/>
    <n v="486.83091306598567"/>
    <m/>
    <n v="20.625577642148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3.76424518586566"/>
    <n v="0"/>
    <n v="0"/>
    <n v="0"/>
    <n v="9578.34"/>
    <n v="40"/>
    <m/>
    <m/>
    <m/>
    <m/>
    <n v="1280.4626172000021"/>
    <m/>
    <m/>
    <m/>
    <m/>
    <n v="9446.1232754365628"/>
    <m/>
    <m/>
    <m/>
    <m/>
    <m/>
    <m/>
    <m/>
    <m/>
    <m/>
    <m/>
    <m/>
    <m/>
    <n v="20059.220500000003"/>
    <n v="-75.310015999995812"/>
    <m/>
    <m/>
    <m/>
    <m/>
    <n v="-1250.9135600000006"/>
    <n v="1172.2757799999995"/>
    <n v="31"/>
    <n v="919.36642639650017"/>
    <n v="0"/>
    <n v="0"/>
    <n v="0"/>
    <n v="0"/>
    <n v="0"/>
    <n v="0"/>
    <n v="0"/>
    <n v="125.08405350382054"/>
    <n v="0"/>
    <n v="0"/>
    <n v="1172.5542228619252"/>
    <n v="0"/>
    <n v="0"/>
    <n v="0"/>
    <n v="113.51521495214661"/>
    <n v="0"/>
    <n v="-432.45448979973935"/>
    <m/>
    <n v="0"/>
    <n v="0"/>
    <n v="0"/>
    <n v="0"/>
    <n v="-56.104152502772592"/>
    <n v="-3.2284226188727416"/>
    <n v="0"/>
    <n v="0"/>
    <m/>
    <m/>
    <m/>
    <n v="4614.87771353886"/>
    <n v="0"/>
    <n v="0"/>
    <n v="-1250.9135600000009"/>
    <n v="1172.2757799999999"/>
    <n v="0"/>
    <n v="0"/>
    <n v="-997.71166171765981"/>
    <n v="0"/>
    <n v="0"/>
    <n v="0"/>
    <n v="0"/>
    <n v="0"/>
    <n v="0"/>
    <n v="0"/>
    <n v="0"/>
    <n v="0"/>
    <n v="0"/>
    <n v="0"/>
    <n v="0"/>
    <n v="600.4070847488294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22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0.427"/>
    <n v="10.427"/>
    <n v="10.427"/>
    <n v="10.427"/>
    <m/>
    <n v="239.69"/>
    <n v="171.61"/>
    <m/>
    <n v="4288.6251000000002"/>
    <n v="4288.6251000000002"/>
    <n v="4272.88033"/>
    <n v="0"/>
    <n v="630.3882599453367"/>
    <n v="0"/>
    <n v="0"/>
    <n v="0"/>
    <n v="556.13439930548873"/>
    <n v="923.98575058699817"/>
    <n v="1724.3570722459388"/>
    <n v="65.016066882571067"/>
    <n v="0"/>
    <n v="0"/>
    <n v="0"/>
    <n v="0"/>
    <n v="97.472751076059595"/>
    <m/>
    <n v="4.12963051719889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.93536204449134"/>
    <n v="0"/>
    <n v="0"/>
    <n v="0"/>
    <n v="1917.8"/>
    <n v="4"/>
    <m/>
    <m/>
    <m/>
    <m/>
    <m/>
    <m/>
    <m/>
    <m/>
    <m/>
    <n v="1891.29243429043"/>
    <m/>
    <m/>
    <m/>
    <m/>
    <m/>
    <m/>
    <m/>
    <m/>
    <m/>
    <m/>
    <m/>
    <m/>
    <n v="4274.1097"/>
    <n v="-14.545400000000882"/>
    <m/>
    <m/>
    <m/>
    <m/>
    <n v="-250.4565400000001"/>
    <n v="234.71176999999989"/>
    <n v="31"/>
    <n v="184.07453681086781"/>
    <n v="0"/>
    <n v="0"/>
    <n v="0"/>
    <n v="0"/>
    <n v="0"/>
    <n v="0"/>
    <n v="0"/>
    <n v="25.044191902230068"/>
    <n v="0"/>
    <n v="0"/>
    <n v="234.76751952420022"/>
    <n v="0"/>
    <n v="0"/>
    <n v="0"/>
    <n v="22.727891745190533"/>
    <n v="0"/>
    <n v="-86.585563292405254"/>
    <m/>
    <n v="0"/>
    <n v="0"/>
    <n v="0"/>
    <n v="0"/>
    <n v="-11.233111835062971"/>
    <n v="-0.64639123328442061"/>
    <n v="0"/>
    <n v="0"/>
    <m/>
    <m/>
    <m/>
    <n v="923.98575058699817"/>
    <n v="0"/>
    <n v="0"/>
    <n v="-250.45654000000013"/>
    <n v="234.71176999999989"/>
    <n v="0"/>
    <n v="0"/>
    <n v="-199.76073383636162"/>
    <n v="0"/>
    <n v="0"/>
    <n v="0"/>
    <n v="0"/>
    <n v="0"/>
    <n v="0"/>
    <n v="0"/>
    <n v="0"/>
    <n v="0"/>
    <n v="0"/>
    <n v="0"/>
    <n v="0"/>
    <n v="120.2128475109651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23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24"/>
    <s v="Regular"/>
    <s v="Convencional"/>
    <s v="B2"/>
    <s v="Rural"/>
    <s v="Agropecuária rural"/>
    <s v="IRRIG./AQUIC."/>
    <s v="Não se aplica"/>
    <s v="Não se aplica"/>
    <s v="CATIVO"/>
    <x v="6"/>
    <n v="0"/>
    <n v="0"/>
    <n v="0.1"/>
    <n v="0.1"/>
    <n v="0.1"/>
    <n v="0.1"/>
    <m/>
    <n v="239.69"/>
    <n v="171.61"/>
    <m/>
    <n v="41.13"/>
    <n v="41.13"/>
    <n v="40.978999999999999"/>
    <n v="0"/>
    <n v="6.0457299313832999"/>
    <n v="0"/>
    <n v="0"/>
    <n v="0"/>
    <n v="5.3335993028242905"/>
    <n v="8.8614726247913893"/>
    <n v="16.537422770173002"/>
    <n v="0.62353569466357606"/>
    <n v="0"/>
    <n v="0"/>
    <n v="0"/>
    <n v="0"/>
    <n v="0.9348110777410531"/>
    <m/>
    <n v="3.960516464178470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01"/>
    <n v="0"/>
    <n v="0"/>
    <n v="0"/>
    <n v="0"/>
    <n v="0"/>
    <m/>
    <m/>
    <m/>
    <m/>
    <m/>
    <n v="5.7799999999999985"/>
    <m/>
    <m/>
    <m/>
    <n v="18.138414062438191"/>
    <m/>
    <m/>
    <m/>
    <m/>
    <m/>
    <m/>
    <m/>
    <m/>
    <m/>
    <m/>
    <m/>
    <m/>
    <n v="35.198999999999998"/>
    <n v="-6.7000000000007276E-2"/>
    <m/>
    <m/>
    <m/>
    <m/>
    <n v="-2.402000000000001"/>
    <n v="2.250999999999999"/>
    <n v="31"/>
    <n v="1.7653643119868505"/>
    <n v="0"/>
    <n v="0"/>
    <n v="0"/>
    <n v="0"/>
    <n v="0"/>
    <n v="0"/>
    <n v="0"/>
    <n v="0.24018597777145967"/>
    <n v="0"/>
    <n v="0"/>
    <n v="2.2515346650445984"/>
    <n v="0"/>
    <n v="0"/>
    <n v="0"/>
    <n v="0.21797153299310001"/>
    <n v="0"/>
    <n v="-0.83039765313518021"/>
    <m/>
    <n v="0"/>
    <n v="0"/>
    <n v="0"/>
    <n v="0"/>
    <n v="-0.10773100446018002"/>
    <n v="-6.1992062269533091E-3"/>
    <n v="0"/>
    <n v="0"/>
    <m/>
    <m/>
    <m/>
    <n v="8.8614726247913893"/>
    <n v="0"/>
    <n v="0"/>
    <n v="-2.402000000000001"/>
    <n v="2.2510000000000012"/>
    <n v="0"/>
    <n v="0"/>
    <n v="-1.915802568680939"/>
    <n v="0"/>
    <n v="0"/>
    <n v="0"/>
    <n v="0"/>
    <n v="0"/>
    <n v="0"/>
    <n v="0"/>
    <n v="0"/>
    <n v="0"/>
    <n v="0"/>
    <n v="0"/>
    <n v="0"/>
    <n v="1.1528996596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26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456.79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27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22.6799999999999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28"/>
    <s v="Regular"/>
    <s v="Convencional"/>
    <s v="B2"/>
    <s v="Rural"/>
    <s v="Aquicultura"/>
    <s v="IRRIG./AQUIC."/>
    <s v="Não se aplica"/>
    <s v="Não se aplica"/>
    <s v="CATIVO"/>
    <x v="6"/>
    <n v="0"/>
    <n v="0"/>
    <n v="55.640999999999998"/>
    <n v="55.640999999999998"/>
    <n v="55.640999999999998"/>
    <n v="55.640999999999998"/>
    <m/>
    <n v="239.69"/>
    <n v="171.61"/>
    <m/>
    <n v="22885.143300000003"/>
    <n v="22885.143300000003"/>
    <n v="22801.125389999997"/>
    <n v="0"/>
    <n v="3363.9045911209819"/>
    <n v="0"/>
    <n v="0"/>
    <n v="0"/>
    <n v="2967.6679880844631"/>
    <n v="4930.6119831601764"/>
    <n v="9201.5874035519591"/>
    <n v="346.94149586776035"/>
    <n v="0"/>
    <n v="0"/>
    <n v="0"/>
    <n v="0"/>
    <n v="520.13823176589938"/>
    <m/>
    <n v="22.036709658335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0.80756492927435"/>
    <n v="0"/>
    <n v="0"/>
    <n v="0"/>
    <n v="0"/>
    <n v="0"/>
    <m/>
    <m/>
    <m/>
    <m/>
    <m/>
    <n v="3216.0497999999989"/>
    <m/>
    <m/>
    <m/>
    <n v="10092.394968481234"/>
    <m/>
    <m/>
    <m/>
    <m/>
    <m/>
    <m/>
    <m/>
    <m/>
    <m/>
    <m/>
    <m/>
    <m/>
    <n v="19584.723599999998"/>
    <n v="-20.969160000000556"/>
    <m/>
    <m/>
    <m/>
    <m/>
    <n v="-1336.4968200000005"/>
    <n v="1252.4789099999994"/>
    <n v="31"/>
    <n v="982.26635683259883"/>
    <n v="0"/>
    <n v="0"/>
    <n v="0"/>
    <n v="0"/>
    <n v="0"/>
    <n v="0"/>
    <n v="0"/>
    <n v="133.64187989181801"/>
    <n v="0"/>
    <n v="0"/>
    <n v="1252.7764029774644"/>
    <n v="0"/>
    <n v="0"/>
    <n v="0"/>
    <n v="121.28154067269077"/>
    <n v="0"/>
    <n v="-462.04155818094569"/>
    <m/>
    <n v="0"/>
    <n v="0"/>
    <n v="0"/>
    <n v="0"/>
    <n v="-59.942608191688805"/>
    <n v="-3.4493003367390855"/>
    <n v="0"/>
    <n v="0"/>
    <m/>
    <m/>
    <m/>
    <n v="4930.6119831601764"/>
    <n v="0"/>
    <n v="0"/>
    <n v="-1336.4968200000021"/>
    <n v="1252.478909999998"/>
    <n v="0"/>
    <n v="0"/>
    <n v="-1065.9717072397611"/>
    <n v="0"/>
    <n v="0"/>
    <n v="0"/>
    <n v="0"/>
    <n v="0"/>
    <n v="0"/>
    <n v="0"/>
    <n v="0"/>
    <n v="0"/>
    <n v="0"/>
    <n v="0"/>
    <n v="0"/>
    <n v="641.4848996219059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29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.20499999999999999"/>
    <n v="0.20499999999999999"/>
    <n v="0.20499999999999999"/>
    <n v="0.20499999999999999"/>
    <m/>
    <n v="239.69"/>
    <n v="171.61"/>
    <m/>
    <n v="84.316499999999991"/>
    <n v="84.316499999999991"/>
    <n v="84.006949999999989"/>
    <n v="0"/>
    <n v="12.393746359335763"/>
    <n v="0"/>
    <n v="0"/>
    <n v="0"/>
    <n v="10.933878570789794"/>
    <n v="18.166018880822346"/>
    <n v="33.901716678854648"/>
    <n v="1.2782481740603309"/>
    <n v="0"/>
    <n v="0"/>
    <n v="0"/>
    <n v="0"/>
    <n v="1.9163627093691586"/>
    <m/>
    <n v="8.119058751565863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820321491436393"/>
    <n v="0"/>
    <n v="0"/>
    <n v="0"/>
    <n v="0"/>
    <n v="0"/>
    <m/>
    <m/>
    <m/>
    <m/>
    <m/>
    <n v="11.848999999999997"/>
    <m/>
    <m/>
    <m/>
    <n v="37.183748827998286"/>
    <m/>
    <m/>
    <m/>
    <m/>
    <m/>
    <m/>
    <m/>
    <m/>
    <m/>
    <m/>
    <m/>
    <m/>
    <n v="73.917900000000003"/>
    <n v="1.6541000000000139"/>
    <m/>
    <m/>
    <m/>
    <m/>
    <n v="-4.9241000000000019"/>
    <n v="4.6145499999999977"/>
    <n v="31"/>
    <n v="3.618996839573029"/>
    <n v="0"/>
    <n v="0"/>
    <n v="0"/>
    <n v="0"/>
    <n v="0"/>
    <n v="0"/>
    <n v="0"/>
    <n v="0.49238125443149272"/>
    <n v="0"/>
    <n v="0"/>
    <n v="4.6156460633414298"/>
    <n v="0"/>
    <n v="0"/>
    <n v="0"/>
    <n v="0.4468416426358548"/>
    <n v="0"/>
    <n v="-1.702315188927118"/>
    <m/>
    <n v="0"/>
    <n v="0"/>
    <n v="0"/>
    <n v="0"/>
    <n v="-0.22084855914336909"/>
    <n v="-1.2708372765254272E-2"/>
    <n v="0"/>
    <n v="0"/>
    <m/>
    <m/>
    <m/>
    <n v="18.166018880822346"/>
    <n v="0"/>
    <n v="0"/>
    <n v="-4.9241000000000028"/>
    <n v="4.6145499999999942"/>
    <n v="0"/>
    <n v="0"/>
    <n v="-3.9273952657959246"/>
    <n v="0"/>
    <n v="0"/>
    <n v="0"/>
    <n v="0"/>
    <n v="0"/>
    <n v="0"/>
    <n v="0"/>
    <n v="0"/>
    <n v="0"/>
    <n v="0"/>
    <n v="0"/>
    <n v="0"/>
    <n v="2.363444302267944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0"/>
    <s v="Regular"/>
    <s v="Convencional"/>
    <s v="B2"/>
    <s v="Rural"/>
    <s v="Aquicultura"/>
    <s v="IRRIG./AQUIC. PR"/>
    <s v="Não se aplica"/>
    <s v="Não se aplica"/>
    <s v="CATIVO"/>
    <x v="6"/>
    <n v="0"/>
    <n v="0"/>
    <n v="83.301000000000002"/>
    <n v="33.320399999999999"/>
    <n v="83.301000000000002"/>
    <n v="33.320399999999999"/>
    <m/>
    <n v="239.69"/>
    <n v="171.61"/>
    <m/>
    <n v="34261.701300000001"/>
    <n v="34261.701300000001"/>
    <n v="34135.916790000003"/>
    <n v="0"/>
    <n v="5036.1534901416026"/>
    <n v="0"/>
    <n v="0"/>
    <n v="0"/>
    <n v="4442.9415552456621"/>
    <n v="7381.6953111774756"/>
    <n v="13775.838541781812"/>
    <n v="519.41146901170544"/>
    <n v="0"/>
    <n v="0"/>
    <n v="0"/>
    <n v="0"/>
    <n v="778.70697586907465"/>
    <m/>
    <n v="32.9914981982530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3.641756369826"/>
    <n v="0"/>
    <n v="0"/>
    <n v="0"/>
    <n v="0"/>
    <n v="0"/>
    <m/>
    <m/>
    <m/>
    <m/>
    <m/>
    <m/>
    <n v="22407.469194000001"/>
    <m/>
    <m/>
    <n v="15109.480298151637"/>
    <m/>
    <m/>
    <m/>
    <m/>
    <m/>
    <m/>
    <m/>
    <m/>
    <m/>
    <m/>
    <m/>
    <m/>
    <n v="11728.3068"/>
    <n v="-12.499343999999837"/>
    <m/>
    <m/>
    <m/>
    <m/>
    <n v="-2000.890020000001"/>
    <n v="1875.1055099999992"/>
    <n v="31"/>
    <n v="1470.5661255281557"/>
    <n v="0"/>
    <n v="0"/>
    <n v="0"/>
    <n v="0"/>
    <n v="0"/>
    <n v="0"/>
    <n v="0"/>
    <n v="200.07732134340404"/>
    <n v="0"/>
    <n v="0"/>
    <n v="1875.5508913288013"/>
    <n v="0"/>
    <n v="0"/>
    <n v="0"/>
    <n v="181.57246669858205"/>
    <n v="0"/>
    <n v="-691.72954903813661"/>
    <m/>
    <n v="0"/>
    <n v="0"/>
    <n v="0"/>
    <n v="0"/>
    <n v="-89.741004025374536"/>
    <n v="-5.1640007791143709"/>
    <n v="0"/>
    <n v="0"/>
    <m/>
    <m/>
    <m/>
    <n v="7381.6953111774756"/>
    <n v="0"/>
    <n v="0"/>
    <n v="-2000.8900200000026"/>
    <n v="1875.1055099999994"/>
    <n v="0"/>
    <n v="0"/>
    <n v="-1595.8826977369099"/>
    <n v="0"/>
    <n v="0"/>
    <n v="0"/>
    <n v="0"/>
    <n v="0"/>
    <n v="0"/>
    <n v="0"/>
    <n v="0"/>
    <n v="0"/>
    <n v="0"/>
    <n v="0"/>
    <n v="0"/>
    <n v="960.3769454791321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1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2.9249999999999998"/>
    <n v="2.9249999999999998"/>
    <n v="2.9249999999999998"/>
    <n v="2.9249999999999998"/>
    <m/>
    <n v="239.69"/>
    <n v="171.61"/>
    <m/>
    <n v="1203.0524999999998"/>
    <n v="1203.0524999999998"/>
    <n v="1198.6357499999999"/>
    <n v="0"/>
    <n v="176.83760049296151"/>
    <n v="0"/>
    <n v="0"/>
    <n v="0"/>
    <n v="156.00777960761047"/>
    <n v="259.19807427514814"/>
    <n v="483.71961602756022"/>
    <n v="18.238419068909597"/>
    <n v="0"/>
    <n v="0"/>
    <n v="0"/>
    <n v="0"/>
    <n v="27.343224023925799"/>
    <m/>
    <n v="1.15845106577220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828995298756801"/>
    <n v="0"/>
    <n v="0"/>
    <n v="0"/>
    <n v="0"/>
    <n v="0"/>
    <m/>
    <m/>
    <m/>
    <m/>
    <m/>
    <n v="169.06499999999994"/>
    <m/>
    <m/>
    <m/>
    <n v="530.54861132631697"/>
    <m/>
    <m/>
    <m/>
    <m/>
    <m/>
    <m/>
    <m/>
    <m/>
    <m/>
    <m/>
    <m/>
    <m/>
    <n v="1031.3307"/>
    <n v="0.64769999999998618"/>
    <m/>
    <m/>
    <m/>
    <m/>
    <n v="-70.258500000000026"/>
    <n v="65.841749999999976"/>
    <n v="31"/>
    <n v="51.636906125615155"/>
    <n v="0"/>
    <n v="0"/>
    <n v="0"/>
    <n v="0"/>
    <n v="0"/>
    <n v="0"/>
    <n v="0"/>
    <n v="7.0254398498152"/>
    <n v="0"/>
    <n v="0"/>
    <n v="65.857388952554572"/>
    <n v="0"/>
    <n v="0"/>
    <n v="0"/>
    <n v="6.3756673400481745"/>
    <n v="0"/>
    <n v="-24.289131354204017"/>
    <m/>
    <n v="0"/>
    <n v="0"/>
    <n v="0"/>
    <n v="0"/>
    <n v="-3.1511318804602624"/>
    <n v="-0.18132678213838405"/>
    <n v="0"/>
    <n v="0"/>
    <m/>
    <m/>
    <m/>
    <n v="259.19807427514814"/>
    <n v="0"/>
    <n v="0"/>
    <n v="-70.258500000000026"/>
    <n v="65.841749999999934"/>
    <n v="0"/>
    <n v="0"/>
    <n v="-56.037225133917502"/>
    <n v="0"/>
    <n v="0"/>
    <n v="0"/>
    <n v="0"/>
    <n v="0"/>
    <n v="0"/>
    <n v="0"/>
    <n v="0"/>
    <n v="0"/>
    <n v="0"/>
    <n v="0"/>
    <n v="0"/>
    <n v="33.72231504455482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2"/>
    <s v="Regular"/>
    <s v="Convencional"/>
    <s v="B1"/>
    <s v="Residencial"/>
    <s v="Residencial"/>
    <s v="Não se aplica"/>
    <s v="Não se aplica"/>
    <s v="Não se aplica"/>
    <s v="CATIVO"/>
    <x v="7"/>
    <n v="0"/>
    <n v="0"/>
    <n v="1261.605"/>
    <n v="1261.605"/>
    <n v="1261.605"/>
    <n v="1261.605"/>
    <m/>
    <n v="239.69"/>
    <n v="171.61"/>
    <m/>
    <n v="518898.13650000002"/>
    <n v="518898.13650000002"/>
    <n v="516993.11294999998"/>
    <n v="0"/>
    <n v="76273.231100828285"/>
    <n v="0"/>
    <n v="0"/>
    <n v="0"/>
    <n v="67288.955484396385"/>
    <n v="111796.78170799941"/>
    <n v="208636.95253964109"/>
    <n v="7866.5575006604086"/>
    <n v="0"/>
    <n v="0"/>
    <n v="0"/>
    <n v="0"/>
    <n v="11793.623297335012"/>
    <m/>
    <n v="499.6607373789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98.18619278225"/>
    <n v="0"/>
    <n v="0"/>
    <n v="0"/>
    <n v="149011.70000000001"/>
    <n v="4644"/>
    <m/>
    <m/>
    <m/>
    <m/>
    <m/>
    <m/>
    <m/>
    <m/>
    <m/>
    <n v="228835.13873242334"/>
    <m/>
    <m/>
    <m/>
    <m/>
    <m/>
    <m/>
    <m/>
    <m/>
    <m/>
    <m/>
    <m/>
    <m/>
    <n v="516995.16189999995"/>
    <n v="-1903.0046000001021"/>
    <m/>
    <m/>
    <m/>
    <m/>
    <n v="-30303.752100000012"/>
    <n v="28398.728549999989"/>
    <n v="30"/>
    <n v="22271.924428241618"/>
    <n v="0"/>
    <n v="0"/>
    <n v="0"/>
    <n v="0"/>
    <n v="0"/>
    <n v="0"/>
    <n v="0"/>
    <n v="3030.1983048636321"/>
    <n v="0"/>
    <n v="0"/>
    <n v="28405.473910935922"/>
    <n v="0"/>
    <n v="0"/>
    <n v="0"/>
    <n v="2749.9397588175998"/>
    <n v="0"/>
    <n v="-10476.338311836094"/>
    <m/>
    <n v="0"/>
    <n v="0"/>
    <n v="0"/>
    <n v="0"/>
    <n v="-1359.1397388198548"/>
    <n v="-78.209495719554241"/>
    <n v="0"/>
    <n v="0"/>
    <m/>
    <m/>
    <m/>
    <n v="111796.78170799941"/>
    <n v="0"/>
    <n v="0"/>
    <n v="-30303.752100000042"/>
    <n v="28398.72855"/>
    <n v="0"/>
    <n v="0"/>
    <n v="-24169.860996607167"/>
    <n v="0"/>
    <n v="0"/>
    <n v="0"/>
    <n v="0"/>
    <n v="0"/>
    <n v="0"/>
    <n v="0"/>
    <n v="0"/>
    <n v="0"/>
    <n v="0"/>
    <n v="0"/>
    <n v="0"/>
    <n v="14545.03975103780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3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92500000000000004"/>
    <n v="-0.92500000000000004"/>
    <n v="-0.92500000000000004"/>
    <n v="-0.92500000000000004"/>
    <m/>
    <n v="239.69"/>
    <n v="171.61"/>
    <m/>
    <n v="-380.45250000000004"/>
    <n v="-380.45250000000004"/>
    <n v="-379.05574999999999"/>
    <n v="0"/>
    <n v="-55.923001865295525"/>
    <n v="0"/>
    <n v="0"/>
    <n v="0"/>
    <n v="-49.335793551124688"/>
    <n v="-81.968621779320358"/>
    <n v="-152.97116062410026"/>
    <n v="-5.7677051756380786"/>
    <n v="0"/>
    <n v="0"/>
    <n v="0"/>
    <n v="0"/>
    <n v="-8.6470024691047414"/>
    <m/>
    <n v="-0.3663477729365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809169453453007"/>
    <n v="0"/>
    <n v="0"/>
    <n v="0"/>
    <n v="-154.69"/>
    <n v="0"/>
    <m/>
    <m/>
    <m/>
    <m/>
    <m/>
    <m/>
    <m/>
    <m/>
    <m/>
    <n v="-167.78033007755326"/>
    <m/>
    <m/>
    <m/>
    <m/>
    <m/>
    <m/>
    <m/>
    <m/>
    <m/>
    <m/>
    <m/>
    <m/>
    <n v="-381.10470000000004"/>
    <n v="-0.68219999999996617"/>
    <m/>
    <m/>
    <m/>
    <m/>
    <n v="22.218500000000009"/>
    <n v="-20.821749999999991"/>
    <n v="30"/>
    <n v="-16.329619885878287"/>
    <n v="0"/>
    <n v="0"/>
    <n v="0"/>
    <n v="0"/>
    <n v="0"/>
    <n v="0"/>
    <n v="0"/>
    <n v="-2.221720294386003"/>
    <n v="0"/>
    <n v="0"/>
    <n v="-20.826695651662533"/>
    <n v="0"/>
    <n v="0"/>
    <n v="0"/>
    <n v="-2.0162366801861769"/>
    <n v="0"/>
    <n v="7.6811782915004159"/>
    <m/>
    <n v="0"/>
    <n v="0"/>
    <n v="0"/>
    <n v="0"/>
    <n v="0.99651179125666545"/>
    <n v="5.7342657599318059E-2"/>
    <n v="0"/>
    <n v="0"/>
    <m/>
    <m/>
    <m/>
    <n v="-81.968621779320358"/>
    <n v="0"/>
    <n v="0"/>
    <n v="22.218500000000006"/>
    <n v="-20.82174999999998"/>
    <n v="0"/>
    <n v="0"/>
    <n v="17.721173760298697"/>
    <n v="0"/>
    <n v="0"/>
    <n v="0"/>
    <n v="0"/>
    <n v="0"/>
    <n v="0"/>
    <n v="0"/>
    <n v="0"/>
    <n v="0"/>
    <n v="0"/>
    <n v="0"/>
    <n v="0"/>
    <n v="-10.66432185169682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4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3.1389999999999998"/>
    <n v="3.1389999999999998"/>
    <n v="3.1389999999999998"/>
    <n v="3.1389999999999998"/>
    <m/>
    <n v="239.69"/>
    <n v="171.61"/>
    <m/>
    <n v="1291.0707"/>
    <n v="1291.0707"/>
    <n v="1286.3308099999999"/>
    <n v="0"/>
    <n v="189.77546254612176"/>
    <n v="0"/>
    <n v="0"/>
    <n v="0"/>
    <n v="167.42168211565445"/>
    <n v="278.16162569220171"/>
    <n v="519.1097007557305"/>
    <n v="19.572785455489651"/>
    <n v="0"/>
    <n v="0"/>
    <n v="0"/>
    <n v="0"/>
    <n v="29.343719730291653"/>
    <m/>
    <n v="1.2432061181056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255116664204309"/>
    <n v="0"/>
    <n v="0"/>
    <n v="0"/>
    <n v="879.98"/>
    <n v="17"/>
    <m/>
    <m/>
    <m/>
    <m/>
    <m/>
    <m/>
    <m/>
    <m/>
    <m/>
    <n v="569.36481741993475"/>
    <m/>
    <m/>
    <m/>
    <m/>
    <m/>
    <m/>
    <m/>
    <m/>
    <m/>
    <m/>
    <m/>
    <m/>
    <n v="1286.7406000000001"/>
    <n v="-4.3600999999998749"/>
    <m/>
    <m/>
    <m/>
    <m/>
    <n v="-75.398780000000031"/>
    <n v="70.658889999999971"/>
    <n v="30"/>
    <n v="55.414785753266983"/>
    <n v="0"/>
    <n v="0"/>
    <n v="0"/>
    <n v="0"/>
    <n v="0"/>
    <n v="0"/>
    <n v="0"/>
    <n v="7.5394378422461443"/>
    <n v="0"/>
    <n v="0"/>
    <n v="70.675673135749889"/>
    <n v="0"/>
    <n v="0"/>
    <n v="0"/>
    <n v="6.8421264206534076"/>
    <n v="0"/>
    <n v="-26.066182331913296"/>
    <m/>
    <n v="0"/>
    <n v="0"/>
    <n v="0"/>
    <n v="0"/>
    <n v="-3.3816762300050485"/>
    <n v="-0.19459308346406412"/>
    <n v="0"/>
    <n v="0"/>
    <m/>
    <m/>
    <m/>
    <n v="278.16162569220171"/>
    <n v="0"/>
    <n v="0"/>
    <n v="-75.398779999999988"/>
    <n v="70.658889999999928"/>
    <n v="0"/>
    <n v="0"/>
    <n v="-60.137042630894712"/>
    <n v="0"/>
    <n v="0"/>
    <n v="0"/>
    <n v="0"/>
    <n v="0"/>
    <n v="0"/>
    <n v="0"/>
    <n v="0"/>
    <n v="0"/>
    <n v="0"/>
    <n v="0"/>
    <n v="0"/>
    <n v="36.18952031619063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5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10.86"/>
    <n v="10.86"/>
    <n v="10.86"/>
    <n v="10.86"/>
    <m/>
    <n v="158.36000000000001"/>
    <n v="171.61"/>
    <m/>
    <n v="3583.4742000000001"/>
    <n v="3583.4742000000001"/>
    <n v="3668.9423999999999"/>
    <n v="0"/>
    <n v="0"/>
    <n v="0"/>
    <n v="0"/>
    <n v="0"/>
    <n v="579.22888428671786"/>
    <n v="962.35592705234478"/>
    <n v="1795.9641128407877"/>
    <n v="67.71597644046436"/>
    <n v="0"/>
    <n v="0"/>
    <n v="0"/>
    <n v="0"/>
    <n v="0"/>
    <m/>
    <n v="4.3011208800978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.86765433999963"/>
    <n v="0"/>
    <n v="0"/>
    <n v="0"/>
    <n v="173.76"/>
    <n v="2"/>
    <m/>
    <m/>
    <m/>
    <m/>
    <m/>
    <m/>
    <m/>
    <n v="2384.8560000000002"/>
    <m/>
    <n v="1969.8317671807874"/>
    <m/>
    <m/>
    <m/>
    <m/>
    <m/>
    <m/>
    <m/>
    <m/>
    <m/>
    <m/>
    <m/>
    <m/>
    <n v="1284.0863999999999"/>
    <n v="29.94360000000006"/>
    <m/>
    <m/>
    <m/>
    <m/>
    <n v="-158.99040000000016"/>
    <n v="244.45859999999988"/>
    <n v="30"/>
    <n v="293.59933649662707"/>
    <n v="0"/>
    <n v="0"/>
    <n v="0"/>
    <n v="0"/>
    <n v="0"/>
    <n v="0"/>
    <n v="0"/>
    <n v="26.084197185980543"/>
    <n v="0"/>
    <n v="0"/>
    <n v="244.51666462384355"/>
    <n v="0"/>
    <n v="0"/>
    <n v="0"/>
    <n v="23.671708483050651"/>
    <n v="0"/>
    <n v="0"/>
    <m/>
    <n v="0"/>
    <n v="0"/>
    <n v="0"/>
    <n v="0"/>
    <n v="0"/>
    <n v="-0.67323379624712887"/>
    <n v="0"/>
    <n v="0"/>
    <m/>
    <m/>
    <m/>
    <n v="962.35592705234478"/>
    <n v="0"/>
    <n v="0"/>
    <n v="-158.99040000000014"/>
    <n v="244.45859999999993"/>
    <n v="0"/>
    <n v="0"/>
    <n v="-208.0561589587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6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24.44"/>
    <n v="24.44"/>
    <n v="24.44"/>
    <n v="24.44"/>
    <m/>
    <n v="158.36000000000001"/>
    <n v="171.61"/>
    <m/>
    <n v="8064.466800000002"/>
    <n v="8064.466800000002"/>
    <n v="8256.8096000000005"/>
    <n v="0"/>
    <n v="0"/>
    <n v="0"/>
    <n v="0"/>
    <n v="0"/>
    <n v="1303.5316696102566"/>
    <n v="2165.7439094990154"/>
    <n v="4041.7461250302817"/>
    <n v="152.392123775778"/>
    <n v="0"/>
    <n v="0"/>
    <n v="0"/>
    <n v="0"/>
    <n v="0"/>
    <m/>
    <n v="9.6795022384521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1.28227182961245"/>
    <n v="0"/>
    <n v="0"/>
    <n v="0"/>
    <n v="669.71"/>
    <n v="31"/>
    <m/>
    <m/>
    <m/>
    <m/>
    <m/>
    <m/>
    <m/>
    <n v="3302.8216000000002"/>
    <m/>
    <n v="4433.0283968598942"/>
    <m/>
    <m/>
    <m/>
    <m/>
    <m/>
    <m/>
    <m/>
    <m/>
    <m/>
    <m/>
    <m/>
    <m/>
    <n v="4953.9880000000003"/>
    <n v="115.32679999999982"/>
    <m/>
    <m/>
    <m/>
    <m/>
    <n v="-357.80160000000041"/>
    <n v="550.14439999999979"/>
    <n v="30"/>
    <n v="660.73368176589065"/>
    <n v="0"/>
    <n v="0"/>
    <n v="0"/>
    <n v="0"/>
    <n v="0"/>
    <n v="0"/>
    <n v="0"/>
    <n v="58.701452967344721"/>
    <n v="0"/>
    <n v="0"/>
    <n v="550.27507213689978"/>
    <n v="0"/>
    <n v="0"/>
    <n v="0"/>
    <n v="53.272242663513623"/>
    <n v="0"/>
    <n v="0"/>
    <m/>
    <n v="0"/>
    <n v="0"/>
    <n v="0"/>
    <n v="0"/>
    <n v="0"/>
    <n v="-1.5150860018673882"/>
    <n v="0"/>
    <n v="0"/>
    <m/>
    <m/>
    <m/>
    <n v="2165.7439094990154"/>
    <n v="0"/>
    <n v="0"/>
    <n v="-357.80160000000024"/>
    <n v="550.14439999999922"/>
    <n v="0"/>
    <n v="0"/>
    <n v="-468.2221477856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7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32.027999999999999"/>
    <n v="32.027999999999999"/>
    <n v="32.027999999999999"/>
    <n v="32.027999999999999"/>
    <m/>
    <n v="158.36000000000001"/>
    <n v="171.61"/>
    <m/>
    <n v="10568.279160000002"/>
    <n v="10568.279160000002"/>
    <n v="10820.33952"/>
    <n v="0"/>
    <n v="0"/>
    <n v="0"/>
    <n v="0"/>
    <n v="0"/>
    <n v="1708.2451847085636"/>
    <n v="2838.1524522681862"/>
    <n v="5296.6057648310089"/>
    <n v="199.70601228685013"/>
    <n v="0"/>
    <n v="0"/>
    <n v="0"/>
    <n v="0"/>
    <n v="0"/>
    <m/>
    <n v="12.684742131470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2.76549108669508"/>
    <n v="0"/>
    <n v="0"/>
    <n v="0"/>
    <n v="2350.87"/>
    <n v="126"/>
    <m/>
    <m/>
    <m/>
    <m/>
    <m/>
    <m/>
    <m/>
    <n v="1081.9058399999999"/>
    <m/>
    <n v="5809.3712559177038"/>
    <m/>
    <m/>
    <m/>
    <m/>
    <m/>
    <m/>
    <m/>
    <m/>
    <m/>
    <m/>
    <m/>
    <m/>
    <n v="9739.0418000000009"/>
    <n v="227.65664000000106"/>
    <m/>
    <m/>
    <m/>
    <m/>
    <n v="-468.88992000000047"/>
    <n v="720.95027999999968"/>
    <n v="30"/>
    <n v="865.87472829778926"/>
    <n v="0"/>
    <n v="0"/>
    <n v="0"/>
    <n v="0"/>
    <n v="0"/>
    <n v="0"/>
    <n v="0"/>
    <n v="76.926764960643141"/>
    <n v="0"/>
    <n v="0"/>
    <n v="721.12152252048418"/>
    <n v="0"/>
    <n v="0"/>
    <n v="0"/>
    <n v="69.81192258703004"/>
    <n v="0"/>
    <n v="0"/>
    <m/>
    <n v="0"/>
    <n v="0"/>
    <n v="0"/>
    <n v="0"/>
    <n v="0"/>
    <n v="-1.9854817703686045"/>
    <n v="0"/>
    <n v="0"/>
    <m/>
    <m/>
    <m/>
    <n v="2838.1524522681862"/>
    <n v="0"/>
    <n v="0"/>
    <n v="-468.88992000000053"/>
    <n v="720.95027999999911"/>
    <n v="0"/>
    <n v="0"/>
    <n v="-613.59324669713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8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27.399000000000001"/>
    <n v="27.399000000000001"/>
    <n v="27.399000000000001"/>
    <n v="27.399000000000001"/>
    <m/>
    <n v="158.36000000000001"/>
    <n v="171.61"/>
    <m/>
    <n v="9040.848030000001"/>
    <n v="9040.848030000001"/>
    <n v="9256.4781600000006"/>
    <n v="0"/>
    <n v="0"/>
    <n v="0"/>
    <n v="0"/>
    <n v="0"/>
    <n v="1461.3528729808274"/>
    <n v="2427.9548844665928"/>
    <n v="4531.0884647997009"/>
    <n v="170.84254498087321"/>
    <n v="0"/>
    <n v="0"/>
    <n v="0"/>
    <n v="0"/>
    <n v="0"/>
    <m/>
    <n v="10.851419060202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8.6556041677394"/>
    <n v="0"/>
    <n v="0"/>
    <n v="0"/>
    <n v="3084.47"/>
    <n v="200"/>
    <m/>
    <m/>
    <m/>
    <m/>
    <m/>
    <m/>
    <m/>
    <m/>
    <m/>
    <n v="4969.7440689674404"/>
    <m/>
    <m/>
    <m/>
    <m/>
    <m/>
    <m/>
    <m/>
    <m/>
    <m/>
    <m/>
    <m/>
    <m/>
    <n v="9256.8159999999989"/>
    <n v="215.93796999999722"/>
    <m/>
    <m/>
    <m/>
    <m/>
    <n v="-401.12136000000044"/>
    <n v="616.75148999999976"/>
    <n v="30"/>
    <n v="740.7300387358282"/>
    <n v="0"/>
    <n v="0"/>
    <n v="0"/>
    <n v="0"/>
    <n v="0"/>
    <n v="0"/>
    <n v="0"/>
    <n v="65.808556049602203"/>
    <n v="0"/>
    <n v="0"/>
    <n v="616.89798287556914"/>
    <n v="0"/>
    <n v="0"/>
    <n v="0"/>
    <n v="59.722020324779464"/>
    <n v="0"/>
    <n v="0"/>
    <m/>
    <n v="0"/>
    <n v="0"/>
    <n v="0"/>
    <n v="0"/>
    <n v="0"/>
    <n v="-1.6985205141229365"/>
    <n v="0"/>
    <n v="0"/>
    <m/>
    <m/>
    <m/>
    <n v="2427.9548844665928"/>
    <n v="0"/>
    <n v="0"/>
    <n v="-401.12136000000055"/>
    <n v="616.75149000000056"/>
    <n v="0"/>
    <n v="0"/>
    <n v="-524.91074579289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39"/>
    <s v="Regular"/>
    <s v="Convencional"/>
    <s v="B3"/>
    <s v="Industrial"/>
    <s v="Não se aplica"/>
    <s v="Não se aplica"/>
    <s v="Não se aplica"/>
    <s v="Não se aplica"/>
    <s v="CATIVO"/>
    <x v="7"/>
    <n v="0"/>
    <n v="0"/>
    <n v="210.76400000000001"/>
    <n v="210.76400000000001"/>
    <n v="210.76400000000001"/>
    <n v="210.76400000000001"/>
    <m/>
    <n v="239.69"/>
    <n v="171.61"/>
    <m/>
    <n v="86687.233200000017"/>
    <n v="86687.233200000017"/>
    <n v="86368.979560000007"/>
    <n v="0"/>
    <n v="12742.222232580698"/>
    <n v="0"/>
    <n v="0"/>
    <n v="0"/>
    <n v="11241.307234604588"/>
    <n v="18676.794162915325"/>
    <n v="34854.933727327421"/>
    <n v="1314.1887715007394"/>
    <n v="0"/>
    <n v="0"/>
    <n v="0"/>
    <n v="0"/>
    <n v="1970.2452198901533"/>
    <m/>
    <n v="83.473429205611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74.3132872298052"/>
    <n v="0"/>
    <n v="0"/>
    <n v="0"/>
    <n v="35364.379999999997"/>
    <n v="79"/>
    <m/>
    <m/>
    <m/>
    <m/>
    <m/>
    <m/>
    <m/>
    <m/>
    <m/>
    <n v="38229.24701455723"/>
    <m/>
    <m/>
    <m/>
    <m/>
    <m/>
    <m/>
    <m/>
    <m/>
    <m/>
    <m/>
    <m/>
    <m/>
    <n v="86367.340400000001"/>
    <n v="-319.92280000000028"/>
    <m/>
    <m/>
    <m/>
    <m/>
    <n v="-5062.5512800000024"/>
    <n v="4744.297639999998"/>
    <n v="30"/>
    <n v="3720.7524385159486"/>
    <n v="0"/>
    <n v="0"/>
    <n v="0"/>
    <n v="0"/>
    <n v="0"/>
    <n v="0"/>
    <n v="0"/>
    <n v="506.22557419023906"/>
    <n v="0"/>
    <n v="0"/>
    <n v="4745.424521434601"/>
    <n v="0"/>
    <n v="0"/>
    <n v="0"/>
    <n v="459.40552179757742"/>
    <n v="0"/>
    <n v="-1750.1793096538295"/>
    <m/>
    <n v="0"/>
    <n v="0"/>
    <n v="0"/>
    <n v="0"/>
    <n v="-227.05817424045404"/>
    <n v="-13.065695012175851"/>
    <n v="0"/>
    <n v="0"/>
    <m/>
    <m/>
    <m/>
    <n v="18676.794162915325"/>
    <n v="0"/>
    <n v="0"/>
    <n v="-5062.551280000007"/>
    <n v="4744.297639999997"/>
    <n v="0"/>
    <n v="0"/>
    <n v="-4037.8221258546964"/>
    <n v="0"/>
    <n v="0"/>
    <n v="0"/>
    <n v="0"/>
    <n v="0"/>
    <n v="0"/>
    <n v="0"/>
    <n v="0"/>
    <n v="0"/>
    <n v="0"/>
    <n v="0"/>
    <n v="0"/>
    <n v="2429.897438649761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40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5.7160000000000002"/>
    <n v="5.7160000000000002"/>
    <n v="5.7160000000000002"/>
    <n v="5.7160000000000002"/>
    <m/>
    <n v="239.69"/>
    <n v="171.61"/>
    <m/>
    <n v="2350.9908000000005"/>
    <n v="2350.9908000000005"/>
    <n v="2342.3596400000001"/>
    <n v="0"/>
    <n v="345.57392287786945"/>
    <n v="0"/>
    <n v="0"/>
    <n v="0"/>
    <n v="304.86853614943647"/>
    <n v="506.52177523307586"/>
    <n v="945.27908554308874"/>
    <n v="35.64130030697001"/>
    <n v="0"/>
    <n v="0"/>
    <n v="0"/>
    <n v="0"/>
    <n v="53.433801203678598"/>
    <m/>
    <n v="2.2638312109244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512662265878262"/>
    <n v="0"/>
    <n v="0"/>
    <n v="0"/>
    <n v="1054.07"/>
    <n v="5"/>
    <m/>
    <m/>
    <m/>
    <m/>
    <m/>
    <m/>
    <m/>
    <m/>
    <m/>
    <n v="1036.7917478089671"/>
    <m/>
    <m/>
    <m/>
    <m/>
    <m/>
    <m/>
    <m/>
    <m/>
    <m/>
    <m/>
    <m/>
    <m/>
    <n v="2343.9987999999998"/>
    <n v="-7.0220000000003893"/>
    <m/>
    <m/>
    <m/>
    <m/>
    <n v="-137.29832000000007"/>
    <n v="128.66715999999994"/>
    <n v="30"/>
    <n v="100.90822407316796"/>
    <n v="0"/>
    <n v="0"/>
    <n v="0"/>
    <n v="0"/>
    <n v="0"/>
    <n v="0"/>
    <n v="0"/>
    <n v="13.72903048941663"/>
    <n v="0"/>
    <n v="0"/>
    <n v="128.69772145394927"/>
    <n v="0"/>
    <n v="0"/>
    <n v="0"/>
    <n v="12.459252825885599"/>
    <n v="0"/>
    <n v="-47.465529853206931"/>
    <m/>
    <n v="0"/>
    <n v="0"/>
    <n v="0"/>
    <n v="0"/>
    <n v="-6.1579042149438905"/>
    <n v="-0.35434662793265082"/>
    <n v="0"/>
    <n v="0"/>
    <m/>
    <m/>
    <m/>
    <n v="506.52177523307586"/>
    <n v="0"/>
    <n v="0"/>
    <n v="-137.2983200000001"/>
    <n v="128.66715999999997"/>
    <n v="0"/>
    <n v="0"/>
    <n v="-109.50727482580254"/>
    <n v="0"/>
    <n v="0"/>
    <n v="0"/>
    <n v="0"/>
    <n v="0"/>
    <n v="0"/>
    <n v="0"/>
    <n v="0"/>
    <n v="0"/>
    <n v="0"/>
    <n v="0"/>
    <n v="0"/>
    <n v="65.8997445451881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41"/>
    <s v="Regular"/>
    <s v="Azul"/>
    <s v="A4"/>
    <s v="Industrial"/>
    <s v="Não se aplica"/>
    <s v="Não se aplica"/>
    <s v="Não se aplica"/>
    <s v="Ponta"/>
    <s v="CATIVO"/>
    <x v="7"/>
    <n v="19275"/>
    <n v="19275"/>
    <n v="806.50800000000004"/>
    <n v="806.50800000000004"/>
    <n v="806.50800000000004"/>
    <n v="806.50800000000004"/>
    <n v="37.64"/>
    <n v="78.42"/>
    <n v="171.61"/>
    <n v="725511"/>
    <n v="201651.19524"/>
    <n v="927162.19524000003"/>
    <n v="864673.63032000011"/>
    <n v="0"/>
    <n v="42420.587132850713"/>
    <n v="0"/>
    <n v="0"/>
    <n v="0"/>
    <n v="315032.82153451984"/>
    <n v="410412.54103622196"/>
    <n v="133375.63763526687"/>
    <n v="5028.8652603173141"/>
    <n v="0"/>
    <n v="0"/>
    <n v="0"/>
    <n v="0"/>
    <n v="7539.3261268678125"/>
    <m/>
    <n v="212.966885464554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85.2588393764499"/>
    <n v="0"/>
    <n v="0"/>
    <n v="0"/>
    <n v="0"/>
    <n v="0"/>
    <m/>
    <m/>
    <m/>
    <m/>
    <m/>
    <m/>
    <m/>
    <m/>
    <m/>
    <n v="138360.89647464332"/>
    <m/>
    <m/>
    <m/>
    <m/>
    <m/>
    <m/>
    <m/>
    <m/>
    <m/>
    <m/>
    <m/>
    <m/>
    <n v="864674.16040000017"/>
    <n v="-62488.06483999989"/>
    <m/>
    <m/>
    <m/>
    <m/>
    <n v="-80643.059999999954"/>
    <n v="18154.495079999993"/>
    <n v="30"/>
    <n v="26295.516142649692"/>
    <n v="0"/>
    <n v="0"/>
    <n v="0"/>
    <n v="0"/>
    <n v="0"/>
    <n v="0"/>
    <n v="0"/>
    <n v="14186.75494244619"/>
    <n v="0"/>
    <n v="0"/>
    <n v="18158.807196357899"/>
    <n v="0"/>
    <n v="0"/>
    <n v="0"/>
    <n v="678.73230593828339"/>
    <n v="0"/>
    <n v="-5826.5844487822542"/>
    <m/>
    <n v="0"/>
    <n v="0"/>
    <n v="0"/>
    <n v="0"/>
    <n v="-868.85916945170811"/>
    <n v="-33.33468385872709"/>
    <n v="0"/>
    <n v="0"/>
    <m/>
    <m/>
    <n v="410412.54103622196"/>
    <n v="0"/>
    <n v="0"/>
    <n v="0"/>
    <n v="-80643.059999999939"/>
    <n v="18154.495079999993"/>
    <n v="0"/>
    <n v="0"/>
    <n v="-88728.976957660401"/>
    <n v="0"/>
    <n v="0"/>
    <n v="0"/>
    <n v="0"/>
    <n v="0"/>
    <n v="0"/>
    <n v="0"/>
    <n v="0"/>
    <n v="0"/>
    <n v="0"/>
    <n v="0"/>
    <n v="0"/>
    <n v="8089.458348683677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42"/>
    <s v="Sistema de Compensação"/>
    <s v="Azul"/>
    <s v="A4"/>
    <s v="Industrial"/>
    <s v="Não se aplica"/>
    <s v="Não se aplica"/>
    <s v="Não se aplica"/>
    <s v="Ponta"/>
    <s v="CATIVO"/>
    <x v="7"/>
    <n v="1580"/>
    <n v="1580"/>
    <n v="72.503"/>
    <n v="72.503"/>
    <n v="72.503"/>
    <n v="72.503"/>
    <n v="37.64"/>
    <n v="78.42"/>
    <n v="171.61"/>
    <n v="59471.200000000004"/>
    <n v="18127.925090000001"/>
    <n v="77599.125090000001"/>
    <n v="72572.79512000001"/>
    <n v="0"/>
    <n v="3813.5019477712249"/>
    <n v="0"/>
    <n v="0"/>
    <n v="0"/>
    <n v="25823.70210244054"/>
    <n v="33642.117501283043"/>
    <n v="11990.127631058531"/>
    <n v="452.08208470193256"/>
    <n v="0"/>
    <n v="0"/>
    <n v="0"/>
    <n v="0"/>
    <n v="677.76607569459566"/>
    <m/>
    <n v="19.145176609328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8.16197933723004"/>
    <n v="0"/>
    <n v="0"/>
    <n v="0"/>
    <n v="0"/>
    <n v="0"/>
    <m/>
    <m/>
    <m/>
    <m/>
    <m/>
    <m/>
    <m/>
    <m/>
    <m/>
    <n v="12438.289610395761"/>
    <m/>
    <m/>
    <m/>
    <m/>
    <m/>
    <m/>
    <m/>
    <m/>
    <m/>
    <m/>
    <m/>
    <m/>
    <n v="72572"/>
    <n v="-5027.1550900000002"/>
    <m/>
    <m/>
    <m/>
    <m/>
    <n v="-6658.3724999999959"/>
    <n v="1632.0425299999993"/>
    <n v="30"/>
    <n v="2251.4556604666359"/>
    <n v="0"/>
    <n v="0"/>
    <n v="0"/>
    <n v="0"/>
    <n v="0"/>
    <n v="0"/>
    <n v="0"/>
    <n v="1162.909095152525"/>
    <n v="0"/>
    <n v="0"/>
    <n v="1632.4301781972863"/>
    <n v="0"/>
    <n v="0"/>
    <n v="0"/>
    <n v="61.016292928828193"/>
    <n v="0"/>
    <n v="-523.7949930937566"/>
    <m/>
    <n v="0"/>
    <n v="0"/>
    <n v="0"/>
    <n v="0"/>
    <n v="-78.108210163764284"/>
    <n v="-2.9967025544809083"/>
    <n v="0"/>
    <n v="0"/>
    <m/>
    <m/>
    <n v="33642.117501283043"/>
    <n v="0"/>
    <n v="0"/>
    <n v="0"/>
    <n v="-6658.3724999999977"/>
    <n v="1632.0425300000006"/>
    <n v="0"/>
    <n v="0"/>
    <n v="-7273.2442849859071"/>
    <n v="0"/>
    <n v="0"/>
    <n v="0"/>
    <n v="0"/>
    <n v="0"/>
    <n v="0"/>
    <n v="0"/>
    <n v="0"/>
    <n v="0"/>
    <n v="0"/>
    <n v="0"/>
    <n v="0"/>
    <n v="727.2215510008736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43"/>
    <s v="Regular"/>
    <s v="Azul"/>
    <s v="A4"/>
    <s v="Industrial"/>
    <s v="Não se aplica"/>
    <s v="Não se aplica"/>
    <s v="Não se aplica"/>
    <s v="Fora ponta"/>
    <s v="CATIVO"/>
    <x v="7"/>
    <n v="21271"/>
    <n v="21271"/>
    <n v="7665.6679999999997"/>
    <n v="7665.6679999999997"/>
    <n v="7665.6679999999997"/>
    <n v="7665.6679999999997"/>
    <n v="12.58"/>
    <n v="78.42"/>
    <n v="171.61"/>
    <n v="267589.18"/>
    <n v="1916646.97004"/>
    <n v="2184236.1500399997"/>
    <n v="2278239.5367199997"/>
    <n v="0"/>
    <n v="403197.65870333015"/>
    <n v="0"/>
    <n v="0"/>
    <n v="0"/>
    <n v="140972.26395581712"/>
    <n v="126556.26067945804"/>
    <n v="1267703.9253178651"/>
    <n v="47798.176214403451"/>
    <n v="0"/>
    <n v="0"/>
    <n v="0"/>
    <n v="0"/>
    <n v="71659.513646851032"/>
    <m/>
    <n v="2024.1999322577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383.707485511848"/>
    <n v="0"/>
    <n v="0"/>
    <n v="0"/>
    <n v="0"/>
    <n v="0"/>
    <m/>
    <m/>
    <m/>
    <m/>
    <m/>
    <m/>
    <m/>
    <m/>
    <m/>
    <n v="1315087.632803377"/>
    <m/>
    <m/>
    <m/>
    <m/>
    <m/>
    <m/>
    <m/>
    <m/>
    <m/>
    <m/>
    <m/>
    <m/>
    <n v="2278240.0668000001"/>
    <n v="94003.886760000139"/>
    <m/>
    <m/>
    <m/>
    <m/>
    <n v="-78550.8"/>
    <n v="172554.18667999993"/>
    <n v="30"/>
    <n v="121439.26558626094"/>
    <n v="0"/>
    <n v="0"/>
    <n v="0"/>
    <n v="0"/>
    <n v="0"/>
    <n v="0"/>
    <n v="0"/>
    <n v="6348.3511104694917"/>
    <n v="0"/>
    <n v="0"/>
    <n v="172595.17232723115"/>
    <n v="0"/>
    <n v="0"/>
    <n v="0"/>
    <n v="6451.1902153448027"/>
    <n v="0"/>
    <n v="-55380.308637146431"/>
    <m/>
    <n v="0"/>
    <n v="0"/>
    <n v="0"/>
    <n v="0"/>
    <n v="-8258.3011349825974"/>
    <n v="-316.83829465542908"/>
    <n v="0"/>
    <n v="0"/>
    <m/>
    <m/>
    <n v="126556.26067945804"/>
    <n v="0"/>
    <n v="0"/>
    <n v="0"/>
    <n v="-78550.79999999993"/>
    <n v="172554.18667999981"/>
    <n v="0"/>
    <n v="0"/>
    <n v="-27360.78071426283"/>
    <n v="0"/>
    <n v="0"/>
    <n v="0"/>
    <n v="0"/>
    <n v="0"/>
    <n v="0"/>
    <n v="0"/>
    <n v="0"/>
    <n v="0"/>
    <n v="0"/>
    <n v="0"/>
    <n v="0"/>
    <n v="76888.39044477835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44"/>
    <s v="Sistema de Compensação"/>
    <s v="Azul"/>
    <s v="A4"/>
    <s v="Industrial"/>
    <s v="Não se aplica"/>
    <s v="Não se aplica"/>
    <s v="Não se aplica"/>
    <s v="Fora ponta"/>
    <s v="CATIVO"/>
    <x v="7"/>
    <n v="2004"/>
    <n v="2004"/>
    <n v="711.65099999999995"/>
    <n v="711.65099999999995"/>
    <n v="711.65099999999995"/>
    <n v="711.65099999999995"/>
    <n v="12.58"/>
    <n v="78.42"/>
    <n v="171.61"/>
    <n v="25210.32"/>
    <n v="177934.09953000001"/>
    <n v="203144.41953000001"/>
    <n v="211842.34104"/>
    <n v="0"/>
    <n v="37431.312837170044"/>
    <n v="0"/>
    <n v="0"/>
    <n v="0"/>
    <n v="13281.388602673005"/>
    <n v="11923.216886918053"/>
    <n v="117688.73451816385"/>
    <n v="4437.398006430285"/>
    <n v="0"/>
    <n v="0"/>
    <n v="0"/>
    <n v="0"/>
    <n v="6652.5923828549812"/>
    <m/>
    <n v="187.91890100003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98.9203309838085"/>
    <n v="0"/>
    <n v="0"/>
    <n v="0"/>
    <n v="0"/>
    <n v="0"/>
    <m/>
    <m/>
    <m/>
    <m/>
    <m/>
    <m/>
    <m/>
    <m/>
    <m/>
    <n v="122087.65484914766"/>
    <m/>
    <m/>
    <m/>
    <m/>
    <m/>
    <m/>
    <m/>
    <m/>
    <m/>
    <m/>
    <m/>
    <m/>
    <n v="211842.076"/>
    <n v="8697.6264699999883"/>
    <m/>
    <m/>
    <m/>
    <m/>
    <n v="-7321.3425000000007"/>
    <n v="16019.264009999992"/>
    <n v="30"/>
    <n v="11282.691627584514"/>
    <n v="0"/>
    <n v="0"/>
    <n v="0"/>
    <n v="0"/>
    <n v="0"/>
    <n v="0"/>
    <n v="0"/>
    <n v="598.0957935866154"/>
    <n v="0"/>
    <n v="0"/>
    <n v="16023.068959136537"/>
    <n v="0"/>
    <n v="0"/>
    <n v="0"/>
    <n v="598.90357473612858"/>
    <n v="0"/>
    <n v="-5141.2938861862967"/>
    <m/>
    <n v="0"/>
    <n v="0"/>
    <n v="0"/>
    <n v="0"/>
    <n v="-766.66877055091572"/>
    <n v="-29.414043137510077"/>
    <n v="0"/>
    <n v="0"/>
    <m/>
    <m/>
    <n v="11923.216886918053"/>
    <n v="0"/>
    <n v="0"/>
    <n v="0"/>
    <n v="-7321.3424999999988"/>
    <n v="16019.264009999984"/>
    <n v="0"/>
    <n v="0"/>
    <n v="-2577.7351582616102"/>
    <n v="0"/>
    <n v="0"/>
    <n v="0"/>
    <n v="0"/>
    <n v="0"/>
    <n v="0"/>
    <n v="0"/>
    <n v="0"/>
    <n v="0"/>
    <n v="0"/>
    <n v="0"/>
    <n v="0"/>
    <n v="7138.02110245538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45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38114.97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46"/>
    <s v="Sistema de Compensação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3211.8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47"/>
    <s v="Regular"/>
    <s v="Verde"/>
    <s v="A4"/>
    <s v="Industrial"/>
    <s v="Não se aplica"/>
    <s v="Não se aplica"/>
    <s v="Não se aplica"/>
    <s v="Ponta"/>
    <s v="CATIVO"/>
    <x v="7"/>
    <n v="0"/>
    <n v="0"/>
    <n v="151.846"/>
    <n v="151.846"/>
    <n v="151.846"/>
    <n v="151.846"/>
    <m/>
    <n v="984.21"/>
    <n v="171.61"/>
    <m/>
    <n v="175506.64372000002"/>
    <n v="175506.64372000002"/>
    <n v="163667.21110000001"/>
    <n v="0"/>
    <n v="7986.773192299207"/>
    <n v="0"/>
    <n v="0"/>
    <n v="0"/>
    <n v="59783.086006305173"/>
    <n v="77757.621716223104"/>
    <n v="25111.414979596895"/>
    <n v="946.81401091885368"/>
    <n v="0"/>
    <n v="0"/>
    <n v="0"/>
    <n v="0"/>
    <n v="1419.4732291066796"/>
    <m/>
    <n v="40.096526866752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8.60397382785584"/>
    <n v="0"/>
    <n v="0"/>
    <n v="0"/>
    <n v="0"/>
    <n v="0"/>
    <m/>
    <m/>
    <m/>
    <m/>
    <m/>
    <m/>
    <m/>
    <m/>
    <m/>
    <n v="26050.018953424751"/>
    <m/>
    <m/>
    <m/>
    <m/>
    <m/>
    <m/>
    <m/>
    <m/>
    <m/>
    <m/>
    <m/>
    <m/>
    <n v="163671.52249999999"/>
    <n v="-11835.151220000058"/>
    <m/>
    <m/>
    <m/>
    <m/>
    <n v="-15257.486080000002"/>
    <n v="3418.0534599999987"/>
    <n v="30"/>
    <n v="4971.9769179257564"/>
    <n v="0"/>
    <n v="0"/>
    <n v="0"/>
    <n v="0"/>
    <n v="0"/>
    <n v="0"/>
    <n v="0"/>
    <n v="2692.1892987005194"/>
    <n v="0"/>
    <n v="0"/>
    <n v="3418.8653274836215"/>
    <n v="0"/>
    <n v="0"/>
    <n v="0"/>
    <n v="127.78891930086809"/>
    <n v="0"/>
    <n v="-1097.0052897302812"/>
    <m/>
    <n v="0"/>
    <n v="0"/>
    <n v="0"/>
    <n v="0"/>
    <n v="-163.58522103260498"/>
    <n v="-6.2761167963768187"/>
    <n v="0"/>
    <n v="0"/>
    <m/>
    <m/>
    <m/>
    <n v="77757.621716223104"/>
    <n v="0"/>
    <n v="0"/>
    <n v="-15257.486080000002"/>
    <n v="3418.0534599999992"/>
    <n v="0"/>
    <n v="0"/>
    <n v="-16810.778267451657"/>
    <n v="0"/>
    <n v="0"/>
    <n v="0"/>
    <n v="0"/>
    <n v="0"/>
    <n v="0"/>
    <n v="0"/>
    <n v="0"/>
    <n v="0"/>
    <n v="0"/>
    <n v="0"/>
    <n v="0"/>
    <n v="1523.049854947776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48"/>
    <s v="Sistema de Compensação"/>
    <s v="Verde"/>
    <s v="A4"/>
    <s v="Industrial"/>
    <s v="Não se aplica"/>
    <s v="Não se aplica"/>
    <s v="Não se aplica"/>
    <s v="Ponta"/>
    <s v="CATIVO"/>
    <x v="7"/>
    <n v="0"/>
    <n v="0"/>
    <n v="1.1439999999999999"/>
    <n v="1.1439999999999999"/>
    <n v="1.1439999999999999"/>
    <n v="1.1439999999999999"/>
    <m/>
    <n v="984.21"/>
    <n v="171.61"/>
    <m/>
    <n v="1322.2580800000001"/>
    <n v="1322.2580800000001"/>
    <n v="1233.0603999999998"/>
    <n v="0"/>
    <n v="60.17194086107169"/>
    <n v="0"/>
    <n v="0"/>
    <n v="0"/>
    <n v="450.40271321742495"/>
    <n v="585.82194620443886"/>
    <n v="189.18811649077912"/>
    <n v="7.1332483469513095"/>
    <n v="0"/>
    <n v="0"/>
    <n v="0"/>
    <n v="0"/>
    <n v="10.694238729357647"/>
    <m/>
    <n v="0.30208518324858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0713943472930927"/>
    <n v="0"/>
    <n v="0"/>
    <n v="0"/>
    <n v="0"/>
    <n v="0"/>
    <m/>
    <m/>
    <m/>
    <m/>
    <m/>
    <m/>
    <m/>
    <m/>
    <m/>
    <n v="196.2595108380722"/>
    <m/>
    <m/>
    <m/>
    <m/>
    <m/>
    <m/>
    <m/>
    <m/>
    <m/>
    <m/>
    <m/>
    <m/>
    <n v="1228.749"/>
    <n v="-93.539080000000013"/>
    <m/>
    <m/>
    <m/>
    <m/>
    <n v="-114.94912000000001"/>
    <n v="25.751439999999988"/>
    <n v="30"/>
    <n v="37.458619878739569"/>
    <n v="0"/>
    <n v="0"/>
    <n v="0"/>
    <n v="0"/>
    <n v="0"/>
    <n v="0"/>
    <n v="0"/>
    <n v="20.282816522749386"/>
    <n v="0"/>
    <n v="0"/>
    <n v="25.757556568110203"/>
    <n v="0"/>
    <n v="0"/>
    <n v="0"/>
    <n v="0.96275518406934157"/>
    <n v="0"/>
    <n v="-8.2647817621237394"/>
    <m/>
    <n v="0"/>
    <n v="0"/>
    <n v="0"/>
    <n v="0"/>
    <n v="-1.2324426910244597"/>
    <n v="-4.7283943041338428E-2"/>
    <n v="0"/>
    <n v="0"/>
    <m/>
    <m/>
    <m/>
    <n v="585.82194620443886"/>
    <n v="0"/>
    <n v="0"/>
    <n v="-114.94912000000011"/>
    <n v="25.751439999999974"/>
    <n v="0"/>
    <n v="0"/>
    <n v="-126.65154391926484"/>
    <n v="0"/>
    <n v="0"/>
    <n v="0"/>
    <n v="0"/>
    <n v="0"/>
    <n v="0"/>
    <n v="0"/>
    <n v="0"/>
    <n v="0"/>
    <n v="0"/>
    <n v="0"/>
    <n v="0"/>
    <n v="11.47457973249381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49"/>
    <s v="Regular"/>
    <s v="Verde"/>
    <s v="A4"/>
    <s v="Industrial"/>
    <s v="Não se aplica"/>
    <s v="Não se aplica"/>
    <s v="Não se aplica"/>
    <s v="Fora ponta"/>
    <s v="CATIVO"/>
    <x v="7"/>
    <n v="0"/>
    <n v="0"/>
    <n v="1924.7170000000001"/>
    <n v="1924.7170000000001"/>
    <n v="1924.7170000000001"/>
    <n v="1924.7170000000001"/>
    <m/>
    <n v="78.42"/>
    <n v="171.61"/>
    <m/>
    <n v="481236.99151000008"/>
    <n v="481236.99151000008"/>
    <n v="510126.99368000007"/>
    <n v="0"/>
    <n v="101235.97683417774"/>
    <n v="0"/>
    <n v="0"/>
    <n v="0"/>
    <n v="0"/>
    <n v="0"/>
    <n v="318298.58741939068"/>
    <n v="12001.297516257941"/>
    <n v="0"/>
    <n v="0"/>
    <n v="0"/>
    <n v="0"/>
    <n v="17992.467731165267"/>
    <m/>
    <n v="508.24168500582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97.231568128427"/>
    <n v="0"/>
    <n v="0"/>
    <n v="0"/>
    <n v="0"/>
    <n v="0"/>
    <m/>
    <m/>
    <m/>
    <m/>
    <m/>
    <m/>
    <m/>
    <m/>
    <m/>
    <n v="330195.81898751913"/>
    <m/>
    <m/>
    <m/>
    <m/>
    <m/>
    <m/>
    <m/>
    <m/>
    <m/>
    <m/>
    <m/>
    <m/>
    <n v="510127.78880000004"/>
    <n v="28890.767289999931"/>
    <m/>
    <m/>
    <m/>
    <m/>
    <n v="-14435.377500000001"/>
    <n v="43325.379669999988"/>
    <n v="30"/>
    <n v="28897.343276163389"/>
    <n v="0"/>
    <n v="0"/>
    <n v="0"/>
    <n v="0"/>
    <n v="0"/>
    <n v="0"/>
    <n v="0"/>
    <n v="0"/>
    <n v="0"/>
    <n v="0"/>
    <n v="43335.670459006447"/>
    <n v="0"/>
    <n v="0"/>
    <n v="0"/>
    <n v="1619.7825783360058"/>
    <n v="0"/>
    <n v="-13905.040173819507"/>
    <m/>
    <n v="0"/>
    <n v="0"/>
    <n v="0"/>
    <n v="0"/>
    <n v="-2073.516957115844"/>
    <n v="-79.55263024361517"/>
    <n v="0"/>
    <n v="0"/>
    <m/>
    <m/>
    <m/>
    <n v="0"/>
    <n v="0"/>
    <n v="0"/>
    <n v="-14435.377500000002"/>
    <n v="43325.379669999995"/>
    <n v="0"/>
    <n v="0"/>
    <n v="0"/>
    <n v="0"/>
    <n v="0"/>
    <n v="0"/>
    <n v="0"/>
    <n v="0"/>
    <n v="0"/>
    <n v="0"/>
    <n v="0"/>
    <n v="0"/>
    <n v="0"/>
    <n v="0"/>
    <n v="0"/>
    <n v="19305.34849561740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50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19.977"/>
    <n v="19.977"/>
    <n v="19.977"/>
    <n v="19.977"/>
    <m/>
    <n v="78.42"/>
    <n v="171.61"/>
    <m/>
    <n v="4994.8493100000005"/>
    <n v="4994.8493100000005"/>
    <n v="5294.7040800000004"/>
    <n v="0"/>
    <n v="1050.7472575014242"/>
    <n v="0"/>
    <n v="0"/>
    <n v="0"/>
    <n v="0"/>
    <n v="0"/>
    <n v="3303.6809467974604"/>
    <n v="124.56372572294259"/>
    <n v="0"/>
    <n v="0"/>
    <n v="0"/>
    <n v="0"/>
    <n v="186.74720900033017"/>
    <m/>
    <n v="5.2751361064309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.48360566072914"/>
    <n v="0"/>
    <n v="0"/>
    <n v="0"/>
    <n v="0"/>
    <n v="0"/>
    <m/>
    <m/>
    <m/>
    <m/>
    <m/>
    <m/>
    <m/>
    <m/>
    <m/>
    <n v="3427.1645524581895"/>
    <m/>
    <m/>
    <m/>
    <m/>
    <m/>
    <m/>
    <m/>
    <m/>
    <m/>
    <m/>
    <m/>
    <m/>
    <n v="5295.4992000000002"/>
    <n v="300.61988999999994"/>
    <m/>
    <m/>
    <m/>
    <m/>
    <n v="-149.82750000000001"/>
    <n v="449.68226999999985"/>
    <n v="30"/>
    <n v="299.93096472256275"/>
    <n v="0"/>
    <n v="0"/>
    <n v="0"/>
    <n v="0"/>
    <n v="0"/>
    <n v="0"/>
    <n v="0"/>
    <n v="0"/>
    <n v="0"/>
    <n v="0"/>
    <n v="449.78908003595961"/>
    <n v="0"/>
    <n v="0"/>
    <n v="0"/>
    <n v="16.812028244889191"/>
    <n v="0"/>
    <n v="-144.32302907512758"/>
    <m/>
    <n v="0"/>
    <n v="0"/>
    <n v="0"/>
    <n v="0"/>
    <n v="-21.521422761010172"/>
    <n v="-0.82569172214756748"/>
    <n v="0"/>
    <n v="0"/>
    <m/>
    <m/>
    <m/>
    <n v="0"/>
    <n v="0"/>
    <n v="0"/>
    <n v="-149.8275000000001"/>
    <n v="449.68226999999979"/>
    <n v="0"/>
    <n v="0"/>
    <n v="0"/>
    <n v="0"/>
    <n v="0"/>
    <n v="0"/>
    <n v="0"/>
    <n v="0"/>
    <n v="0"/>
    <n v="0"/>
    <n v="0"/>
    <n v="0"/>
    <n v="0"/>
    <n v="0"/>
    <n v="0"/>
    <n v="200.3738455559694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51"/>
    <s v="Regular"/>
    <s v="Verde"/>
    <s v="A4"/>
    <s v="Industrial"/>
    <s v="Não se aplica"/>
    <s v="Não se aplica"/>
    <s v="Não se aplica"/>
    <s v="Não se aplica"/>
    <s v="CATIVO"/>
    <x v="7"/>
    <n v="9994"/>
    <n v="9994"/>
    <n v="0"/>
    <n v="0"/>
    <n v="0"/>
    <n v="0"/>
    <n v="12.58"/>
    <m/>
    <m/>
    <n v="125724.52"/>
    <m/>
    <n v="125724.52"/>
    <n v="115830.45999999999"/>
    <n v="0"/>
    <n v="0"/>
    <n v="0"/>
    <n v="0"/>
    <n v="0"/>
    <n v="66234.629588380252"/>
    <n v="59461.3919999296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2629.71000000002"/>
    <n v="52"/>
    <m/>
    <m/>
    <m/>
    <m/>
    <m/>
    <m/>
    <m/>
    <m/>
    <m/>
    <n v="0"/>
    <m/>
    <m/>
    <m/>
    <m/>
    <m/>
    <m/>
    <m/>
    <m/>
    <m/>
    <m/>
    <m/>
    <m/>
    <n v="115830.45999999999"/>
    <n v="-9894.0899999999965"/>
    <m/>
    <m/>
    <m/>
    <m/>
    <n v="-9894.0600000000013"/>
    <n v="0"/>
    <n v="30"/>
    <n v="2982.7192420681677"/>
    <n v="0"/>
    <n v="0"/>
    <n v="0"/>
    <n v="0"/>
    <m/>
    <m/>
    <m/>
    <n v="2982.71924206816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461.391999929649"/>
    <m/>
    <n v="0"/>
    <n v="0"/>
    <n v="-9894.0600000000122"/>
    <m/>
    <n v="0"/>
    <m/>
    <n v="-12855.232121590081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52"/>
    <s v="Sistema de Compensação"/>
    <s v="Verde"/>
    <s v="A4"/>
    <s v="Industrial"/>
    <s v="Não se aplica"/>
    <s v="Não se aplica"/>
    <s v="Não se aplica"/>
    <s v="Não se aplica"/>
    <s v="CATIVO"/>
    <x v="7"/>
    <n v="837"/>
    <n v="837"/>
    <n v="0"/>
    <n v="0"/>
    <n v="0"/>
    <n v="0"/>
    <n v="12.58"/>
    <m/>
    <m/>
    <n v="10529.460000000001"/>
    <m/>
    <n v="10529.460000000001"/>
    <n v="9700.83"/>
    <n v="0"/>
    <n v="0"/>
    <n v="0"/>
    <n v="0"/>
    <n v="0"/>
    <n v="5547.1667966254017"/>
    <n v="4979.9064542666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501.81"/>
    <n v="3"/>
    <m/>
    <m/>
    <m/>
    <m/>
    <m/>
    <m/>
    <m/>
    <m/>
    <m/>
    <n v="0"/>
    <m/>
    <m/>
    <m/>
    <m/>
    <m/>
    <m/>
    <m/>
    <m/>
    <m/>
    <m/>
    <m/>
    <m/>
    <n v="9700.83"/>
    <n v="-828.66000000000167"/>
    <m/>
    <m/>
    <m/>
    <m/>
    <n v="-828.63000000000022"/>
    <n v="0"/>
    <n v="30"/>
    <n v="249.80348265069733"/>
    <n v="0"/>
    <n v="0"/>
    <n v="0"/>
    <n v="0"/>
    <m/>
    <m/>
    <m/>
    <n v="249.803482650697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79.906454266672"/>
    <m/>
    <n v="0"/>
    <n v="0"/>
    <n v="-828.63000000000102"/>
    <m/>
    <n v="0"/>
    <m/>
    <n v="-1076.6289059206429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53"/>
    <s v="Regular"/>
    <s v="Convencional"/>
    <s v="B3"/>
    <s v="Comercial"/>
    <s v="Não se aplica"/>
    <s v="Não se aplica"/>
    <s v="Não se aplica"/>
    <s v="Não se aplica"/>
    <s v="CATIVO"/>
    <x v="7"/>
    <n v="0"/>
    <n v="0"/>
    <n v="545.45799999999997"/>
    <n v="545.45799999999997"/>
    <n v="545.45799999999997"/>
    <n v="545.45799999999997"/>
    <m/>
    <n v="239.69"/>
    <n v="171.61"/>
    <m/>
    <n v="224346.87539999999"/>
    <n v="224346.87539999999"/>
    <n v="223523.23381999999"/>
    <n v="0"/>
    <n v="32976.917569124715"/>
    <n v="0"/>
    <n v="0"/>
    <n v="0"/>
    <n v="29092.544085199315"/>
    <n v="48335.611349734616"/>
    <n v="90204.695493730236"/>
    <n v="3401.1253293980485"/>
    <n v="0"/>
    <n v="0"/>
    <n v="0"/>
    <n v="0"/>
    <n v="5099.0018084247931"/>
    <m/>
    <n v="216.02953895178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32.7350829638599"/>
    <n v="0"/>
    <n v="0"/>
    <n v="0"/>
    <n v="92081.15"/>
    <n v="566"/>
    <m/>
    <m/>
    <m/>
    <m/>
    <m/>
    <m/>
    <m/>
    <m/>
    <m/>
    <n v="98937.430576694096"/>
    <m/>
    <m/>
    <m/>
    <m/>
    <m/>
    <m/>
    <m/>
    <m/>
    <m/>
    <m/>
    <m/>
    <m/>
    <n v="223524.05340000003"/>
    <n v="-822.8519999999553"/>
    <m/>
    <m/>
    <m/>
    <m/>
    <n v="-13101.901160000005"/>
    <n v="12278.259579999994"/>
    <n v="30"/>
    <n v="9629.3208688772283"/>
    <n v="0"/>
    <n v="0"/>
    <n v="0"/>
    <n v="0"/>
    <n v="0"/>
    <n v="0"/>
    <n v="0"/>
    <n v="1310.1136306326516"/>
    <n v="0"/>
    <n v="0"/>
    <n v="12281.175953258979"/>
    <n v="0"/>
    <n v="0"/>
    <n v="0"/>
    <n v="1188.9431644335018"/>
    <n v="0"/>
    <n v="-4529.470430838086"/>
    <m/>
    <n v="0"/>
    <n v="0"/>
    <n v="0"/>
    <n v="0"/>
    <n v="-587.62738230840841"/>
    <n v="-33.814066301414925"/>
    <n v="0"/>
    <n v="0"/>
    <m/>
    <m/>
    <m/>
    <n v="48335.611349734616"/>
    <n v="0"/>
    <n v="0"/>
    <n v="-13101.901159999994"/>
    <n v="12278.259579999998"/>
    <n v="0"/>
    <n v="0"/>
    <n v="-10449.898375075682"/>
    <n v="0"/>
    <n v="0"/>
    <n v="0"/>
    <n v="0"/>
    <n v="0"/>
    <n v="0"/>
    <n v="0"/>
    <n v="0"/>
    <n v="0"/>
    <n v="0"/>
    <n v="0"/>
    <n v="0"/>
    <n v="6288.583425494968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54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10.069000000000001"/>
    <n v="10.069000000000001"/>
    <n v="10.069000000000001"/>
    <n v="10.069000000000001"/>
    <m/>
    <n v="239.69"/>
    <n v="171.61"/>
    <m/>
    <n v="4141.3797000000004"/>
    <n v="4141.3797000000004"/>
    <n v="4126.1755100000009"/>
    <n v="0"/>
    <n v="608.74454679098449"/>
    <n v="0"/>
    <n v="0"/>
    <n v="0"/>
    <n v="537.04011380137786"/>
    <n v="892.26167859024508"/>
    <n v="1665.1530987287197"/>
    <n v="62.783809095675473"/>
    <n v="0"/>
    <n v="0"/>
    <n v="0"/>
    <n v="0"/>
    <n v="94.126127417746645"/>
    <m/>
    <n v="3.98784402778130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0381321818198"/>
    <n v="0"/>
    <n v="0"/>
    <n v="0"/>
    <n v="2617.9499999999998"/>
    <n v="8"/>
    <m/>
    <m/>
    <m/>
    <m/>
    <m/>
    <m/>
    <m/>
    <m/>
    <m/>
    <n v="1826.3569119469016"/>
    <m/>
    <m/>
    <m/>
    <m/>
    <m/>
    <m/>
    <m/>
    <m/>
    <m/>
    <m/>
    <m/>
    <m/>
    <n v="4126.5852999999997"/>
    <n v="-14.824400000001333"/>
    <m/>
    <m/>
    <m/>
    <m/>
    <n v="-241.85738000000012"/>
    <n v="226.65318999999994"/>
    <n v="30"/>
    <n v="177.7545325739552"/>
    <n v="0"/>
    <n v="0"/>
    <n v="0"/>
    <n v="0"/>
    <n v="0"/>
    <n v="0"/>
    <n v="0"/>
    <n v="24.184326101808324"/>
    <n v="0"/>
    <n v="0"/>
    <n v="226.70702542334061"/>
    <n v="0"/>
    <n v="0"/>
    <n v="0"/>
    <n v="21.947553657075247"/>
    <n v="0"/>
    <n v="-83.6127396941813"/>
    <m/>
    <n v="0"/>
    <n v="0"/>
    <n v="0"/>
    <n v="0"/>
    <n v="-10.847434839095527"/>
    <n v="-0.62419807499192803"/>
    <n v="0"/>
    <n v="0"/>
    <m/>
    <m/>
    <m/>
    <n v="892.26167859024508"/>
    <n v="0"/>
    <n v="0"/>
    <n v="-241.85737999999992"/>
    <n v="226.65319"/>
    <n v="0"/>
    <n v="0"/>
    <n v="-192.90216064048388"/>
    <n v="0"/>
    <n v="0"/>
    <n v="0"/>
    <n v="0"/>
    <n v="0"/>
    <n v="0"/>
    <n v="0"/>
    <n v="0"/>
    <n v="0"/>
    <n v="0"/>
    <n v="0"/>
    <n v="0"/>
    <n v="116.0854667294436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55"/>
    <s v="Regular"/>
    <s v="Verde"/>
    <s v="A4"/>
    <s v="Comercial"/>
    <s v="Não se aplica"/>
    <s v="Não se aplica"/>
    <s v="Não se aplica"/>
    <s v="Ponta"/>
    <s v="CATIVO"/>
    <x v="7"/>
    <n v="0"/>
    <n v="0"/>
    <n v="6.8630000000000004"/>
    <n v="6.8630000000000004"/>
    <n v="6.8630000000000004"/>
    <n v="6.8630000000000004"/>
    <m/>
    <n v="984.21"/>
    <n v="171.61"/>
    <m/>
    <n v="7932.3926600000004"/>
    <n v="7932.3926600000004"/>
    <n v="7397.2845500000012"/>
    <n v="0"/>
    <n v="360.97904731602716"/>
    <n v="0"/>
    <n v="0"/>
    <n v="0"/>
    <n v="2702.0225706391502"/>
    <n v="3514.4195951058255"/>
    <n v="1134.9633247169731"/>
    <n v="42.793254724761226"/>
    <n v="0"/>
    <n v="0"/>
    <n v="0"/>
    <n v="0"/>
    <n v="64.156084265368477"/>
    <m/>
    <n v="1.81224703901664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422184794993449"/>
    <n v="0"/>
    <n v="0"/>
    <n v="0"/>
    <n v="0"/>
    <n v="0"/>
    <m/>
    <m/>
    <m/>
    <m/>
    <m/>
    <m/>
    <m/>
    <m/>
    <m/>
    <n v="1177.3855095119666"/>
    <m/>
    <m/>
    <m/>
    <m/>
    <m/>
    <m/>
    <m/>
    <m/>
    <m/>
    <m/>
    <m/>
    <m/>
    <n v="7394.0510000000004"/>
    <n v="-538.3716600000007"/>
    <m/>
    <m/>
    <m/>
    <m/>
    <n v="-689.59424000000013"/>
    <n v="154.48612999999995"/>
    <n v="30"/>
    <n v="224.71897572359194"/>
    <n v="0"/>
    <n v="0"/>
    <n v="0"/>
    <n v="0"/>
    <n v="0"/>
    <n v="0"/>
    <n v="0"/>
    <n v="121.67916940177338"/>
    <n v="0"/>
    <n v="0"/>
    <n v="154.52282406201084"/>
    <n v="0"/>
    <n v="0"/>
    <n v="0"/>
    <n v="5.7756895351992057"/>
    <n v="0"/>
    <n v="-49.581466113160161"/>
    <m/>
    <n v="0"/>
    <n v="0"/>
    <n v="0"/>
    <n v="0"/>
    <n v="-7.3935788361021579"/>
    <n v="-0.28366232612998754"/>
    <n v="0"/>
    <n v="0"/>
    <m/>
    <m/>
    <m/>
    <n v="3514.4195951058255"/>
    <n v="0"/>
    <n v="0"/>
    <n v="-689.59423999999944"/>
    <n v="154.48613"/>
    <n v="0"/>
    <n v="0"/>
    <n v="-759.79855412405141"/>
    <n v="0"/>
    <n v="0"/>
    <n v="0"/>
    <n v="0"/>
    <n v="0"/>
    <n v="0"/>
    <n v="0"/>
    <n v="0"/>
    <n v="0"/>
    <n v="0"/>
    <n v="0"/>
    <n v="0"/>
    <n v="68.8374481679240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56"/>
    <s v="Regular"/>
    <s v="Verde"/>
    <s v="A4"/>
    <s v="Comercial"/>
    <s v="Não se aplica"/>
    <s v="Não se aplica"/>
    <s v="Não se aplica"/>
    <s v="Fora ponta"/>
    <s v="CATIVO"/>
    <x v="7"/>
    <n v="0"/>
    <n v="0"/>
    <n v="81.947000000000003"/>
    <n v="81.947000000000003"/>
    <n v="81.947000000000003"/>
    <n v="81.947000000000003"/>
    <m/>
    <n v="78.42"/>
    <n v="171.61"/>
    <m/>
    <n v="20489.208410000003"/>
    <n v="20489.208410000003"/>
    <n v="21719.232880000003"/>
    <n v="0"/>
    <n v="4310.2360469774849"/>
    <n v="0"/>
    <n v="0"/>
    <n v="0"/>
    <n v="0"/>
    <n v="0"/>
    <n v="13551.92183747367"/>
    <n v="510.96879570596064"/>
    <n v="0"/>
    <n v="0"/>
    <n v="0"/>
    <n v="0"/>
    <n v="766.0496338764608"/>
    <m/>
    <n v="21.6389637339789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6.53807043498875"/>
    <n v="0"/>
    <n v="0"/>
    <n v="0"/>
    <n v="0"/>
    <n v="0"/>
    <m/>
    <m/>
    <m/>
    <m/>
    <m/>
    <m/>
    <m/>
    <m/>
    <m/>
    <n v="14058.459907908658"/>
    <m/>
    <m/>
    <m/>
    <m/>
    <m/>
    <m/>
    <m/>
    <m/>
    <m/>
    <m/>
    <m/>
    <m/>
    <n v="21720.028000000002"/>
    <n v="1230.7895900000003"/>
    <m/>
    <m/>
    <m/>
    <m/>
    <n v="-614.60249999999996"/>
    <n v="1844.6269699999993"/>
    <n v="30"/>
    <n v="1230.3370258857649"/>
    <n v="0"/>
    <n v="0"/>
    <n v="0"/>
    <n v="0"/>
    <n v="0"/>
    <n v="0"/>
    <n v="0"/>
    <n v="0"/>
    <n v="0"/>
    <n v="0"/>
    <n v="1845.065111964097"/>
    <n v="0"/>
    <n v="0"/>
    <n v="0"/>
    <n v="68.964072612701329"/>
    <n v="0"/>
    <n v="-592.02278938877134"/>
    <m/>
    <n v="0"/>
    <n v="0"/>
    <n v="0"/>
    <n v="0"/>
    <n v="-88.282326224983763"/>
    <n v="-3.3870430772802109"/>
    <n v="0"/>
    <n v="0"/>
    <m/>
    <m/>
    <m/>
    <n v="0"/>
    <n v="0"/>
    <n v="0"/>
    <n v="-614.60250000000087"/>
    <n v="1844.6269699999993"/>
    <n v="0"/>
    <n v="0"/>
    <n v="0"/>
    <n v="0"/>
    <n v="0"/>
    <n v="0"/>
    <n v="0"/>
    <n v="0"/>
    <n v="0"/>
    <n v="0"/>
    <n v="0"/>
    <n v="0"/>
    <n v="0"/>
    <n v="0"/>
    <n v="0"/>
    <n v="821.9470151561811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57"/>
    <s v="Regular"/>
    <s v="Verde"/>
    <s v="A4"/>
    <s v="Comercial"/>
    <s v="Não se aplica"/>
    <s v="Não se aplica"/>
    <s v="Não se aplica"/>
    <s v="Não se aplica"/>
    <s v="CATIVO"/>
    <x v="7"/>
    <n v="493"/>
    <n v="493"/>
    <n v="0"/>
    <n v="0"/>
    <n v="0"/>
    <n v="0"/>
    <n v="12.58"/>
    <m/>
    <m/>
    <n v="6201.94"/>
    <m/>
    <n v="6201.94"/>
    <n v="5713.87"/>
    <n v="0"/>
    <n v="0"/>
    <n v="0"/>
    <n v="0"/>
    <n v="0"/>
    <n v="3267.3276352883195"/>
    <n v="2933.20654952624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677.04"/>
    <n v="5"/>
    <m/>
    <m/>
    <m/>
    <m/>
    <m/>
    <m/>
    <m/>
    <m/>
    <m/>
    <n v="0"/>
    <m/>
    <m/>
    <m/>
    <m/>
    <m/>
    <m/>
    <m/>
    <m/>
    <m/>
    <m/>
    <m/>
    <m/>
    <n v="5713.87"/>
    <n v="-488.10000000000036"/>
    <m/>
    <m/>
    <m/>
    <m/>
    <n v="-488.07000000000011"/>
    <n v="0"/>
    <n v="30"/>
    <n v="147.13634043822367"/>
    <n v="0"/>
    <n v="0"/>
    <n v="0"/>
    <n v="0"/>
    <m/>
    <m/>
    <m/>
    <n v="147.136340438223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33.2065495262477"/>
    <m/>
    <n v="0"/>
    <n v="0"/>
    <n v="-488.06999999999971"/>
    <m/>
    <n v="0"/>
    <m/>
    <n v="-634.14342965218293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58"/>
    <s v="Regular"/>
    <s v="Convencional"/>
    <s v="B2"/>
    <s v="Rural"/>
    <s v="Não se aplica"/>
    <s v="Não se aplica"/>
    <s v="Não se aplica"/>
    <s v="Não se aplica"/>
    <s v="CATIVO"/>
    <x v="7"/>
    <n v="0"/>
    <n v="0"/>
    <n v="529.37800000000004"/>
    <n v="529.37800000000004"/>
    <n v="529.37800000000004"/>
    <n v="529.37800000000004"/>
    <m/>
    <n v="239.69"/>
    <n v="171.61"/>
    <m/>
    <n v="217733.17140000002"/>
    <n v="217733.17140000002"/>
    <n v="216933.81062"/>
    <n v="0"/>
    <n v="32004.764196158289"/>
    <n v="0"/>
    <n v="0"/>
    <n v="0"/>
    <n v="28234.901317305175"/>
    <n v="46910.686551668165"/>
    <n v="87545.477912286427"/>
    <n v="3300.8607896961457"/>
    <n v="0"/>
    <n v="0"/>
    <n v="0"/>
    <n v="0"/>
    <n v="4948.6841871240322"/>
    <m/>
    <n v="209.661028477387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75.2956831676183"/>
    <n v="0"/>
    <n v="0"/>
    <n v="0"/>
    <n v="63126.11"/>
    <n v="712"/>
    <m/>
    <m/>
    <m/>
    <m/>
    <m/>
    <n v="26029.516259999997"/>
    <m/>
    <m/>
    <m/>
    <n v="96020.77359545404"/>
    <m/>
    <m/>
    <m/>
    <m/>
    <m/>
    <m/>
    <m/>
    <m/>
    <m/>
    <m/>
    <m/>
    <m/>
    <n v="190905.01559999998"/>
    <n v="-703.3815000000177"/>
    <m/>
    <m/>
    <m/>
    <m/>
    <n v="-12715.659560000007"/>
    <n v="11916.298779999996"/>
    <n v="30"/>
    <n v="9345.4502875097678"/>
    <n v="0"/>
    <n v="0"/>
    <n v="0"/>
    <n v="0"/>
    <n v="0"/>
    <n v="0"/>
    <n v="0"/>
    <n v="1271.4917254069987"/>
    <n v="0"/>
    <n v="0"/>
    <n v="11919.129179119802"/>
    <n v="0"/>
    <n v="0"/>
    <n v="0"/>
    <n v="1153.893341928213"/>
    <n v="0"/>
    <n v="-4395.9424882139538"/>
    <m/>
    <n v="0"/>
    <n v="0"/>
    <n v="0"/>
    <n v="0"/>
    <n v="-570.30423679121213"/>
    <n v="-32.817233940120843"/>
    <n v="0"/>
    <n v="0"/>
    <m/>
    <m/>
    <m/>
    <n v="46910.686551668165"/>
    <n v="0"/>
    <n v="0"/>
    <n v="-12715.65956"/>
    <n v="11916.298779999997"/>
    <n v="0"/>
    <n v="0"/>
    <n v="-10141.837322031788"/>
    <n v="0"/>
    <n v="0"/>
    <n v="0"/>
    <n v="0"/>
    <n v="0"/>
    <n v="0"/>
    <n v="0"/>
    <n v="0"/>
    <n v="0"/>
    <n v="0"/>
    <n v="0"/>
    <n v="0"/>
    <n v="6103.197160224391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59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4.4450000000000003"/>
    <n v="4.4450000000000003"/>
    <n v="4.4450000000000003"/>
    <n v="4.4450000000000003"/>
    <m/>
    <n v="239.69"/>
    <n v="171.61"/>
    <m/>
    <n v="1828.2285000000002"/>
    <n v="1828.2285000000002"/>
    <n v="1821.5165500000001"/>
    <n v="0"/>
    <n v="268.73269544998772"/>
    <n v="0"/>
    <n v="0"/>
    <n v="0"/>
    <n v="237.07848901053973"/>
    <n v="393.8924581719773"/>
    <n v="735.0884421341899"/>
    <n v="27.716161627795955"/>
    <n v="0"/>
    <n v="0"/>
    <n v="0"/>
    <n v="0"/>
    <n v="41.552352405589815"/>
    <m/>
    <n v="1.760449568327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164062941187694"/>
    <n v="0"/>
    <n v="0"/>
    <n v="0"/>
    <n v="2876.96"/>
    <n v="15"/>
    <m/>
    <m/>
    <m/>
    <m/>
    <m/>
    <n v="218.56064999999995"/>
    <m/>
    <m/>
    <m/>
    <n v="806.2525050753776"/>
    <m/>
    <m/>
    <m/>
    <m/>
    <m/>
    <m/>
    <m/>
    <m/>
    <m/>
    <m/>
    <m/>
    <m/>
    <n v="1604.759"/>
    <n v="-4.1387500000003001"/>
    <m/>
    <m/>
    <m/>
    <m/>
    <n v="-106.76890000000006"/>
    <n v="100.05694999999997"/>
    <n v="30"/>
    <n v="78.470443667815289"/>
    <n v="0"/>
    <n v="0"/>
    <n v="0"/>
    <n v="0"/>
    <n v="0"/>
    <n v="0"/>
    <n v="0"/>
    <n v="10.676266711941395"/>
    <n v="0"/>
    <n v="0"/>
    <n v="100.08071586123242"/>
    <n v="0"/>
    <n v="0"/>
    <n v="0"/>
    <n v="9.6888346415432949"/>
    <n v="0"/>
    <n v="-36.911175681858765"/>
    <m/>
    <n v="0"/>
    <n v="0"/>
    <n v="0"/>
    <n v="0"/>
    <n v="-4.7886431482550051"/>
    <n v="-0.27555471678807431"/>
    <n v="0"/>
    <n v="0"/>
    <m/>
    <m/>
    <m/>
    <n v="393.8924581719773"/>
    <n v="0"/>
    <n v="0"/>
    <n v="-106.76890000000014"/>
    <n v="100.05694999999992"/>
    <n v="0"/>
    <n v="0"/>
    <n v="-85.157424177867767"/>
    <n v="0"/>
    <n v="0"/>
    <n v="0"/>
    <n v="0"/>
    <n v="0"/>
    <n v="0"/>
    <n v="0"/>
    <n v="0"/>
    <n v="0"/>
    <n v="0"/>
    <n v="0"/>
    <n v="0"/>
    <n v="51.24638987112690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60"/>
    <s v="Regular"/>
    <s v="Verde"/>
    <s v="A4"/>
    <s v="Rural"/>
    <s v="Não se aplica"/>
    <s v="Não se aplica"/>
    <s v="Não se aplica"/>
    <s v="Ponta"/>
    <s v="CATIVO"/>
    <x v="7"/>
    <n v="0"/>
    <n v="0"/>
    <n v="9.1999999999999993"/>
    <n v="8.8320000000000007"/>
    <n v="9.1999999999999993"/>
    <n v="8.8320000000000007"/>
    <m/>
    <n v="984.21"/>
    <n v="171.61"/>
    <m/>
    <n v="10633.544"/>
    <n v="10633.544"/>
    <n v="9916.2199999999993"/>
    <n v="0"/>
    <n v="483.90022370791917"/>
    <n v="0"/>
    <n v="0"/>
    <n v="0"/>
    <n v="3622.1197216785922"/>
    <n v="4711.1555114342982"/>
    <n v="1521.4428948559159"/>
    <n v="57.365283909048991"/>
    <n v="0"/>
    <n v="0"/>
    <n v="0"/>
    <n v="0"/>
    <n v="86.002619152176877"/>
    <m/>
    <n v="2.4293563687823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867856639070325"/>
    <n v="0"/>
    <n v="0"/>
    <n v="0"/>
    <n v="0"/>
    <n v="0"/>
    <m/>
    <m/>
    <m/>
    <m/>
    <m/>
    <n v="396.64879999999846"/>
    <m/>
    <m/>
    <m/>
    <n v="1578.3107514949863"/>
    <m/>
    <m/>
    <m/>
    <m/>
    <m/>
    <m/>
    <m/>
    <m/>
    <m/>
    <m/>
    <m/>
    <m/>
    <n v="9517.4154999999992"/>
    <n v="-690.81674000000385"/>
    <m/>
    <m/>
    <m/>
    <m/>
    <n v="-924.41600000000005"/>
    <n v="207.0919999999999"/>
    <n v="30"/>
    <n v="301.24064937447747"/>
    <n v="0"/>
    <n v="0"/>
    <n v="0"/>
    <n v="0"/>
    <n v="0"/>
    <n v="0"/>
    <n v="0"/>
    <n v="163.11355944868365"/>
    <n v="0"/>
    <n v="0"/>
    <n v="207.14118918410304"/>
    <n v="0"/>
    <n v="0"/>
    <n v="0"/>
    <n v="7.7424367949632398"/>
    <n v="0"/>
    <n v="-66.465028156939127"/>
    <m/>
    <n v="0"/>
    <n v="0"/>
    <n v="0"/>
    <n v="0"/>
    <n v="-9.9112524103365587"/>
    <n v="-0.3802554859967775"/>
    <n v="0"/>
    <n v="0"/>
    <m/>
    <m/>
    <m/>
    <n v="4711.1555114342982"/>
    <n v="0"/>
    <n v="0"/>
    <n v="-924.41600000000017"/>
    <n v="207.0920000000001"/>
    <n v="0"/>
    <n v="0"/>
    <n v="-1018.5264021479338"/>
    <n v="0"/>
    <n v="0"/>
    <n v="0"/>
    <n v="0"/>
    <n v="0"/>
    <n v="0"/>
    <n v="0"/>
    <n v="0"/>
    <n v="0"/>
    <n v="0"/>
    <n v="0"/>
    <n v="0"/>
    <n v="92.278088757817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61"/>
    <s v="Regular"/>
    <s v="Verde"/>
    <s v="A4"/>
    <s v="Rural"/>
    <s v="Não se aplica"/>
    <s v="Não se aplica"/>
    <s v="Não se aplica"/>
    <s v="Fora ponta"/>
    <s v="CATIVO"/>
    <x v="7"/>
    <n v="0"/>
    <n v="0"/>
    <n v="171.375"/>
    <n v="164.52"/>
    <n v="171.375"/>
    <n v="164.52"/>
    <m/>
    <n v="78.42"/>
    <n v="171.61"/>
    <m/>
    <n v="42848.891250000001"/>
    <n v="42848.891250000001"/>
    <n v="45421.23"/>
    <n v="0"/>
    <n v="9013.9566128200713"/>
    <n v="0"/>
    <n v="0"/>
    <n v="0"/>
    <n v="0"/>
    <n v="0"/>
    <n v="28341.008272383981"/>
    <n v="1068.5842967297035"/>
    <n v="0"/>
    <n v="0"/>
    <n v="0"/>
    <n v="0"/>
    <n v="1602.0324844787297"/>
    <m/>
    <n v="45.253363880442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9.3183621218129"/>
    <n v="0"/>
    <n v="0"/>
    <n v="0"/>
    <n v="0"/>
    <n v="0"/>
    <m/>
    <m/>
    <m/>
    <m/>
    <m/>
    <n v="1816.8491999999974"/>
    <m/>
    <m/>
    <m/>
    <n v="29400.326634505793"/>
    <m/>
    <m/>
    <m/>
    <m/>
    <m/>
    <m/>
    <m/>
    <m/>
    <m/>
    <m/>
    <m/>
    <m/>
    <n v="43604.380800000006"/>
    <n v="2469.4152000000031"/>
    <m/>
    <m/>
    <m/>
    <m/>
    <n v="-1285.3125"/>
    <n v="3857.6512499999985"/>
    <n v="30"/>
    <n v="2572.9923952209647"/>
    <n v="0"/>
    <n v="0"/>
    <n v="0"/>
    <n v="0"/>
    <n v="0"/>
    <n v="0"/>
    <n v="0"/>
    <n v="0"/>
    <n v="0"/>
    <n v="0"/>
    <n v="3858.5675322201823"/>
    <n v="0"/>
    <n v="0"/>
    <n v="0"/>
    <n v="144.22392453661132"/>
    <n v="0"/>
    <n v="-1238.091760912549"/>
    <m/>
    <n v="0"/>
    <n v="0"/>
    <n v="0"/>
    <n v="0"/>
    <n v="-184.62400889363357"/>
    <n v="-7.0832917296410614"/>
    <n v="0"/>
    <n v="0"/>
    <m/>
    <m/>
    <m/>
    <n v="0"/>
    <n v="0"/>
    <n v="0"/>
    <n v="-1285.3125"/>
    <n v="3857.651249999999"/>
    <n v="0"/>
    <n v="0"/>
    <n v="0"/>
    <n v="0"/>
    <n v="0"/>
    <n v="0"/>
    <n v="0"/>
    <n v="0"/>
    <n v="0"/>
    <n v="0"/>
    <n v="0"/>
    <n v="0"/>
    <n v="0"/>
    <n v="0"/>
    <n v="0"/>
    <n v="1718.930158790322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62"/>
    <s v="Regular"/>
    <s v="Verde"/>
    <s v="A4"/>
    <s v="Rural"/>
    <s v="Não se aplica"/>
    <s v="Não se aplica"/>
    <s v="Não se aplica"/>
    <s v="Não se aplica"/>
    <s v="CATIVO"/>
    <x v="7"/>
    <n v="1168"/>
    <n v="1121.28"/>
    <n v="0"/>
    <n v="0"/>
    <n v="0"/>
    <n v="0"/>
    <n v="12.58"/>
    <m/>
    <m/>
    <n v="14693.44"/>
    <m/>
    <n v="14693.44"/>
    <n v="13537.119999999999"/>
    <n v="0"/>
    <n v="0"/>
    <n v="0"/>
    <n v="0"/>
    <n v="0"/>
    <n v="7740.8492454700954"/>
    <n v="6949.26014167678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323.66"/>
    <n v="11"/>
    <m/>
    <m/>
    <m/>
    <m/>
    <m/>
    <n v="541.48480000000029"/>
    <m/>
    <m/>
    <m/>
    <n v="0"/>
    <m/>
    <m/>
    <m/>
    <m/>
    <m/>
    <m/>
    <m/>
    <m/>
    <m/>
    <m/>
    <m/>
    <m/>
    <n v="12995.635199999999"/>
    <n v="-1110.097200000002"/>
    <m/>
    <m/>
    <m/>
    <m/>
    <n v="-1156.3200000000002"/>
    <n v="0"/>
    <n v="30"/>
    <n v="348.59076193072087"/>
    <n v="0"/>
    <n v="0"/>
    <n v="0"/>
    <n v="0"/>
    <m/>
    <m/>
    <m/>
    <n v="348.590761930720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6949.2601416767893"/>
    <m/>
    <n v="0"/>
    <n v="0"/>
    <n v="-1156.3200000000015"/>
    <m/>
    <n v="0"/>
    <m/>
    <n v="-1502.3925473301197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63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42.865000000000002"/>
    <n v="42.865000000000002"/>
    <n v="42.865000000000002"/>
    <n v="42.865000000000002"/>
    <m/>
    <n v="239.69"/>
    <n v="171.61"/>
    <m/>
    <n v="17630.374500000002"/>
    <n v="17630.374500000002"/>
    <n v="17565.648350000003"/>
    <n v="0"/>
    <n v="2591.5021350874517"/>
    <n v="0"/>
    <n v="0"/>
    <n v="0"/>
    <n v="2286.2473411556321"/>
    <n v="3798.4702406168294"/>
    <n v="7088.7662704346567"/>
    <n v="267.27857551754187"/>
    <n v="0"/>
    <n v="0"/>
    <n v="0"/>
    <n v="0"/>
    <n v="400.70676847370243"/>
    <m/>
    <n v="16.976753823701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6.26491742947371"/>
    <n v="0"/>
    <n v="0"/>
    <n v="0"/>
    <n v="6679.01"/>
    <n v="46"/>
    <m/>
    <m/>
    <m/>
    <m/>
    <m/>
    <m/>
    <m/>
    <m/>
    <m/>
    <n v="7775.0311878641305"/>
    <m/>
    <m/>
    <m/>
    <m/>
    <m/>
    <m/>
    <m/>
    <m/>
    <m/>
    <m/>
    <m/>
    <m/>
    <n v="17567.6973"/>
    <n v="-62.707200000000739"/>
    <m/>
    <m/>
    <m/>
    <m/>
    <n v="-1029.6173000000006"/>
    <n v="964.8911499999997"/>
    <n v="30"/>
    <n v="756.72341233316001"/>
    <n v="0"/>
    <n v="0"/>
    <n v="0"/>
    <n v="0"/>
    <n v="0"/>
    <n v="0"/>
    <n v="0"/>
    <n v="102.95571937173645"/>
    <n v="0"/>
    <n v="0"/>
    <n v="965.12033417136809"/>
    <n v="0"/>
    <n v="0"/>
    <n v="0"/>
    <n v="93.433497617492321"/>
    <n v="0"/>
    <n v="-355.94995401639517"/>
    <m/>
    <n v="0"/>
    <n v="0"/>
    <n v="0"/>
    <n v="0"/>
    <n v="-46.178895061856167"/>
    <n v="-2.6572897491835334"/>
    <n v="0"/>
    <n v="0"/>
    <m/>
    <m/>
    <m/>
    <n v="3798.4702406168294"/>
    <n v="0"/>
    <n v="0"/>
    <n v="-1029.6172999999999"/>
    <n v="964.89115000000038"/>
    <n v="0"/>
    <n v="0"/>
    <n v="-821.20877106508487"/>
    <n v="0"/>
    <n v="0"/>
    <n v="0"/>
    <n v="0"/>
    <n v="0"/>
    <n v="0"/>
    <n v="0"/>
    <n v="0"/>
    <n v="0"/>
    <n v="0"/>
    <n v="0"/>
    <n v="0"/>
    <n v="494.190439105929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64"/>
    <s v="Regular"/>
    <s v="Verde"/>
    <s v="A4"/>
    <s v="Poder público"/>
    <s v="Não se aplica"/>
    <s v="Não se aplica"/>
    <s v="Não se aplica"/>
    <s v="Ponta"/>
    <s v="CATIVO"/>
    <x v="7"/>
    <n v="0"/>
    <n v="0"/>
    <n v="1.018"/>
    <n v="1.018"/>
    <n v="1.018"/>
    <n v="1.018"/>
    <m/>
    <n v="984.21"/>
    <n v="171.61"/>
    <m/>
    <n v="1176.6247600000002"/>
    <n v="1176.6247600000002"/>
    <n v="1097.2513000000001"/>
    <n v="0"/>
    <n v="53.544611710289324"/>
    <n v="0"/>
    <n v="0"/>
    <n v="0"/>
    <n v="400.79542137704425"/>
    <n v="521.29959898262132"/>
    <n v="168.35096380036114"/>
    <n v="6.3475933716752042"/>
    <n v="0"/>
    <n v="0"/>
    <n v="0"/>
    <n v="0"/>
    <n v="9.5163767714039196"/>
    <m/>
    <n v="0.26881356341526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925519628884343"/>
    <n v="0"/>
    <n v="0"/>
    <n v="0"/>
    <n v="0"/>
    <n v="0"/>
    <m/>
    <m/>
    <m/>
    <m/>
    <m/>
    <m/>
    <m/>
    <m/>
    <m/>
    <n v="174.64351576324958"/>
    <m/>
    <m/>
    <m/>
    <m/>
    <m/>
    <m/>
    <m/>
    <m/>
    <m/>
    <m/>
    <m/>
    <m/>
    <n v="1099.4070000000002"/>
    <n v="-77.247759999999971"/>
    <m/>
    <m/>
    <m/>
    <m/>
    <n v="-102.28864000000002"/>
    <n v="22.915179999999992"/>
    <n v="30"/>
    <n v="33.332932724262946"/>
    <n v="0"/>
    <n v="0"/>
    <n v="0"/>
    <n v="0"/>
    <n v="0"/>
    <n v="0"/>
    <n v="0"/>
    <n v="18.048869947691344"/>
    <n v="0"/>
    <n v="0"/>
    <n v="22.920622890154021"/>
    <n v="0"/>
    <n v="0"/>
    <n v="0"/>
    <n v="0.8567174627470191"/>
    <n v="0"/>
    <n v="-7.3544998547569662"/>
    <m/>
    <n v="0"/>
    <n v="0"/>
    <n v="0"/>
    <n v="0"/>
    <n v="-1.0967016254046325"/>
    <n v="-4.2076096167904337E-2"/>
    <n v="0"/>
    <n v="0"/>
    <m/>
    <m/>
    <m/>
    <n v="521.29959898262132"/>
    <n v="0"/>
    <n v="0"/>
    <n v="-102.28863999999999"/>
    <n v="22.915179999999992"/>
    <n v="0"/>
    <n v="0"/>
    <n v="-112.70216058549966"/>
    <n v="0"/>
    <n v="0"/>
    <n v="0"/>
    <n v="0"/>
    <n v="0"/>
    <n v="0"/>
    <n v="0"/>
    <n v="0"/>
    <n v="0"/>
    <n v="0"/>
    <n v="0"/>
    <n v="0"/>
    <n v="10.21077112559327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65"/>
    <s v="Regular"/>
    <s v="Verde"/>
    <s v="A4"/>
    <s v="Poder público"/>
    <s v="Não se aplica"/>
    <s v="Não se aplica"/>
    <s v="Não se aplica"/>
    <s v="Fora ponta"/>
    <s v="CATIVO"/>
    <x v="7"/>
    <n v="0"/>
    <n v="0"/>
    <n v="9.39"/>
    <n v="9.39"/>
    <n v="9.39"/>
    <n v="9.39"/>
    <m/>
    <n v="78.42"/>
    <n v="171.61"/>
    <m/>
    <n v="2347.7817000000005"/>
    <n v="2347.7817000000005"/>
    <n v="2488.7256000000002"/>
    <n v="0"/>
    <n v="493.89381528449587"/>
    <n v="0"/>
    <n v="0"/>
    <n v="0"/>
    <n v="0"/>
    <n v="0"/>
    <n v="1552.8639981192448"/>
    <n v="58.550001728909791"/>
    <n v="0"/>
    <n v="0"/>
    <n v="0"/>
    <n v="0"/>
    <n v="87.778760199884886"/>
    <m/>
    <n v="2.47952785900718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042301504442442"/>
    <n v="0"/>
    <n v="0"/>
    <n v="0"/>
    <n v="0"/>
    <n v="0"/>
    <m/>
    <m/>
    <m/>
    <m/>
    <m/>
    <m/>
    <m/>
    <m/>
    <m/>
    <n v="1610.9062996236873"/>
    <m/>
    <m/>
    <m/>
    <m/>
    <m/>
    <m/>
    <m/>
    <m/>
    <m/>
    <m/>
    <m/>
    <m/>
    <n v="2488.7256000000002"/>
    <n v="140.91390000000001"/>
    <m/>
    <m/>
    <m/>
    <m/>
    <n v="-70.425000000000011"/>
    <n v="211.36889999999994"/>
    <n v="30"/>
    <n v="140.97971460904409"/>
    <n v="0"/>
    <n v="0"/>
    <n v="0"/>
    <n v="0"/>
    <n v="0"/>
    <n v="0"/>
    <n v="0"/>
    <n v="0"/>
    <n v="0"/>
    <n v="0"/>
    <n v="211.41910504768794"/>
    <n v="0"/>
    <n v="0"/>
    <n v="0"/>
    <n v="7.9023349461635561"/>
    <n v="0"/>
    <n v="-67.837675477571622"/>
    <m/>
    <n v="0"/>
    <n v="0"/>
    <n v="0"/>
    <n v="0"/>
    <n v="-10.115941318810897"/>
    <n v="-0.3881085884249722"/>
    <n v="0"/>
    <n v="0"/>
    <m/>
    <m/>
    <m/>
    <n v="0"/>
    <n v="0"/>
    <n v="0"/>
    <n v="-70.425000000000068"/>
    <n v="211.36889999999994"/>
    <n v="0"/>
    <n v="0"/>
    <n v="0"/>
    <n v="0"/>
    <n v="0"/>
    <n v="0"/>
    <n v="0"/>
    <n v="0"/>
    <n v="0"/>
    <n v="0"/>
    <n v="0"/>
    <n v="0"/>
    <n v="0"/>
    <n v="0"/>
    <n v="0"/>
    <n v="94.18383189520714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66"/>
    <s v="Regular"/>
    <s v="Verde"/>
    <s v="A4"/>
    <s v="Poder público"/>
    <s v="Não se aplica"/>
    <s v="Não se aplica"/>
    <s v="Não se aplica"/>
    <s v="Não se aplica"/>
    <s v="CATIVO"/>
    <x v="7"/>
    <n v="155"/>
    <n v="155"/>
    <n v="0"/>
    <n v="0"/>
    <n v="0"/>
    <n v="0"/>
    <n v="12.58"/>
    <m/>
    <m/>
    <n v="1949.9"/>
    <m/>
    <n v="1949.9"/>
    <n v="1796.45"/>
    <n v="0"/>
    <n v="0"/>
    <n v="0"/>
    <n v="0"/>
    <n v="0"/>
    <n v="1027.2531104861855"/>
    <n v="922.20489893827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17.77"/>
    <n v="3"/>
    <m/>
    <m/>
    <m/>
    <m/>
    <m/>
    <m/>
    <m/>
    <m/>
    <m/>
    <n v="0"/>
    <m/>
    <m/>
    <m/>
    <m/>
    <m/>
    <m/>
    <m/>
    <m/>
    <m/>
    <m/>
    <m/>
    <m/>
    <n v="1796.45"/>
    <n v="-153.48000000000002"/>
    <m/>
    <m/>
    <m/>
    <m/>
    <n v="-153.45000000000005"/>
    <n v="0"/>
    <n v="30"/>
    <n v="46.259904194573437"/>
    <n v="0"/>
    <n v="0"/>
    <n v="0"/>
    <n v="0"/>
    <m/>
    <m/>
    <m/>
    <n v="46.2599041945734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2.20489893827255"/>
    <m/>
    <n v="0"/>
    <n v="0"/>
    <n v="-153.45000000000005"/>
    <m/>
    <n v="0"/>
    <m/>
    <n v="-199.3757233186374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367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99.293000000000006"/>
    <n v="99.293000000000006"/>
    <n v="99.293000000000006"/>
    <n v="99.293000000000006"/>
    <m/>
    <n v="131.83000000000001"/>
    <n v="94.39"/>
    <m/>
    <n v="22462.062460000001"/>
    <n v="22462.062460000001"/>
    <n v="22379.649270000002"/>
    <n v="0"/>
    <n v="3301.6426414226362"/>
    <n v="0"/>
    <n v="0"/>
    <n v="0"/>
    <n v="2912.7399156643278"/>
    <n v="4839.3521073337588"/>
    <n v="9031.2767551533416"/>
    <n v="340.52001351626768"/>
    <n v="0"/>
    <n v="0"/>
    <n v="0"/>
    <n v="0"/>
    <n v="510.51107988178296"/>
    <m/>
    <n v="21.62883587027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4.31975610587983"/>
    <n v="0"/>
    <n v="0"/>
    <n v="0"/>
    <n v="9813.06"/>
    <n v="7"/>
    <m/>
    <m/>
    <m/>
    <m/>
    <m/>
    <m/>
    <m/>
    <m/>
    <m/>
    <n v="9905.5965112592221"/>
    <m/>
    <m/>
    <m/>
    <m/>
    <m/>
    <m/>
    <m/>
    <m/>
    <m/>
    <m/>
    <m/>
    <m/>
    <n v="22378.973100000003"/>
    <n v="-83.119360000000597"/>
    <m/>
    <m/>
    <m/>
    <m/>
    <n v="-1311.6605300000008"/>
    <n v="1229.2473399999997"/>
    <n v="30"/>
    <n v="964.08575246561304"/>
    <n v="0"/>
    <n v="0"/>
    <n v="0"/>
    <n v="0"/>
    <n v="0"/>
    <n v="0"/>
    <n v="0"/>
    <n v="131.16832459973602"/>
    <n v="0"/>
    <n v="0"/>
    <n v="1229.5889732295163"/>
    <n v="0"/>
    <n v="0"/>
    <n v="0"/>
    <n v="119.03676084016331"/>
    <n v="0"/>
    <n v="-453.48970795013383"/>
    <m/>
    <n v="0"/>
    <n v="0"/>
    <n v="0"/>
    <n v="0"/>
    <n v="-58.833140442255569"/>
    <n v="-3.3854578114107916"/>
    <n v="0"/>
    <n v="0"/>
    <m/>
    <m/>
    <m/>
    <n v="4839.3521073337588"/>
    <n v="0"/>
    <n v="0"/>
    <n v="-1311.660530000001"/>
    <n v="1229.2473399999999"/>
    <n v="0"/>
    <n v="0"/>
    <n v="-1046.241814486194"/>
    <n v="0"/>
    <n v="0"/>
    <n v="0"/>
    <n v="0"/>
    <n v="0"/>
    <n v="0"/>
    <n v="0"/>
    <n v="0"/>
    <n v="0"/>
    <n v="0"/>
    <n v="0"/>
    <n v="0"/>
    <n v="629.6117624770716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68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40.216999999999999"/>
    <n v="37.803980000000003"/>
    <n v="40.216999999999999"/>
    <n v="37.803980000000003"/>
    <m/>
    <n v="239.69"/>
    <n v="171.61"/>
    <m/>
    <n v="16541.252099999998"/>
    <n v="16541.252099999998"/>
    <n v="16480.524429999998"/>
    <n v="0"/>
    <n v="2431.4112065044214"/>
    <n v="0"/>
    <n v="0"/>
    <n v="0"/>
    <n v="2145.0136316168446"/>
    <n v="3563.8184455123528"/>
    <n v="6650.8553154804758"/>
    <n v="250.76735032285038"/>
    <n v="0"/>
    <n v="0"/>
    <n v="0"/>
    <n v="0"/>
    <n v="375.9529711351193"/>
    <m/>
    <n v="15.928009063986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3.87066801029141"/>
    <n v="0"/>
    <n v="0"/>
    <n v="0"/>
    <n v="6897.42"/>
    <n v="40"/>
    <m/>
    <m/>
    <m/>
    <m/>
    <n v="988.83146579999834"/>
    <m/>
    <m/>
    <m/>
    <m/>
    <n v="7294.7259834907672"/>
    <m/>
    <m/>
    <m/>
    <m/>
    <m/>
    <m/>
    <m/>
    <m/>
    <m/>
    <m/>
    <m/>
    <m/>
    <n v="15490.061999999998"/>
    <n v="-58.744974000002912"/>
    <m/>
    <m/>
    <m/>
    <m/>
    <n v="-966.01234000000034"/>
    <n v="905.28466999999955"/>
    <n v="30"/>
    <n v="709.97656535175338"/>
    <n v="0"/>
    <n v="0"/>
    <n v="0"/>
    <n v="0"/>
    <n v="0"/>
    <n v="0"/>
    <n v="0"/>
    <n v="96.595594680348313"/>
    <n v="0"/>
    <n v="0"/>
    <n v="905.49969624098594"/>
    <n v="0"/>
    <n v="0"/>
    <n v="0"/>
    <n v="87.661611423834984"/>
    <n v="0"/>
    <n v="-333.96102416137501"/>
    <m/>
    <n v="0"/>
    <n v="0"/>
    <n v="0"/>
    <n v="0"/>
    <n v="-43.326178063750604"/>
    <n v="-2.4931347682938085"/>
    <n v="0"/>
    <n v="0"/>
    <m/>
    <m/>
    <m/>
    <n v="3563.8184455123528"/>
    <n v="0"/>
    <n v="0"/>
    <n v="-966.01233999999931"/>
    <n v="905.2846699999991"/>
    <n v="0"/>
    <n v="0"/>
    <n v="-770.47831904641316"/>
    <n v="0"/>
    <n v="0"/>
    <n v="0"/>
    <n v="0"/>
    <n v="0"/>
    <n v="0"/>
    <n v="0"/>
    <n v="0"/>
    <n v="0"/>
    <n v="0"/>
    <n v="0"/>
    <n v="0"/>
    <n v="463.6616561185850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69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9.7530000000000001"/>
    <n v="9.7530000000000001"/>
    <n v="9.7530000000000001"/>
    <n v="9.7530000000000001"/>
    <m/>
    <n v="239.69"/>
    <n v="171.61"/>
    <m/>
    <n v="4011.4089000000004"/>
    <n v="4011.4089000000004"/>
    <n v="3996.6818699999999"/>
    <n v="0"/>
    <n v="589.64004020781329"/>
    <n v="0"/>
    <n v="0"/>
    <n v="0"/>
    <n v="520.18594000445307"/>
    <n v="864.25942509590425"/>
    <n v="1612.8948427749729"/>
    <n v="60.813436300538569"/>
    <n v="0"/>
    <n v="0"/>
    <n v="0"/>
    <n v="0"/>
    <n v="91.172124412084912"/>
    <m/>
    <n v="3.8626917075132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.14468073462399"/>
    <n v="0"/>
    <n v="0"/>
    <n v="0"/>
    <n v="1688.9"/>
    <n v="4"/>
    <m/>
    <m/>
    <m/>
    <m/>
    <m/>
    <m/>
    <m/>
    <m/>
    <m/>
    <n v="1769.0395235095968"/>
    <m/>
    <m/>
    <m/>
    <m/>
    <m/>
    <m/>
    <m/>
    <m/>
    <m/>
    <m/>
    <m/>
    <m/>
    <n v="3995.4524999999999"/>
    <n v="-15.98640000000114"/>
    <m/>
    <m/>
    <m/>
    <m/>
    <n v="-234.2670600000001"/>
    <n v="219.54002999999992"/>
    <n v="30"/>
    <n v="172.17598134807668"/>
    <n v="0"/>
    <n v="0"/>
    <n v="0"/>
    <n v="0"/>
    <n v="0"/>
    <n v="0"/>
    <n v="0"/>
    <n v="23.425338412050451"/>
    <n v="0"/>
    <n v="0"/>
    <n v="219.59217588179968"/>
    <n v="0"/>
    <n v="0"/>
    <n v="0"/>
    <n v="21.258763612817035"/>
    <n v="0"/>
    <n v="-80.988683110274167"/>
    <m/>
    <n v="0"/>
    <n v="0"/>
    <n v="0"/>
    <n v="0"/>
    <n v="-10.507004865001363"/>
    <n v="-0.60460858331475587"/>
    <n v="0"/>
    <n v="0"/>
    <m/>
    <m/>
    <m/>
    <n v="864.25942509590425"/>
    <n v="0"/>
    <n v="0"/>
    <n v="-234.26706000000013"/>
    <n v="219.54002999999989"/>
    <n v="0"/>
    <n v="0"/>
    <n v="-186.84822452345213"/>
    <n v="0"/>
    <n v="0"/>
    <n v="0"/>
    <n v="0"/>
    <n v="0"/>
    <n v="0"/>
    <n v="0"/>
    <n v="0"/>
    <n v="0"/>
    <n v="0"/>
    <n v="0"/>
    <n v="0"/>
    <n v="112.4423038049720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70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1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71"/>
    <s v="Regular"/>
    <s v="Convencional"/>
    <s v="B2"/>
    <s v="Rural"/>
    <s v="Agropecuária rural"/>
    <s v="IRRIG./AQUIC."/>
    <s v="Não se aplica"/>
    <s v="Não se aplica"/>
    <s v="CATIVO"/>
    <x v="7"/>
    <n v="0"/>
    <n v="0"/>
    <n v="0.1"/>
    <n v="0.1"/>
    <n v="0.1"/>
    <n v="0.1"/>
    <m/>
    <n v="239.69"/>
    <n v="171.61"/>
    <m/>
    <n v="41.13"/>
    <n v="41.13"/>
    <n v="40.978999999999999"/>
    <n v="0"/>
    <n v="6.0457299313832999"/>
    <n v="0"/>
    <n v="0"/>
    <n v="0"/>
    <n v="5.3335993028242905"/>
    <n v="8.8614726247913893"/>
    <n v="16.537422770173002"/>
    <n v="0.62353569466357606"/>
    <n v="0"/>
    <n v="0"/>
    <n v="0"/>
    <n v="0"/>
    <n v="0.9348110777410531"/>
    <m/>
    <n v="3.960516464178470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01"/>
    <n v="0"/>
    <n v="0"/>
    <n v="0"/>
    <n v="0"/>
    <n v="0"/>
    <m/>
    <m/>
    <m/>
    <m/>
    <m/>
    <n v="5.7799999999999985"/>
    <m/>
    <m/>
    <m/>
    <n v="18.138414062438191"/>
    <m/>
    <m/>
    <m/>
    <m/>
    <m/>
    <m/>
    <m/>
    <m/>
    <m/>
    <m/>
    <m/>
    <m/>
    <n v="35.198999999999998"/>
    <n v="-6.7000000000007276E-2"/>
    <m/>
    <m/>
    <m/>
    <m/>
    <n v="-2.402000000000001"/>
    <n v="2.250999999999999"/>
    <n v="30"/>
    <n v="1.7653643119868505"/>
    <n v="0"/>
    <n v="0"/>
    <n v="0"/>
    <n v="0"/>
    <n v="0"/>
    <n v="0"/>
    <n v="0"/>
    <n v="0.24018597777145967"/>
    <n v="0"/>
    <n v="0"/>
    <n v="2.2515346650445984"/>
    <n v="0"/>
    <n v="0"/>
    <n v="0"/>
    <n v="0.21797153299310001"/>
    <n v="0"/>
    <n v="-0.83039765313518021"/>
    <m/>
    <n v="0"/>
    <n v="0"/>
    <n v="0"/>
    <n v="0"/>
    <n v="-0.10773100446018002"/>
    <n v="-6.1992062269533091E-3"/>
    <n v="0"/>
    <n v="0"/>
    <m/>
    <m/>
    <m/>
    <n v="8.8614726247913893"/>
    <n v="0"/>
    <n v="0"/>
    <n v="-2.402000000000001"/>
    <n v="2.2510000000000012"/>
    <n v="0"/>
    <n v="0"/>
    <n v="-1.915802568680939"/>
    <n v="0"/>
    <n v="0"/>
    <n v="0"/>
    <n v="0"/>
    <n v="0"/>
    <n v="0"/>
    <n v="0"/>
    <n v="0"/>
    <n v="0"/>
    <n v="0"/>
    <n v="0"/>
    <n v="0"/>
    <n v="1.1528996596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73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801.330000000002"/>
    <n v="1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74"/>
    <s v="Refaturamento - 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276.7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75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59.7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76"/>
    <s v="Regular"/>
    <s v="Convencional"/>
    <s v="B2"/>
    <s v="Rural"/>
    <s v="Aquicultura"/>
    <s v="IRRIG./AQUIC."/>
    <s v="Não se aplica"/>
    <s v="Não se aplica"/>
    <s v="CATIVO"/>
    <x v="7"/>
    <n v="0"/>
    <n v="0"/>
    <n v="47.02"/>
    <n v="47.02"/>
    <n v="47.02"/>
    <n v="47.02"/>
    <m/>
    <n v="239.69"/>
    <n v="171.61"/>
    <m/>
    <n v="19339.326000000001"/>
    <n v="19339.326000000001"/>
    <n v="19268.325800000002"/>
    <n v="0"/>
    <n v="2842.7022137364279"/>
    <n v="0"/>
    <n v="0"/>
    <n v="0"/>
    <n v="2507.8583921879813"/>
    <n v="4166.6644281769113"/>
    <n v="7775.8961865353458"/>
    <n v="293.18648363081348"/>
    <n v="0"/>
    <n v="0"/>
    <n v="0"/>
    <n v="0"/>
    <n v="439.54816875384319"/>
    <m/>
    <n v="18.622348414567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2.78610562309234"/>
    <n v="0"/>
    <n v="0"/>
    <n v="0"/>
    <n v="0"/>
    <n v="0"/>
    <m/>
    <m/>
    <m/>
    <m/>
    <m/>
    <n v="2717.7559999999994"/>
    <m/>
    <m/>
    <m/>
    <n v="8528.6822921584389"/>
    <m/>
    <m/>
    <m/>
    <m/>
    <m/>
    <m/>
    <m/>
    <m/>
    <m/>
    <m/>
    <m/>
    <m/>
    <n v="16550.569800000001"/>
    <n v="-17.427400000000489"/>
    <m/>
    <m/>
    <m/>
    <m/>
    <n v="-1129.4204000000007"/>
    <n v="1058.4201999999996"/>
    <n v="30"/>
    <n v="830.07429949621473"/>
    <n v="0"/>
    <n v="0"/>
    <n v="0"/>
    <n v="0"/>
    <n v="0"/>
    <n v="0"/>
    <n v="0"/>
    <n v="112.93544674814075"/>
    <n v="0"/>
    <n v="0"/>
    <n v="1058.6715995039694"/>
    <n v="0"/>
    <n v="0"/>
    <n v="0"/>
    <n v="102.49021481335569"/>
    <n v="0"/>
    <n v="-390.45297650416205"/>
    <m/>
    <n v="0"/>
    <n v="0"/>
    <n v="0"/>
    <n v="0"/>
    <n v="-50.655118297176671"/>
    <n v="-2.9148667679134412"/>
    <n v="0"/>
    <n v="0"/>
    <m/>
    <m/>
    <m/>
    <n v="4166.6644281769113"/>
    <n v="0"/>
    <n v="0"/>
    <n v="-1129.4203999999991"/>
    <n v="1058.4202000000005"/>
    <n v="0"/>
    <n v="0"/>
    <n v="-900.81036779377746"/>
    <n v="0"/>
    <n v="0"/>
    <n v="0"/>
    <n v="0"/>
    <n v="0"/>
    <n v="0"/>
    <n v="0"/>
    <n v="0"/>
    <n v="0"/>
    <n v="0"/>
    <n v="0"/>
    <n v="0"/>
    <n v="542.0934199640915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77"/>
    <s v="Refaturamento - Regular"/>
    <s v="Convencional"/>
    <s v="B2"/>
    <s v="Rural"/>
    <s v="Aquicultura"/>
    <s v="IRRIG./AQUIC."/>
    <s v="Não se aplica"/>
    <s v="Não se aplica"/>
    <s v="CATIVO"/>
    <x v="7"/>
    <n v="0"/>
    <n v="0"/>
    <n v="-0.29599999999999999"/>
    <n v="-0.29599999999999999"/>
    <n v="-0.29599999999999999"/>
    <n v="-0.29599999999999999"/>
    <m/>
    <n v="239.69"/>
    <n v="171.61"/>
    <m/>
    <n v="-121.7448"/>
    <n v="-121.7448"/>
    <n v="-121.29783999999999"/>
    <n v="0"/>
    <n v="-17.895360596894566"/>
    <n v="0"/>
    <n v="0"/>
    <n v="0"/>
    <n v="-15.787453936359899"/>
    <n v="-26.229958969382512"/>
    <n v="-48.950771399712082"/>
    <n v="-1.8456656562041849"/>
    <n v="0"/>
    <n v="0"/>
    <n v="0"/>
    <n v="0"/>
    <n v="-2.767040790113517"/>
    <m/>
    <n v="-0.11723128733968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7389342251049618"/>
    <n v="0"/>
    <n v="0"/>
    <n v="0"/>
    <n v="0"/>
    <n v="0"/>
    <m/>
    <m/>
    <m/>
    <m/>
    <m/>
    <n v="-17.108799999999995"/>
    <m/>
    <m/>
    <m/>
    <n v="-53.689705624817044"/>
    <m/>
    <m/>
    <m/>
    <m/>
    <m/>
    <m/>
    <m/>
    <m/>
    <m/>
    <m/>
    <m/>
    <m/>
    <n v="-105.59700000000001"/>
    <n v="-1.3284400000000147"/>
    <m/>
    <m/>
    <m/>
    <m/>
    <n v="7.1099200000000025"/>
    <n v="-6.6629599999999973"/>
    <n v="30"/>
    <n v="-5.2254783634810735"/>
    <n v="0"/>
    <n v="0"/>
    <n v="0"/>
    <n v="0"/>
    <n v="0"/>
    <n v="0"/>
    <n v="0"/>
    <n v="-0.71095049420351941"/>
    <n v="0"/>
    <n v="0"/>
    <n v="-6.6645426085320096"/>
    <n v="0"/>
    <n v="0"/>
    <n v="0"/>
    <n v="-0.64519573765957627"/>
    <n v="0"/>
    <n v="2.4579770532801319"/>
    <m/>
    <n v="0"/>
    <n v="0"/>
    <n v="0"/>
    <n v="0"/>
    <n v="0.31888377320213301"/>
    <n v="1.8349650431781772E-2"/>
    <n v="0"/>
    <n v="0"/>
    <m/>
    <m/>
    <m/>
    <n v="-26.229958969382512"/>
    <n v="0"/>
    <n v="0"/>
    <n v="7.1099200000000025"/>
    <n v="-6.6629599999999982"/>
    <n v="0"/>
    <n v="0"/>
    <n v="5.6707756032955814"/>
    <n v="0"/>
    <n v="0"/>
    <n v="0"/>
    <n v="0"/>
    <n v="0"/>
    <n v="0"/>
    <n v="0"/>
    <n v="0"/>
    <n v="0"/>
    <n v="0"/>
    <n v="0"/>
    <n v="0"/>
    <n v="-3.41258299254298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78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1.5740000000000001"/>
    <n v="1.5740000000000001"/>
    <n v="1.5740000000000001"/>
    <n v="1.5740000000000001"/>
    <m/>
    <n v="239.69"/>
    <n v="171.61"/>
    <m/>
    <n v="647.38620000000003"/>
    <n v="647.38620000000003"/>
    <n v="645.00945999999999"/>
    <n v="0"/>
    <n v="95.159789119973141"/>
    <n v="0"/>
    <n v="0"/>
    <n v="0"/>
    <n v="83.95085302645434"/>
    <n v="139.47957911421648"/>
    <n v="260.29903440252303"/>
    <n v="9.8144518340046876"/>
    <n v="0"/>
    <n v="0"/>
    <n v="0"/>
    <n v="0"/>
    <n v="14.713926363644177"/>
    <m/>
    <n v="0.623385291461691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199602940254092"/>
    <n v="0"/>
    <n v="0"/>
    <n v="0"/>
    <n v="0"/>
    <n v="0"/>
    <m/>
    <m/>
    <m/>
    <m/>
    <m/>
    <n v="90.977199999999982"/>
    <m/>
    <m/>
    <m/>
    <n v="285.4986373427771"/>
    <m/>
    <m/>
    <m/>
    <m/>
    <m/>
    <m/>
    <m/>
    <m/>
    <m/>
    <m/>
    <m/>
    <m/>
    <n v="552.62429999999995"/>
    <n v="-2.0203400000000329"/>
    <m/>
    <m/>
    <m/>
    <m/>
    <n v="-37.80748000000002"/>
    <n v="35.430739999999986"/>
    <n v="30"/>
    <n v="27.786834270673012"/>
    <n v="0"/>
    <n v="0"/>
    <n v="0"/>
    <n v="0"/>
    <n v="0"/>
    <n v="0"/>
    <n v="0"/>
    <n v="3.7805272901227767"/>
    <n v="0"/>
    <n v="0"/>
    <n v="35.439155627801995"/>
    <n v="0"/>
    <n v="0"/>
    <n v="0"/>
    <n v="3.4308719293113938"/>
    <n v="0"/>
    <n v="-13.07045906034773"/>
    <m/>
    <n v="0"/>
    <n v="0"/>
    <n v="0"/>
    <n v="0"/>
    <n v="-1.6956860102032341"/>
    <n v="-9.7575506012244961E-2"/>
    <n v="0"/>
    <n v="0"/>
    <m/>
    <m/>
    <m/>
    <n v="139.47957911421648"/>
    <n v="0"/>
    <n v="0"/>
    <n v="-37.807479999999998"/>
    <n v="35.430740000000014"/>
    <n v="0"/>
    <n v="0"/>
    <n v="-30.154732431037999"/>
    <n v="0"/>
    <n v="0"/>
    <n v="0"/>
    <n v="0"/>
    <n v="0"/>
    <n v="0"/>
    <n v="0"/>
    <n v="0"/>
    <n v="0"/>
    <n v="0"/>
    <n v="0"/>
    <n v="0"/>
    <n v="18.14664064277924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79"/>
    <s v="Regular"/>
    <s v="Convencional"/>
    <s v="B2"/>
    <s v="Rural"/>
    <s v="Aquicultura"/>
    <s v="IRRIG./AQUIC. PR"/>
    <s v="Não se aplica"/>
    <s v="Não se aplica"/>
    <s v="CATIVO"/>
    <x v="7"/>
    <n v="0"/>
    <n v="0"/>
    <n v="81.331000000000003"/>
    <n v="32.532400000000003"/>
    <n v="81.331000000000003"/>
    <n v="32.532400000000003"/>
    <m/>
    <n v="239.69"/>
    <n v="171.61"/>
    <m/>
    <n v="33451.440300000002"/>
    <n v="33451.440300000002"/>
    <n v="33328.630490000003"/>
    <n v="0"/>
    <n v="4917.0526104933515"/>
    <n v="0"/>
    <n v="0"/>
    <n v="0"/>
    <n v="4337.8696489800241"/>
    <n v="7207.124300469085"/>
    <n v="13450.051313209404"/>
    <n v="507.12781582683306"/>
    <n v="0"/>
    <n v="0"/>
    <n v="0"/>
    <n v="0"/>
    <n v="760.29119763757592"/>
    <m/>
    <n v="32.2112764548099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2.1022279122017"/>
    <n v="0"/>
    <n v="0"/>
    <n v="0"/>
    <n v="0"/>
    <n v="0"/>
    <m/>
    <m/>
    <m/>
    <m/>
    <m/>
    <m/>
    <n v="21877.551014000001"/>
    <m/>
    <m/>
    <n v="14752.153541121606"/>
    <m/>
    <m/>
    <m/>
    <m/>
    <m/>
    <m/>
    <m/>
    <m/>
    <m/>
    <m/>
    <m/>
    <m/>
    <n v="11450.234700000001"/>
    <n v="-12.911764000002222"/>
    <m/>
    <m/>
    <m/>
    <m/>
    <n v="-1953.5706200000009"/>
    <n v="1830.7608099999993"/>
    <n v="30"/>
    <n v="1435.7884485820214"/>
    <n v="0"/>
    <n v="0"/>
    <n v="0"/>
    <n v="0"/>
    <n v="0"/>
    <n v="0"/>
    <n v="0"/>
    <n v="195.34565758130611"/>
    <n v="0"/>
    <n v="0"/>
    <n v="1831.195658427423"/>
    <n v="0"/>
    <n v="0"/>
    <n v="0"/>
    <n v="177.27842749861816"/>
    <n v="0"/>
    <n v="-675.37071527137323"/>
    <m/>
    <n v="0"/>
    <n v="0"/>
    <n v="0"/>
    <n v="0"/>
    <n v="-87.618703237509067"/>
    <n v="-5.0418764164433938"/>
    <n v="0"/>
    <n v="0"/>
    <m/>
    <m/>
    <m/>
    <n v="7207.124300469085"/>
    <n v="0"/>
    <n v="0"/>
    <n v="-1953.5706199999986"/>
    <n v="1830.7608099999998"/>
    <n v="0"/>
    <n v="0"/>
    <n v="-1558.1413871338946"/>
    <n v="0"/>
    <n v="0"/>
    <n v="0"/>
    <n v="0"/>
    <n v="0"/>
    <n v="0"/>
    <n v="0"/>
    <n v="0"/>
    <n v="0"/>
    <n v="0"/>
    <n v="0"/>
    <n v="0"/>
    <n v="937.6648221841670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0"/>
    <s v="Refaturamento - Regular"/>
    <s v="Convencional"/>
    <s v="B2"/>
    <s v="Rural"/>
    <s v="Aquicultura"/>
    <s v="IRRIG./AQUIC. PR"/>
    <s v="Não se aplica"/>
    <s v="Não se aplica"/>
    <s v="CATIVO"/>
    <x v="7"/>
    <n v="0"/>
    <n v="0"/>
    <n v="-1.4450000000000001"/>
    <n v="-0.57799999999999996"/>
    <n v="-1.4450000000000001"/>
    <n v="-0.57799999999999996"/>
    <m/>
    <n v="239.69"/>
    <n v="171.61"/>
    <m/>
    <n v="-594.32850000000008"/>
    <n v="-594.32850000000008"/>
    <n v="-592.14654999999993"/>
    <n v="0"/>
    <n v="-87.360797508488687"/>
    <n v="0"/>
    <n v="0"/>
    <n v="0"/>
    <n v="-77.070509925810995"/>
    <n v="-128.04827942823559"/>
    <n v="-238.96575902899988"/>
    <n v="-9.0100907878886733"/>
    <n v="0"/>
    <n v="0"/>
    <n v="0"/>
    <n v="0"/>
    <n v="-13.508020073358217"/>
    <m/>
    <n v="-0.57229462907378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3.134324173231995"/>
    <n v="0"/>
    <n v="0"/>
    <n v="0"/>
    <n v="0"/>
    <n v="0"/>
    <m/>
    <m/>
    <m/>
    <m/>
    <m/>
    <m/>
    <n v="-388.69632999999999"/>
    <m/>
    <m/>
    <n v="-262.10008320223187"/>
    <m/>
    <m/>
    <m/>
    <m/>
    <m/>
    <m/>
    <m/>
    <m/>
    <m/>
    <m/>
    <m/>
    <m/>
    <n v="-204.1542"/>
    <n v="-0.5201200000000199"/>
    <m/>
    <m/>
    <m/>
    <m/>
    <n v="34.708900000000014"/>
    <n v="-32.526949999999985"/>
    <n v="30"/>
    <n v="-25.50951430820993"/>
    <n v="0"/>
    <n v="0"/>
    <n v="0"/>
    <n v="0"/>
    <n v="0"/>
    <n v="0"/>
    <n v="0"/>
    <n v="-3.4706873787975923"/>
    <n v="0"/>
    <n v="0"/>
    <n v="-32.534675909894446"/>
    <n v="0"/>
    <n v="0"/>
    <n v="0"/>
    <n v="-3.1496886517502958"/>
    <n v="0"/>
    <n v="11.999246087803357"/>
    <m/>
    <n v="0"/>
    <n v="0"/>
    <n v="0"/>
    <n v="0"/>
    <n v="1.5567130144496009"/>
    <n v="8.9578529979475185E-2"/>
    <n v="0"/>
    <n v="0"/>
    <m/>
    <m/>
    <m/>
    <n v="-128.04827942823559"/>
    <n v="0"/>
    <n v="0"/>
    <n v="34.708900000000028"/>
    <n v="-32.526949999999971"/>
    <n v="0"/>
    <n v="0"/>
    <n v="27.683347117439581"/>
    <n v="0"/>
    <n v="0"/>
    <n v="0"/>
    <n v="0"/>
    <n v="0"/>
    <n v="0"/>
    <n v="0"/>
    <n v="0"/>
    <n v="0"/>
    <n v="0"/>
    <n v="0"/>
    <n v="0"/>
    <n v="-16.65940008183990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1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3.605"/>
    <n v="3.605"/>
    <n v="3.605"/>
    <n v="3.605"/>
    <m/>
    <n v="239.69"/>
    <n v="171.61"/>
    <m/>
    <n v="1482.7365"/>
    <n v="1482.7365"/>
    <n v="1477.29295"/>
    <n v="0"/>
    <n v="217.94856402636796"/>
    <n v="0"/>
    <n v="0"/>
    <n v="0"/>
    <n v="192.27625486681566"/>
    <n v="319.45608812372956"/>
    <n v="596.17409086473663"/>
    <n v="22.478461792621918"/>
    <n v="0"/>
    <n v="0"/>
    <n v="0"/>
    <n v="0"/>
    <n v="33.699939352564961"/>
    <m/>
    <n v="1.4277661853363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715736086160099"/>
    <n v="0"/>
    <n v="0"/>
    <n v="0"/>
    <n v="0"/>
    <n v="0"/>
    <m/>
    <m/>
    <m/>
    <m/>
    <m/>
    <n v="208.36899999999991"/>
    <m/>
    <m/>
    <m/>
    <n v="653.88982695089669"/>
    <m/>
    <m/>
    <m/>
    <m/>
    <m/>
    <m/>
    <m/>
    <m/>
    <m/>
    <m/>
    <m/>
    <m/>
    <n v="1270.6839"/>
    <n v="0.39610000000016043"/>
    <m/>
    <m/>
    <m/>
    <m/>
    <n v="-86.59210000000003"/>
    <n v="81.148549999999972"/>
    <n v="30"/>
    <n v="63.641383447125463"/>
    <n v="0"/>
    <n v="0"/>
    <n v="0"/>
    <n v="0"/>
    <n v="0"/>
    <n v="0"/>
    <n v="0"/>
    <n v="8.6587044986611374"/>
    <n v="0"/>
    <n v="0"/>
    <n v="81.167824674857798"/>
    <n v="0"/>
    <n v="0"/>
    <n v="0"/>
    <n v="7.8578737644012548"/>
    <n v="0"/>
    <n v="-29.935835395523242"/>
    <m/>
    <n v="0"/>
    <n v="0"/>
    <n v="0"/>
    <n v="0"/>
    <n v="-3.883702710789489"/>
    <n v="-0.22348138448166655"/>
    <n v="0"/>
    <n v="0"/>
    <m/>
    <m/>
    <m/>
    <n v="319.45608812372956"/>
    <n v="0"/>
    <n v="0"/>
    <n v="-86.592100000000073"/>
    <n v="81.148549999999886"/>
    <n v="0"/>
    <n v="0"/>
    <n v="-69.064682600947833"/>
    <n v="0"/>
    <n v="0"/>
    <n v="0"/>
    <n v="0"/>
    <n v="0"/>
    <n v="0"/>
    <n v="0"/>
    <n v="0"/>
    <n v="0"/>
    <n v="0"/>
    <n v="0"/>
    <n v="0"/>
    <n v="41.56203273012654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2"/>
    <s v="Regular"/>
    <s v="Convencional"/>
    <s v="B1"/>
    <s v="Residencial"/>
    <s v="Residencial"/>
    <s v="Não se aplica"/>
    <s v="Não se aplica"/>
    <s v="Não se aplica"/>
    <s v="CATIVO"/>
    <x v="8"/>
    <n v="0"/>
    <n v="0"/>
    <n v="1189.202"/>
    <n v="1189.202"/>
    <n v="1189.202"/>
    <n v="1189.202"/>
    <m/>
    <n v="239.69"/>
    <n v="171.61"/>
    <m/>
    <n v="489118.78259999998"/>
    <n v="489118.78259999998"/>
    <n v="487323.08757999999"/>
    <n v="0"/>
    <n v="71895.941258608829"/>
    <n v="0"/>
    <n v="0"/>
    <n v="0"/>
    <n v="63427.269581172513"/>
    <n v="105380.8096834717"/>
    <n v="196663.36233135272"/>
    <n v="7415.098951653139"/>
    <n v="0"/>
    <n v="0"/>
    <n v="0"/>
    <n v="0"/>
    <n v="11116.792032718158"/>
    <m/>
    <n v="470.98541002339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39.020467443483"/>
    <n v="0"/>
    <n v="0"/>
    <n v="0"/>
    <n v="112601.99"/>
    <n v="4644"/>
    <m/>
    <m/>
    <m/>
    <m/>
    <m/>
    <m/>
    <m/>
    <m/>
    <m/>
    <n v="215702.3827987962"/>
    <m/>
    <m/>
    <m/>
    <m/>
    <m/>
    <m/>
    <m/>
    <m/>
    <m/>
    <m/>
    <m/>
    <m/>
    <n v="487322.26800000004"/>
    <n v="-1796.5445999999647"/>
    <m/>
    <m/>
    <m/>
    <m/>
    <n v="-28564.632040000011"/>
    <n v="26768.93701999999"/>
    <n v="31"/>
    <n v="20993.747705433867"/>
    <n v="0"/>
    <n v="0"/>
    <n v="0"/>
    <n v="0"/>
    <n v="0"/>
    <n v="0"/>
    <n v="0"/>
    <n v="2856.2964513777551"/>
    <n v="0"/>
    <n v="0"/>
    <n v="26775.295267403679"/>
    <n v="0"/>
    <n v="0"/>
    <n v="0"/>
    <n v="2592.1218297846062"/>
    <n v="0"/>
    <n v="-9875.1054990366247"/>
    <m/>
    <n v="0"/>
    <n v="0"/>
    <n v="0"/>
    <n v="0"/>
    <n v="-1281.139259660551"/>
    <n v="-73.721084435053228"/>
    <n v="0"/>
    <n v="0"/>
    <m/>
    <m/>
    <m/>
    <n v="105380.8096834717"/>
    <n v="0"/>
    <n v="0"/>
    <n v="-28564.632039999997"/>
    <n v="26768.937020000012"/>
    <n v="0"/>
    <n v="0"/>
    <n v="-22782.762462805113"/>
    <n v="0"/>
    <n v="0"/>
    <n v="0"/>
    <n v="0"/>
    <n v="0"/>
    <n v="0"/>
    <n v="0"/>
    <n v="0"/>
    <n v="0"/>
    <n v="0"/>
    <n v="0"/>
    <n v="0"/>
    <n v="13710.3058104665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3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189"/>
    <n v="-0.189"/>
    <n v="-0.189"/>
    <n v="-0.189"/>
    <m/>
    <n v="239.69"/>
    <n v="171.61"/>
    <m/>
    <n v="-77.735700000000008"/>
    <n v="-77.735700000000008"/>
    <n v="-77.450310000000002"/>
    <n v="0"/>
    <n v="-11.426429570314436"/>
    <n v="0"/>
    <n v="0"/>
    <n v="0"/>
    <n v="-10.080502682337908"/>
    <n v="-16.748183260855726"/>
    <n v="-31.25572903562697"/>
    <n v="-1.1784824629141588"/>
    <n v="0"/>
    <n v="0"/>
    <n v="0"/>
    <n v="0"/>
    <n v="-1.7667929369305904"/>
    <m/>
    <n v="-7.485376117297308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0258735423812091"/>
    <n v="0"/>
    <n v="0"/>
    <n v="0"/>
    <n v="-27.49"/>
    <n v="0"/>
    <m/>
    <m/>
    <m/>
    <m/>
    <m/>
    <m/>
    <m/>
    <m/>
    <m/>
    <n v="-34.281602578008176"/>
    <m/>
    <m/>
    <m/>
    <m/>
    <m/>
    <m/>
    <m/>
    <m/>
    <m/>
    <m/>
    <m/>
    <m/>
    <n v="-77.860100000000003"/>
    <n v="-0.15440000000000964"/>
    <m/>
    <m/>
    <m/>
    <m/>
    <n v="4.5397800000000021"/>
    <n v="-4.2543899999999981"/>
    <n v="31"/>
    <n v="-3.3365385496551312"/>
    <n v="0"/>
    <n v="0"/>
    <n v="0"/>
    <n v="0"/>
    <n v="0"/>
    <n v="0"/>
    <n v="0"/>
    <n v="-0.45395149798805967"/>
    <n v="0"/>
    <n v="0"/>
    <n v="-4.2554005169342943"/>
    <n v="0"/>
    <n v="0"/>
    <n v="0"/>
    <n v="-0.41196619735695883"/>
    <n v="0"/>
    <n v="1.5694515644254903"/>
    <m/>
    <n v="0"/>
    <n v="0"/>
    <n v="0"/>
    <n v="0"/>
    <n v="0.20361159842974019"/>
    <n v="1.1716499768941735E-2"/>
    <n v="0"/>
    <n v="0"/>
    <m/>
    <m/>
    <m/>
    <n v="-16.748183260855726"/>
    <n v="0"/>
    <n v="0"/>
    <n v="4.5397800000000004"/>
    <n v="-4.2543899999999937"/>
    <n v="0"/>
    <n v="0"/>
    <n v="3.6208668548069749"/>
    <n v="0"/>
    <n v="0"/>
    <n v="0"/>
    <n v="0"/>
    <n v="0"/>
    <n v="0"/>
    <n v="0"/>
    <n v="0"/>
    <n v="0"/>
    <n v="0"/>
    <n v="0"/>
    <n v="0"/>
    <n v="-2.178980356725081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4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2.6589999999999998"/>
    <n v="2.6589999999999998"/>
    <n v="2.6589999999999998"/>
    <n v="2.6589999999999998"/>
    <m/>
    <n v="239.69"/>
    <n v="171.61"/>
    <m/>
    <n v="1093.6467"/>
    <n v="1093.6467"/>
    <n v="1089.6316099999999"/>
    <n v="0"/>
    <n v="160.75595887548192"/>
    <n v="0"/>
    <n v="0"/>
    <n v="0"/>
    <n v="141.82040546209788"/>
    <n v="235.62655709320302"/>
    <n v="439.73007145890006"/>
    <n v="16.579814121104487"/>
    <n v="0"/>
    <n v="0"/>
    <n v="0"/>
    <n v="0"/>
    <n v="24.8566265571346"/>
    <m/>
    <n v="1.0531013278250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570358461331395"/>
    <n v="0"/>
    <n v="0"/>
    <n v="0"/>
    <n v="788.88"/>
    <n v="17"/>
    <m/>
    <m/>
    <m/>
    <m/>
    <m/>
    <m/>
    <m/>
    <m/>
    <m/>
    <n v="482.30042992023147"/>
    <m/>
    <m/>
    <m/>
    <m/>
    <m/>
    <m/>
    <m/>
    <m/>
    <m/>
    <m/>
    <m/>
    <m/>
    <n v="1090.0414000000001"/>
    <n v="-3.6352999999999156"/>
    <m/>
    <m/>
    <m/>
    <m/>
    <n v="-63.869180000000021"/>
    <n v="59.854089999999971"/>
    <n v="31"/>
    <n v="46.941037055730021"/>
    <n v="0"/>
    <n v="0"/>
    <n v="0"/>
    <n v="0"/>
    <n v="0"/>
    <n v="0"/>
    <n v="0"/>
    <n v="6.3865451489430995"/>
    <n v="0"/>
    <n v="0"/>
    <n v="59.868306743535868"/>
    <n v="0"/>
    <n v="0"/>
    <n v="0"/>
    <n v="5.7958630622865286"/>
    <n v="0"/>
    <n v="-22.08027359686443"/>
    <m/>
    <n v="0"/>
    <n v="0"/>
    <n v="0"/>
    <n v="0"/>
    <n v="-2.8645674085961872"/>
    <n v="-0.16483689357468834"/>
    <n v="0"/>
    <n v="0"/>
    <m/>
    <m/>
    <m/>
    <n v="235.62655709320302"/>
    <n v="0"/>
    <n v="0"/>
    <n v="-63.869180000000028"/>
    <n v="59.854089999999985"/>
    <n v="0"/>
    <n v="0"/>
    <n v="-50.941190301226186"/>
    <n v="0"/>
    <n v="0"/>
    <n v="0"/>
    <n v="0"/>
    <n v="0"/>
    <n v="0"/>
    <n v="0"/>
    <n v="0"/>
    <n v="0"/>
    <n v="0"/>
    <n v="0"/>
    <n v="0"/>
    <n v="30.65560194990470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5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11.25"/>
    <n v="11.25"/>
    <n v="11.25"/>
    <n v="11.25"/>
    <m/>
    <n v="158.36000000000001"/>
    <n v="171.61"/>
    <m/>
    <n v="3712.1625000000004"/>
    <n v="3712.1625000000004"/>
    <n v="3800.7"/>
    <n v="0"/>
    <n v="0"/>
    <n v="0"/>
    <n v="0"/>
    <n v="0"/>
    <n v="600.02992156773269"/>
    <n v="996.91567028903125"/>
    <n v="1860.4600616444625"/>
    <n v="70.1477656496523"/>
    <n v="0"/>
    <n v="0"/>
    <n v="0"/>
    <n v="0"/>
    <n v="0"/>
    <m/>
    <n v="4.4555810222007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.11152037983388"/>
    <n v="0"/>
    <n v="0"/>
    <n v="0"/>
    <n v="180"/>
    <n v="3"/>
    <m/>
    <m/>
    <m/>
    <m/>
    <m/>
    <m/>
    <m/>
    <n v="2470.5"/>
    <m/>
    <n v="2040.5715820242963"/>
    <m/>
    <m/>
    <m/>
    <m/>
    <m/>
    <m/>
    <m/>
    <m/>
    <m/>
    <m/>
    <m/>
    <m/>
    <n v="1330.1999999999998"/>
    <n v="31.019999999999754"/>
    <m/>
    <m/>
    <m/>
    <m/>
    <n v="-164.70000000000016"/>
    <n v="253.2374999999999"/>
    <n v="31"/>
    <n v="304.1429590779976"/>
    <n v="0"/>
    <n v="0"/>
    <n v="0"/>
    <n v="0"/>
    <n v="0"/>
    <n v="0"/>
    <n v="0"/>
    <n v="27.020922499289213"/>
    <n v="0"/>
    <n v="0"/>
    <n v="253.29764981751737"/>
    <n v="0"/>
    <n v="0"/>
    <n v="0"/>
    <n v="24.521797461723736"/>
    <n v="0"/>
    <n v="0"/>
    <m/>
    <n v="0"/>
    <n v="0"/>
    <n v="0"/>
    <n v="0"/>
    <n v="0"/>
    <n v="-0.69741070053224608"/>
    <n v="0"/>
    <n v="0"/>
    <m/>
    <m/>
    <m/>
    <n v="996.91567028903125"/>
    <n v="0"/>
    <n v="0"/>
    <n v="-164.70000000000027"/>
    <n v="253.23749999999973"/>
    <n v="0"/>
    <n v="0"/>
    <n v="-215.52778897660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6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25.173999999999999"/>
    <n v="25.173999999999999"/>
    <n v="25.173999999999999"/>
    <n v="25.173999999999999"/>
    <m/>
    <n v="158.36000000000001"/>
    <n v="171.61"/>
    <m/>
    <n v="8306.664780000001"/>
    <n v="8306.664780000001"/>
    <n v="8504.7841599999992"/>
    <n v="0"/>
    <n v="0"/>
    <n v="0"/>
    <n v="0"/>
    <n v="0"/>
    <n v="1342.6802884929868"/>
    <n v="2230.7871185649842"/>
    <n v="4163.1308081633515"/>
    <n v="156.96887577460862"/>
    <n v="0"/>
    <n v="0"/>
    <n v="0"/>
    <n v="0"/>
    <n v="0"/>
    <m/>
    <n v="9.9702041469228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3.03354791483889"/>
    <n v="0"/>
    <n v="0"/>
    <n v="0"/>
    <n v="689.93"/>
    <n v="37"/>
    <m/>
    <m/>
    <m/>
    <m/>
    <m/>
    <m/>
    <m/>
    <n v="3402.0143600000001"/>
    <m/>
    <n v="4566.1643560781904"/>
    <m/>
    <m/>
    <m/>
    <m/>
    <m/>
    <m/>
    <m/>
    <m/>
    <m/>
    <m/>
    <m/>
    <m/>
    <n v="5101.9590000000007"/>
    <n v="117.98048000000017"/>
    <m/>
    <m/>
    <m/>
    <m/>
    <n v="-368.54736000000037"/>
    <n v="566.66673999999978"/>
    <n v="31"/>
    <n v="680.57732016262435"/>
    <n v="0"/>
    <n v="0"/>
    <n v="0"/>
    <n v="0"/>
    <n v="0"/>
    <n v="0"/>
    <n v="0"/>
    <n v="60.464418044187369"/>
    <n v="0"/>
    <n v="0"/>
    <n v="566.80133657832721"/>
    <n v="0"/>
    <n v="0"/>
    <n v="0"/>
    <n v="54.872153715682998"/>
    <n v="0"/>
    <n v="0"/>
    <m/>
    <n v="0"/>
    <n v="0"/>
    <n v="0"/>
    <n v="0"/>
    <n v="0"/>
    <n v="-1.5605881755732245"/>
    <n v="0"/>
    <n v="0"/>
    <m/>
    <m/>
    <m/>
    <n v="2230.7871185649842"/>
    <n v="0"/>
    <n v="0"/>
    <n v="-368.54736000000048"/>
    <n v="566.66673999999966"/>
    <n v="0"/>
    <n v="0"/>
    <n v="-482.28413863973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7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2.012999999999998"/>
    <n v="32.012999999999998"/>
    <n v="32.012999999999998"/>
    <n v="32.012999999999998"/>
    <m/>
    <n v="158.36000000000001"/>
    <n v="171.61"/>
    <m/>
    <n v="10563.329610000001"/>
    <n v="10563.329610000001"/>
    <n v="10815.271919999999"/>
    <n v="0"/>
    <n v="0"/>
    <n v="0"/>
    <n v="0"/>
    <n v="0"/>
    <n v="1707.4451448131399"/>
    <n v="2836.8232313744675"/>
    <n v="5294.1251514154828"/>
    <n v="199.61248193265058"/>
    <n v="0"/>
    <n v="0"/>
    <n v="0"/>
    <n v="0"/>
    <n v="0"/>
    <m/>
    <n v="12.6788013567745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2.52534239285524"/>
    <n v="0"/>
    <n v="0"/>
    <n v="0"/>
    <n v="2343.3200000000002"/>
    <n v="139"/>
    <m/>
    <m/>
    <m/>
    <m/>
    <m/>
    <m/>
    <m/>
    <n v="1081.39914"/>
    <m/>
    <n v="5806.6504938083381"/>
    <m/>
    <m/>
    <m/>
    <m/>
    <m/>
    <m/>
    <m/>
    <m/>
    <m/>
    <m/>
    <m/>
    <m/>
    <n v="9732.9605999999985"/>
    <n v="226.02998999999727"/>
    <m/>
    <m/>
    <m/>
    <m/>
    <n v="-468.67032000000046"/>
    <n v="720.61262999999963"/>
    <n v="31"/>
    <n v="865.46920435235006"/>
    <n v="0"/>
    <n v="0"/>
    <n v="0"/>
    <n v="0"/>
    <n v="0"/>
    <n v="0"/>
    <n v="0"/>
    <n v="76.89073706397744"/>
    <n v="0"/>
    <n v="0"/>
    <n v="720.78379232072712"/>
    <n v="0"/>
    <n v="0"/>
    <n v="0"/>
    <n v="69.779226857081085"/>
    <n v="0"/>
    <n v="0"/>
    <m/>
    <n v="0"/>
    <n v="0"/>
    <n v="0"/>
    <n v="0"/>
    <n v="0"/>
    <n v="-1.9845518894345595"/>
    <n v="0"/>
    <n v="0"/>
    <m/>
    <m/>
    <m/>
    <n v="2836.8232313744675"/>
    <n v="0"/>
    <n v="0"/>
    <n v="-468.67032000000108"/>
    <n v="720.61262999999963"/>
    <n v="0"/>
    <n v="0"/>
    <n v="-613.30587631182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8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29.353000000000002"/>
    <n v="29.353000000000002"/>
    <n v="29.353000000000002"/>
    <n v="29.353000000000002"/>
    <m/>
    <n v="158.36000000000001"/>
    <n v="171.61"/>
    <m/>
    <n v="9685.6094100000009"/>
    <n v="9685.6094100000009"/>
    <n v="9916.6175199999998"/>
    <n v="0"/>
    <n v="0"/>
    <n v="0"/>
    <n v="0"/>
    <n v="0"/>
    <n v="1565.5714033580141"/>
    <n v="2601.1080595550166"/>
    <n v="4854.2297057288815"/>
    <n v="183.02643245459947"/>
    <n v="0"/>
    <n v="0"/>
    <n v="0"/>
    <n v="0"/>
    <n v="0"/>
    <m/>
    <n v="11.625303977303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9.93897401860124"/>
    <n v="0"/>
    <n v="0"/>
    <n v="0"/>
    <n v="3304.64"/>
    <n v="193"/>
    <m/>
    <m/>
    <m/>
    <m/>
    <m/>
    <m/>
    <m/>
    <m/>
    <m/>
    <n v="5324.1686797474831"/>
    <m/>
    <m/>
    <m/>
    <m/>
    <m/>
    <m/>
    <m/>
    <m/>
    <m/>
    <m/>
    <m/>
    <m/>
    <n v="9915.6039999999994"/>
    <n v="229.96458999999777"/>
    <m/>
    <m/>
    <m/>
    <m/>
    <n v="-429.72792000000044"/>
    <n v="660.7360299999998"/>
    <n v="31"/>
    <n v="793.55629136146399"/>
    <n v="0"/>
    <n v="0"/>
    <n v="0"/>
    <n v="0"/>
    <n v="0"/>
    <n v="0"/>
    <n v="0"/>
    <n v="70.501790055256606"/>
    <n v="0"/>
    <n v="0"/>
    <n v="660.89297023054041"/>
    <n v="0"/>
    <n v="0"/>
    <n v="0"/>
    <n v="63.981184079464583"/>
    <n v="0"/>
    <n v="0"/>
    <m/>
    <n v="0"/>
    <n v="0"/>
    <n v="0"/>
    <n v="0"/>
    <n v="0"/>
    <n v="-1.8196530037976029"/>
    <n v="0"/>
    <n v="0"/>
    <m/>
    <m/>
    <m/>
    <n v="2601.1080595550166"/>
    <n v="0"/>
    <n v="0"/>
    <n v="-429.72792000000118"/>
    <n v="660.73603000000003"/>
    <n v="0"/>
    <n v="0"/>
    <n v="-562.34552798491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89"/>
    <s v="Regular"/>
    <s v="Convencional"/>
    <s v="B3"/>
    <s v="Industrial"/>
    <s v="Não se aplica"/>
    <s v="Não se aplica"/>
    <s v="Não se aplica"/>
    <s v="Não se aplica"/>
    <s v="CATIVO"/>
    <x v="8"/>
    <n v="0"/>
    <n v="0"/>
    <n v="229.95599999999999"/>
    <n v="229.95599999999999"/>
    <n v="229.95599999999999"/>
    <n v="229.95599999999999"/>
    <m/>
    <n v="239.69"/>
    <n v="171.61"/>
    <m/>
    <n v="94580.902799999996"/>
    <n v="94580.902799999996"/>
    <n v="94233.669239999988"/>
    <n v="0"/>
    <n v="13902.51872101178"/>
    <n v="0"/>
    <n v="0"/>
    <n v="0"/>
    <n v="12264.931612802624"/>
    <n v="20377.487989065285"/>
    <n v="38028.795905379025"/>
    <n v="1433.8577420205729"/>
    <n v="0"/>
    <n v="0"/>
    <n v="0"/>
    <n v="0"/>
    <n v="2149.6541619302161"/>
    <m/>
    <n v="91.07445240366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81.57553604134"/>
    <n v="0"/>
    <n v="0"/>
    <n v="0"/>
    <n v="31410.76"/>
    <n v="79"/>
    <m/>
    <m/>
    <m/>
    <m/>
    <m/>
    <m/>
    <m/>
    <m/>
    <m/>
    <n v="41710.371441420364"/>
    <m/>
    <m/>
    <m/>
    <m/>
    <m/>
    <m/>
    <m/>
    <m/>
    <m/>
    <m/>
    <m/>
    <m/>
    <n v="94235.308400000009"/>
    <n v="-345.62439999998605"/>
    <m/>
    <m/>
    <m/>
    <m/>
    <n v="-5523.5431200000021"/>
    <n v="5176.3095599999979"/>
    <n v="31"/>
    <n v="4059.5611572724738"/>
    <n v="0"/>
    <n v="0"/>
    <n v="0"/>
    <n v="0"/>
    <n v="0"/>
    <n v="0"/>
    <n v="0"/>
    <n v="552.32206704413875"/>
    <n v="0"/>
    <n v="0"/>
    <n v="5177.5390543499598"/>
    <n v="0"/>
    <n v="0"/>
    <n v="0"/>
    <n v="501.23861840961263"/>
    <n v="0"/>
    <n v="-1909.5492272435349"/>
    <m/>
    <n v="0"/>
    <n v="0"/>
    <n v="0"/>
    <n v="0"/>
    <n v="-247.7339086164518"/>
    <n v="-14.255446671252727"/>
    <n v="0"/>
    <n v="0"/>
    <m/>
    <m/>
    <m/>
    <n v="20377.487989065285"/>
    <n v="0"/>
    <n v="0"/>
    <n v="-5523.5431200000021"/>
    <n v="5176.3095600000015"/>
    <n v="0"/>
    <n v="0"/>
    <n v="-4405.5029548359398"/>
    <n v="0"/>
    <n v="0"/>
    <n v="0"/>
    <n v="0"/>
    <n v="0"/>
    <n v="0"/>
    <n v="0"/>
    <n v="0"/>
    <n v="0"/>
    <n v="0"/>
    <n v="0"/>
    <n v="0"/>
    <n v="2651.16194132842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90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6.4379999999999997"/>
    <n v="6.4379999999999997"/>
    <n v="6.4379999999999997"/>
    <n v="6.4379999999999997"/>
    <m/>
    <n v="239.69"/>
    <n v="171.61"/>
    <m/>
    <n v="2647.9494"/>
    <n v="2647.9494"/>
    <n v="2638.2280199999996"/>
    <n v="0"/>
    <n v="389.2240929824568"/>
    <n v="0"/>
    <n v="0"/>
    <n v="0"/>
    <n v="343.37712311582777"/>
    <n v="570.50160758406957"/>
    <n v="1064.6792779437378"/>
    <n v="40.143228022441022"/>
    <n v="0"/>
    <n v="0"/>
    <n v="0"/>
    <n v="0"/>
    <n v="60.183137184968992"/>
    <m/>
    <n v="2.54978049963809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07181939603292"/>
    <n v="0"/>
    <n v="0"/>
    <n v="0"/>
    <n v="930.84"/>
    <n v="5"/>
    <m/>
    <m/>
    <m/>
    <m/>
    <m/>
    <m/>
    <m/>
    <m/>
    <m/>
    <n v="1167.7510973397707"/>
    <m/>
    <m/>
    <m/>
    <m/>
    <m/>
    <m/>
    <m/>
    <m/>
    <m/>
    <m/>
    <m/>
    <m/>
    <n v="2639.0475999999999"/>
    <n v="-8.9318000000002939"/>
    <m/>
    <m/>
    <m/>
    <m/>
    <n v="-154.64076000000006"/>
    <n v="144.91937999999993"/>
    <n v="31"/>
    <n v="113.65415440571405"/>
    <n v="0"/>
    <n v="0"/>
    <n v="0"/>
    <n v="0"/>
    <n v="0"/>
    <n v="0"/>
    <n v="0"/>
    <n v="15.463173248926637"/>
    <n v="0"/>
    <n v="0"/>
    <n v="144.95380173557123"/>
    <n v="0"/>
    <n v="0"/>
    <n v="0"/>
    <n v="14.033007294095782"/>
    <n v="0"/>
    <n v="-53.461000908842834"/>
    <m/>
    <n v="0"/>
    <n v="0"/>
    <n v="0"/>
    <n v="0"/>
    <n v="-6.9357220671463864"/>
    <n v="-0.39910489689125361"/>
    <n v="0"/>
    <n v="0"/>
    <m/>
    <m/>
    <m/>
    <n v="570.50160758406957"/>
    <n v="0"/>
    <n v="0"/>
    <n v="-154.64076"/>
    <n v="144.91937999999982"/>
    <n v="0"/>
    <n v="0"/>
    <n v="-123.33936937167886"/>
    <n v="0"/>
    <n v="0"/>
    <n v="0"/>
    <n v="0"/>
    <n v="0"/>
    <n v="0"/>
    <n v="0"/>
    <n v="0"/>
    <n v="0"/>
    <n v="0"/>
    <n v="0"/>
    <n v="0"/>
    <n v="74.22368008780989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91"/>
    <s v="Regular"/>
    <s v="Azul"/>
    <s v="A4"/>
    <s v="Industrial"/>
    <s v="Não se aplica"/>
    <s v="Não se aplica"/>
    <s v="Não se aplica"/>
    <s v="Ponta"/>
    <s v="CATIVO"/>
    <x v="8"/>
    <n v="19124"/>
    <n v="19124"/>
    <n v="926.45600000000002"/>
    <n v="926.45600000000002"/>
    <n v="926.45600000000002"/>
    <n v="926.45600000000002"/>
    <n v="37.64"/>
    <n v="78.42"/>
    <n v="171.61"/>
    <n v="719827.36"/>
    <n v="231641.79368000003"/>
    <n v="951469.15367999999"/>
    <n v="891365.37824000011"/>
    <n v="0"/>
    <n v="48729.594092993917"/>
    <n v="0"/>
    <n v="0"/>
    <n v="0"/>
    <n v="312564.86013105878"/>
    <n v="407197.37664211198"/>
    <n v="153211.94549963399"/>
    <n v="5776.7838553523798"/>
    <n v="0"/>
    <n v="0"/>
    <n v="0"/>
    <n v="0"/>
    <n v="8660.6133183966504"/>
    <m/>
    <n v="244.64041130397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26.6920641746246"/>
    <n v="0"/>
    <n v="0"/>
    <n v="0"/>
    <n v="0"/>
    <n v="0"/>
    <m/>
    <m/>
    <m/>
    <m/>
    <m/>
    <m/>
    <m/>
    <m/>
    <m/>
    <n v="158938.63756380862"/>
    <m/>
    <m/>
    <m/>
    <m/>
    <m/>
    <m/>
    <m/>
    <m/>
    <m/>
    <m/>
    <m/>
    <m/>
    <n v="891366.4384000001"/>
    <n v="-60102.745279999916"/>
    <m/>
    <m/>
    <m/>
    <m/>
    <n v="-80958.299999999945"/>
    <n v="20854.524559999991"/>
    <n v="31"/>
    <n v="27985.254338386934"/>
    <n v="0"/>
    <n v="0"/>
    <n v="0"/>
    <n v="0"/>
    <n v="0"/>
    <n v="0"/>
    <n v="0"/>
    <n v="14075.616161833459"/>
    <n v="0"/>
    <n v="0"/>
    <n v="20859.477996385569"/>
    <n v="0"/>
    <n v="0"/>
    <n v="0"/>
    <n v="779.67685036026705"/>
    <n v="0"/>
    <n v="-6693.1439267570968"/>
    <m/>
    <n v="0"/>
    <n v="0"/>
    <n v="0"/>
    <n v="0"/>
    <n v="-998.08035468160506"/>
    <n v="-38.292388753764186"/>
    <n v="0"/>
    <n v="0"/>
    <m/>
    <m/>
    <n v="407197.37664211198"/>
    <n v="0"/>
    <n v="0"/>
    <n v="0"/>
    <n v="-80958.29999999993"/>
    <n v="20854.524559999991"/>
    <n v="0"/>
    <n v="0"/>
    <n v="-88033.875763335789"/>
    <n v="0"/>
    <n v="0"/>
    <n v="0"/>
    <n v="0"/>
    <n v="0"/>
    <n v="0"/>
    <n v="0"/>
    <n v="0"/>
    <n v="0"/>
    <n v="0"/>
    <n v="0"/>
    <n v="0"/>
    <n v="9292.564021544838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92"/>
    <s v="Sistema de Compensação"/>
    <s v="Azul"/>
    <s v="A4"/>
    <s v="Industrial"/>
    <s v="Não se aplica"/>
    <s v="Não se aplica"/>
    <s v="Não se aplica"/>
    <s v="Ponta"/>
    <s v="CATIVO"/>
    <x v="8"/>
    <n v="1635"/>
    <n v="1635"/>
    <n v="89.861999999999995"/>
    <n v="89.861999999999995"/>
    <n v="89.861999999999995"/>
    <n v="89.861999999999995"/>
    <n v="37.64"/>
    <n v="78.42"/>
    <n v="171.61"/>
    <n v="61541.4"/>
    <n v="22468.19586"/>
    <n v="84009.595860000001"/>
    <n v="79030.974480000004"/>
    <n v="0"/>
    <n v="4726.5480329175034"/>
    <n v="0"/>
    <n v="0"/>
    <n v="0"/>
    <n v="26722.628441449546"/>
    <n v="34813.203869998593"/>
    <n v="14860.85884973286"/>
    <n v="560.32164593858272"/>
    <n v="0"/>
    <n v="0"/>
    <n v="0"/>
    <n v="0"/>
    <n v="840.03993067966508"/>
    <m/>
    <n v="23.7290023925563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5.46297101088453"/>
    <n v="0"/>
    <n v="0"/>
    <n v="0"/>
    <n v="0"/>
    <n v="0"/>
    <m/>
    <m/>
    <m/>
    <m/>
    <m/>
    <m/>
    <m/>
    <m/>
    <m/>
    <n v="15416.321820743744"/>
    <m/>
    <m/>
    <m/>
    <m/>
    <m/>
    <m/>
    <m/>
    <m/>
    <m/>
    <m/>
    <m/>
    <m/>
    <n v="79030.444400000008"/>
    <n v="-4979.1814599999925"/>
    <m/>
    <m/>
    <m/>
    <m/>
    <n v="-7001.4149999999963"/>
    <n v="2022.793619999999"/>
    <n v="31"/>
    <n v="2552.5614726227795"/>
    <n v="0"/>
    <n v="0"/>
    <n v="0"/>
    <n v="0"/>
    <n v="0"/>
    <n v="0"/>
    <n v="0"/>
    <n v="1203.3901079584648"/>
    <n v="0"/>
    <n v="0"/>
    <n v="2023.2740807023802"/>
    <n v="0"/>
    <n v="0"/>
    <n v="0"/>
    <n v="75.625092964020268"/>
    <n v="0"/>
    <n v="-649.20438698248518"/>
    <m/>
    <n v="0"/>
    <n v="0"/>
    <n v="0"/>
    <n v="0"/>
    <n v="-96.809235228006969"/>
    <n v="-3.7141867915915689"/>
    <n v="0"/>
    <n v="0"/>
    <m/>
    <m/>
    <n v="34813.203869998593"/>
    <n v="0"/>
    <n v="0"/>
    <n v="0"/>
    <n v="-7001.4149999999936"/>
    <n v="2022.7936199999986"/>
    <n v="0"/>
    <n v="0"/>
    <n v="-7526.4268392101039"/>
    <n v="0"/>
    <n v="0"/>
    <n v="0"/>
    <n v="0"/>
    <n v="0"/>
    <n v="0"/>
    <n v="0"/>
    <n v="0"/>
    <n v="0"/>
    <n v="0"/>
    <n v="0"/>
    <n v="0"/>
    <n v="901.3362621690206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93"/>
    <s v="Regular"/>
    <s v="Azul"/>
    <s v="A4"/>
    <s v="Industrial"/>
    <s v="Não se aplica"/>
    <s v="Não se aplica"/>
    <s v="Não se aplica"/>
    <s v="Fora ponta"/>
    <s v="CATIVO"/>
    <x v="8"/>
    <n v="21702"/>
    <n v="21702"/>
    <n v="8033.9219999999996"/>
    <n v="8033.9219999999996"/>
    <n v="8033.9219999999996"/>
    <n v="8033.9219999999996"/>
    <n v="12.58"/>
    <n v="78.42"/>
    <n v="171.61"/>
    <n v="273011.15999999997"/>
    <n v="2008721.5176599999"/>
    <n v="2281732.67766"/>
    <n v="2380836.8668800001"/>
    <n v="0"/>
    <n v="422567.02750564931"/>
    <n v="0"/>
    <n v="0"/>
    <n v="0"/>
    <n v="143828.69034691097"/>
    <n v="129120.58526940897"/>
    <n v="1328603.6461659381"/>
    <n v="50094.371351429858"/>
    <n v="0"/>
    <n v="0"/>
    <n v="0"/>
    <n v="0"/>
    <n v="75101.992833075565"/>
    <m/>
    <n v="2121.4412583696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659.991798420997"/>
    <n v="0"/>
    <n v="0"/>
    <n v="0"/>
    <n v="0"/>
    <n v="0"/>
    <m/>
    <m/>
    <m/>
    <m/>
    <m/>
    <m/>
    <m/>
    <m/>
    <m/>
    <n v="1378263.637964359"/>
    <m/>
    <m/>
    <m/>
    <m/>
    <m/>
    <m/>
    <m/>
    <m/>
    <m/>
    <m/>
    <m/>
    <m/>
    <n v="2380836.3368000002"/>
    <n v="99103.629140000325"/>
    <m/>
    <m/>
    <m/>
    <m/>
    <n v="-81739.39499999999"/>
    <n v="180843.58421999993"/>
    <n v="31"/>
    <n v="127096.79507084005"/>
    <n v="0"/>
    <n v="0"/>
    <n v="0"/>
    <n v="0"/>
    <n v="0"/>
    <n v="0"/>
    <n v="0"/>
    <n v="6476.9834892298968"/>
    <n v="0"/>
    <n v="0"/>
    <n v="180886.53879264439"/>
    <n v="0"/>
    <n v="0"/>
    <n v="0"/>
    <n v="6761.1014457244164"/>
    <n v="0"/>
    <n v="-58040.744776157953"/>
    <m/>
    <n v="0"/>
    <n v="0"/>
    <n v="0"/>
    <n v="0"/>
    <n v="-8655.0248681473895"/>
    <n v="-332.05901245328323"/>
    <n v="0"/>
    <n v="0"/>
    <m/>
    <m/>
    <n v="129120.58526940897"/>
    <n v="0"/>
    <n v="0"/>
    <n v="0"/>
    <n v="-81739.395000000019"/>
    <n v="180843.58422000008"/>
    <n v="0"/>
    <n v="0"/>
    <n v="-27915.173854587556"/>
    <n v="0"/>
    <n v="0"/>
    <n v="0"/>
    <n v="0"/>
    <n v="0"/>
    <n v="0"/>
    <n v="0"/>
    <n v="0"/>
    <n v="0"/>
    <n v="0"/>
    <n v="0"/>
    <n v="0"/>
    <n v="80582.06167275892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94"/>
    <s v="Sistema de Compensação"/>
    <s v="Azul"/>
    <s v="A4"/>
    <s v="Industrial"/>
    <s v="Não se aplica"/>
    <s v="Não se aplica"/>
    <s v="Não se aplica"/>
    <s v="Fora ponta"/>
    <s v="CATIVO"/>
    <x v="8"/>
    <n v="2006"/>
    <n v="2006"/>
    <n v="748.79600000000005"/>
    <n v="748.79600000000005"/>
    <n v="748.79600000000005"/>
    <n v="748.79600000000005"/>
    <n v="12.58"/>
    <n v="78.42"/>
    <n v="171.61"/>
    <n v="25235.48"/>
    <n v="187221.46388000002"/>
    <n v="212456.94388000004"/>
    <n v="221710.43184000003"/>
    <n v="0"/>
    <n v="39385.059990390771"/>
    <n v="0"/>
    <n v="0"/>
    <n v="0"/>
    <n v="13294.643481517989"/>
    <n v="11935.116304968869"/>
    <n v="123831.56020614463"/>
    <n v="4669.0103402130708"/>
    <n v="0"/>
    <n v="0"/>
    <n v="0"/>
    <n v="0"/>
    <n v="6999.8279576818959"/>
    <m/>
    <n v="197.72742733899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28.5243021640554"/>
    <n v="0"/>
    <n v="0"/>
    <n v="0"/>
    <n v="0"/>
    <n v="0"/>
    <m/>
    <m/>
    <m/>
    <m/>
    <m/>
    <m/>
    <m/>
    <m/>
    <m/>
    <n v="128460.08450830868"/>
    <m/>
    <m/>
    <m/>
    <m/>
    <m/>
    <m/>
    <m/>
    <m/>
    <m/>
    <m/>
    <m/>
    <m/>
    <n v="221711.49199999997"/>
    <n v="9254.5181199999352"/>
    <m/>
    <m/>
    <m/>
    <m/>
    <n v="-7601.9100000000008"/>
    <n v="16855.397959999995"/>
    <n v="31"/>
    <n v="11840.976655149512"/>
    <n v="0"/>
    <n v="0"/>
    <n v="0"/>
    <n v="0"/>
    <n v="0"/>
    <n v="0"/>
    <n v="0"/>
    <n v="598.69269557622101"/>
    <n v="0"/>
    <n v="0"/>
    <n v="16859.40151046736"/>
    <n v="0"/>
    <n v="0"/>
    <n v="0"/>
    <n v="630.1636632957925"/>
    <n v="0"/>
    <n v="-5409.6464373699346"/>
    <m/>
    <n v="0"/>
    <n v="0"/>
    <n v="0"/>
    <n v="0"/>
    <n v="-806.68545215764971"/>
    <n v="-30.949324662222097"/>
    <n v="0"/>
    <n v="0"/>
    <m/>
    <m/>
    <n v="11935.116304968869"/>
    <n v="0"/>
    <n v="0"/>
    <n v="0"/>
    <n v="-7601.9100000000035"/>
    <n v="16855.397959999988"/>
    <n v="0"/>
    <n v="0"/>
    <n v="-2580.3077482399149"/>
    <n v="0"/>
    <n v="0"/>
    <n v="0"/>
    <n v="0"/>
    <n v="0"/>
    <n v="0"/>
    <n v="0"/>
    <n v="0"/>
    <n v="0"/>
    <n v="0"/>
    <n v="0"/>
    <n v="0"/>
    <n v="7510.59388581507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95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80682.68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96"/>
    <s v="Sistema de Compensação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1007.7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397"/>
    <s v="Regular"/>
    <s v="Verde"/>
    <s v="A4"/>
    <s v="Industrial"/>
    <s v="Não se aplica"/>
    <s v="Não se aplica"/>
    <s v="Não se aplica"/>
    <s v="Ponta"/>
    <s v="CATIVO"/>
    <x v="8"/>
    <n v="0"/>
    <n v="0"/>
    <n v="168.45500000000001"/>
    <n v="168.45500000000001"/>
    <n v="168.45500000000001"/>
    <n v="168.45500000000001"/>
    <m/>
    <n v="984.21"/>
    <n v="171.61"/>
    <m/>
    <n v="194703.65810000003"/>
    <n v="194703.65810000003"/>
    <n v="181569.22175"/>
    <n v="0"/>
    <n v="8860.3708896432108"/>
    <n v="0"/>
    <n v="0"/>
    <n v="0"/>
    <n v="66322.193229931232"/>
    <n v="86262.793660724448"/>
    <n v="27858.115527494931"/>
    <n v="1050.3770544455272"/>
    <n v="0"/>
    <n v="0"/>
    <n v="0"/>
    <n v="0"/>
    <n v="1574.7360010086911"/>
    <m/>
    <n v="44.482307293829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1.2689989276732"/>
    <n v="0"/>
    <n v="0"/>
    <n v="0"/>
    <n v="0"/>
    <n v="0"/>
    <m/>
    <m/>
    <m/>
    <m/>
    <m/>
    <m/>
    <m/>
    <m/>
    <m/>
    <n v="28899.384526422604"/>
    <m/>
    <m/>
    <m/>
    <m/>
    <m/>
    <m/>
    <m/>
    <m/>
    <m/>
    <m/>
    <m/>
    <m/>
    <n v="181574.611"/>
    <n v="-13129.077100000053"/>
    <m/>
    <m/>
    <m/>
    <m/>
    <n v="-16926.358400000005"/>
    <n v="3791.9220499999988"/>
    <n v="31"/>
    <n v="5515.814520693224"/>
    <n v="0"/>
    <n v="0"/>
    <n v="0"/>
    <n v="0"/>
    <n v="0"/>
    <n v="0"/>
    <n v="0"/>
    <n v="2986.6624627095734"/>
    <n v="0"/>
    <n v="0"/>
    <n v="3792.8227200008805"/>
    <n v="0"/>
    <n v="0"/>
    <n v="0"/>
    <n v="141.76654242342738"/>
    <n v="0"/>
    <n v="-1216.9963389323029"/>
    <m/>
    <n v="0"/>
    <n v="0"/>
    <n v="0"/>
    <n v="0"/>
    <n v="-181.47826356339624"/>
    <n v="-6.9626019449551322"/>
    <n v="0"/>
    <n v="0"/>
    <m/>
    <m/>
    <m/>
    <n v="86262.793660724448"/>
    <n v="0"/>
    <n v="0"/>
    <n v="-16926.358400000026"/>
    <n v="3791.9220499999974"/>
    <n v="0"/>
    <n v="0"/>
    <n v="-18649.5505515033"/>
    <n v="0"/>
    <n v="0"/>
    <n v="0"/>
    <n v="0"/>
    <n v="0"/>
    <n v="0"/>
    <n v="0"/>
    <n v="0"/>
    <n v="0"/>
    <n v="0"/>
    <n v="0"/>
    <n v="0"/>
    <n v="1689.641895836754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98"/>
    <s v="Sistema de Compensação"/>
    <s v="Verde"/>
    <s v="A4"/>
    <s v="Industrial"/>
    <s v="Não se aplica"/>
    <s v="Não se aplica"/>
    <s v="Não se aplica"/>
    <s v="Ponta"/>
    <s v="CATIVO"/>
    <x v="8"/>
    <n v="0"/>
    <n v="0"/>
    <n v="1.2649999999999999"/>
    <n v="1.2649999999999999"/>
    <n v="1.2649999999999999"/>
    <n v="1.2649999999999999"/>
    <m/>
    <n v="984.21"/>
    <n v="171.61"/>
    <m/>
    <n v="1462.1123"/>
    <n v="1462.1123"/>
    <n v="1363.4802499999998"/>
    <n v="0"/>
    <n v="66.536280759838888"/>
    <n v="0"/>
    <n v="0"/>
    <n v="0"/>
    <n v="498.04146173080642"/>
    <n v="647.78388282221601"/>
    <n v="209.19839804268844"/>
    <n v="7.8877265374942365"/>
    <n v="0"/>
    <n v="0"/>
    <n v="0"/>
    <n v="0"/>
    <n v="11.82536013342432"/>
    <m/>
    <n v="0.3340365007075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8193302878721704"/>
    <n v="0"/>
    <n v="0"/>
    <n v="0"/>
    <n v="0"/>
    <n v="0"/>
    <m/>
    <m/>
    <m/>
    <m/>
    <m/>
    <m/>
    <m/>
    <m/>
    <m/>
    <n v="217.0177283305606"/>
    <m/>
    <m/>
    <m/>
    <m/>
    <m/>
    <m/>
    <m/>
    <m/>
    <m/>
    <m/>
    <m/>
    <m/>
    <n v="1368.8695"/>
    <n v="-93.272799999999961"/>
    <m/>
    <m/>
    <m/>
    <m/>
    <n v="-127.10720000000002"/>
    <n v="28.475149999999985"/>
    <n v="31"/>
    <n v="41.420589288990755"/>
    <n v="0"/>
    <n v="0"/>
    <n v="0"/>
    <n v="0"/>
    <n v="0"/>
    <n v="0"/>
    <n v="0"/>
    <n v="22.428114424194064"/>
    <n v="0"/>
    <n v="0"/>
    <n v="28.481913512814174"/>
    <n v="0"/>
    <n v="0"/>
    <n v="0"/>
    <n v="1.0645850593074444"/>
    <n v="0"/>
    <n v="-9.1389413715791363"/>
    <m/>
    <n v="0"/>
    <n v="0"/>
    <n v="0"/>
    <n v="0"/>
    <n v="-1.362797206421277"/>
    <n v="-5.2285129324556923E-2"/>
    <n v="0"/>
    <n v="0"/>
    <m/>
    <m/>
    <m/>
    <n v="647.78388282221601"/>
    <n v="0"/>
    <n v="0"/>
    <n v="-127.10720000000015"/>
    <n v="28.475149999999985"/>
    <n v="0"/>
    <n v="0"/>
    <n v="-140.04738029534093"/>
    <n v="0"/>
    <n v="0"/>
    <n v="0"/>
    <n v="0"/>
    <n v="0"/>
    <n v="0"/>
    <n v="0"/>
    <n v="0"/>
    <n v="0"/>
    <n v="0"/>
    <n v="0"/>
    <n v="0"/>
    <n v="12.68823720419989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399"/>
    <s v="Regular"/>
    <s v="Verde"/>
    <s v="A4"/>
    <s v="Industrial"/>
    <s v="Não se aplica"/>
    <s v="Não se aplica"/>
    <s v="Não se aplica"/>
    <s v="Fora ponta"/>
    <s v="CATIVO"/>
    <x v="8"/>
    <n v="0"/>
    <n v="0"/>
    <n v="2003.8409999999999"/>
    <n v="2003.8409999999999"/>
    <n v="2003.8409999999999"/>
    <n v="2003.8409999999999"/>
    <m/>
    <n v="78.42"/>
    <n v="171.61"/>
    <m/>
    <n v="501020.36523"/>
    <n v="501020.36523"/>
    <n v="531098.01863999991"/>
    <n v="0"/>
    <n v="105397.72914946744"/>
    <n v="0"/>
    <n v="0"/>
    <n v="0"/>
    <n v="0"/>
    <n v="0"/>
    <n v="331383.65781206236"/>
    <n v="12494.663899303549"/>
    <n v="0"/>
    <n v="0"/>
    <n v="0"/>
    <n v="0"/>
    <n v="18732.127648317095"/>
    <m/>
    <n v="529.13520601925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86.319860379492"/>
    <n v="0"/>
    <n v="0"/>
    <n v="0"/>
    <n v="0"/>
    <n v="0"/>
    <m/>
    <m/>
    <m/>
    <m/>
    <m/>
    <m/>
    <m/>
    <m/>
    <m/>
    <n v="343769.97767244186"/>
    <m/>
    <m/>
    <m/>
    <m/>
    <m/>
    <m/>
    <m/>
    <m/>
    <m/>
    <m/>
    <m/>
    <m/>
    <n v="531097.75360000005"/>
    <n v="30077.358370000031"/>
    <m/>
    <m/>
    <m/>
    <m/>
    <n v="-15028.807499999999"/>
    <n v="45106.46090999998"/>
    <n v="31"/>
    <n v="30085.296304781747"/>
    <n v="0"/>
    <n v="0"/>
    <n v="0"/>
    <n v="0"/>
    <n v="0"/>
    <n v="0"/>
    <n v="0"/>
    <n v="0"/>
    <n v="0"/>
    <n v="0"/>
    <n v="45117.174747376353"/>
    <n v="0"/>
    <n v="0"/>
    <n v="0"/>
    <n v="1686.3709010495568"/>
    <n v="0"/>
    <n v="-14476.668313807517"/>
    <m/>
    <n v="0"/>
    <n v="0"/>
    <n v="0"/>
    <n v="0"/>
    <n v="-2158.7580370849173"/>
    <n v="-82.822992751659626"/>
    <n v="0"/>
    <n v="0"/>
    <m/>
    <m/>
    <m/>
    <n v="0"/>
    <n v="0"/>
    <n v="0"/>
    <n v="-15028.807499999995"/>
    <n v="45106.460909999965"/>
    <n v="0"/>
    <n v="0"/>
    <n v="0"/>
    <n v="0"/>
    <n v="0"/>
    <n v="0"/>
    <n v="0"/>
    <n v="0"/>
    <n v="0"/>
    <n v="0"/>
    <n v="0"/>
    <n v="0"/>
    <n v="0"/>
    <n v="0"/>
    <n v="0"/>
    <n v="20098.98017984278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00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10.419"/>
    <n v="10.419"/>
    <n v="10.419"/>
    <n v="10.419"/>
    <m/>
    <n v="78.42"/>
    <n v="171.61"/>
    <m/>
    <n v="2605.0625700000001"/>
    <n v="2605.0625700000001"/>
    <n v="2761.4517599999999"/>
    <n v="0"/>
    <n v="548.0170033492185"/>
    <n v="0"/>
    <n v="0"/>
    <n v="0"/>
    <n v="0"/>
    <n v="0"/>
    <n v="1723.0340784243251"/>
    <n v="64.966184026997993"/>
    <n v="0"/>
    <n v="0"/>
    <n v="0"/>
    <n v="0"/>
    <n v="97.397966189840318"/>
    <m/>
    <n v="2.7512460876459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402847643747151"/>
    <n v="0"/>
    <n v="0"/>
    <n v="0"/>
    <n v="0"/>
    <n v="0"/>
    <m/>
    <m/>
    <m/>
    <m/>
    <m/>
    <m/>
    <m/>
    <m/>
    <m/>
    <n v="1787.4369260680724"/>
    <m/>
    <m/>
    <m/>
    <m/>
    <m/>
    <m/>
    <m/>
    <m/>
    <m/>
    <m/>
    <m/>
    <m/>
    <n v="2761.7168000000001"/>
    <n v="156.62422999999944"/>
    <m/>
    <m/>
    <m/>
    <m/>
    <n v="-78.142499999999998"/>
    <n v="234.53168999999991"/>
    <n v="31"/>
    <n v="156.42892934096153"/>
    <n v="0"/>
    <n v="0"/>
    <n v="0"/>
    <n v="0"/>
    <n v="0"/>
    <n v="0"/>
    <n v="0"/>
    <n v="0"/>
    <n v="0"/>
    <n v="0"/>
    <n v="234.58739675099673"/>
    <n v="0"/>
    <n v="0"/>
    <n v="0"/>
    <n v="8.7683096702958636"/>
    <n v="0"/>
    <n v="-75.271644387733602"/>
    <m/>
    <n v="0"/>
    <n v="0"/>
    <n v="0"/>
    <n v="0"/>
    <n v="-11.224493354706155"/>
    <n v="-0.43063933789135067"/>
    <n v="0"/>
    <n v="0"/>
    <m/>
    <m/>
    <m/>
    <n v="0"/>
    <n v="0"/>
    <n v="0"/>
    <n v="-78.142500000000041"/>
    <n v="234.5316899999998"/>
    <n v="0"/>
    <n v="0"/>
    <n v="0"/>
    <n v="0"/>
    <n v="0"/>
    <n v="0"/>
    <n v="0"/>
    <n v="0"/>
    <n v="0"/>
    <n v="0"/>
    <n v="0"/>
    <n v="0"/>
    <n v="0"/>
    <n v="0"/>
    <n v="0"/>
    <n v="104.5049355182282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01"/>
    <s v="Regular"/>
    <s v="Verde"/>
    <s v="A4"/>
    <s v="Industrial"/>
    <s v="Não se aplica"/>
    <s v="Não se aplica"/>
    <s v="Não se aplica"/>
    <s v="Não se aplica"/>
    <s v="CATIVO"/>
    <x v="8"/>
    <n v="10019"/>
    <n v="10019"/>
    <n v="0"/>
    <n v="0"/>
    <n v="0"/>
    <n v="0"/>
    <n v="12.58"/>
    <m/>
    <m/>
    <n v="126039.02"/>
    <m/>
    <n v="126039.02"/>
    <n v="116120.20999999999"/>
    <n v="0"/>
    <n v="0"/>
    <n v="0"/>
    <n v="0"/>
    <n v="0"/>
    <n v="66400.315573942542"/>
    <n v="59610.1347255648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6706.26"/>
    <n v="52"/>
    <m/>
    <m/>
    <m/>
    <m/>
    <m/>
    <m/>
    <m/>
    <m/>
    <m/>
    <n v="0"/>
    <m/>
    <m/>
    <m/>
    <m/>
    <m/>
    <m/>
    <m/>
    <m/>
    <m/>
    <m/>
    <m/>
    <m/>
    <n v="116120.20999999999"/>
    <n v="-9918.8399999999965"/>
    <m/>
    <m/>
    <m/>
    <m/>
    <n v="-9918.8100000000013"/>
    <n v="0"/>
    <n v="31"/>
    <n v="2990.1805169382569"/>
    <n v="0"/>
    <n v="0"/>
    <n v="0"/>
    <n v="0"/>
    <m/>
    <m/>
    <m/>
    <n v="2990.18051693825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610.134725564858"/>
    <m/>
    <n v="0"/>
    <n v="0"/>
    <n v="-9918.8100000000122"/>
    <m/>
    <n v="0"/>
    <m/>
    <n v="-12887.389496318901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02"/>
    <s v="Sistema de Compensação"/>
    <s v="Verde"/>
    <s v="A4"/>
    <s v="Industrial"/>
    <s v="Não se aplica"/>
    <s v="Não se aplica"/>
    <s v="Não se aplica"/>
    <s v="Não se aplica"/>
    <s v="CATIVO"/>
    <x v="8"/>
    <n v="821"/>
    <n v="821"/>
    <n v="0"/>
    <n v="0"/>
    <n v="0"/>
    <n v="0"/>
    <n v="12.58"/>
    <m/>
    <m/>
    <n v="10328.18"/>
    <m/>
    <n v="10328.18"/>
    <n v="9515.39"/>
    <n v="0"/>
    <n v="0"/>
    <n v="0"/>
    <n v="0"/>
    <n v="0"/>
    <n v="5441.1277658655381"/>
    <n v="4884.7111098601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640.91"/>
    <n v="3"/>
    <m/>
    <m/>
    <m/>
    <m/>
    <m/>
    <m/>
    <m/>
    <m/>
    <m/>
    <n v="0"/>
    <m/>
    <m/>
    <m/>
    <m/>
    <m/>
    <m/>
    <m/>
    <m/>
    <m/>
    <m/>
    <m/>
    <m/>
    <n v="9515.39"/>
    <n v="-812.82000000000153"/>
    <m/>
    <m/>
    <m/>
    <m/>
    <n v="-812.79000000000019"/>
    <n v="0"/>
    <n v="31"/>
    <n v="245.02826673383697"/>
    <n v="0"/>
    <n v="0"/>
    <n v="0"/>
    <n v="0"/>
    <m/>
    <m/>
    <m/>
    <n v="245.028266733836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4.7111098601408"/>
    <m/>
    <n v="0"/>
    <n v="0"/>
    <n v="-812.79000000000087"/>
    <m/>
    <n v="0"/>
    <m/>
    <n v="-1056.04818609420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03"/>
    <s v="Regular"/>
    <s v="Convencional"/>
    <s v="B3"/>
    <s v="Comercial"/>
    <s v="Não se aplica"/>
    <s v="Não se aplica"/>
    <s v="Não se aplica"/>
    <s v="Não se aplica"/>
    <s v="CATIVO"/>
    <x v="8"/>
    <n v="0"/>
    <n v="0"/>
    <n v="482.63299999999998"/>
    <n v="482.63299999999998"/>
    <n v="482.63299999999998"/>
    <n v="482.63299999999998"/>
    <m/>
    <n v="239.69"/>
    <n v="171.61"/>
    <m/>
    <n v="198506.9529"/>
    <n v="198506.9529"/>
    <n v="197778.17706999998"/>
    <n v="0"/>
    <n v="29178.687739733159"/>
    <n v="0"/>
    <n v="0"/>
    <n v="0"/>
    <n v="25741.710323199957"/>
    <n v="42768.391173209428"/>
    <n v="79815.059638369057"/>
    <n v="3009.3890292256569"/>
    <n v="0"/>
    <n v="0"/>
    <n v="0"/>
    <n v="0"/>
    <n v="4511.7067488339762"/>
    <m/>
    <n v="191.14759426558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26.9123035982539"/>
    <n v="0"/>
    <n v="0"/>
    <n v="0"/>
    <n v="65858.740000000005"/>
    <n v="565"/>
    <m/>
    <m/>
    <m/>
    <m/>
    <m/>
    <m/>
    <m/>
    <m/>
    <m/>
    <n v="87541.971941967306"/>
    <m/>
    <m/>
    <m/>
    <m/>
    <m/>
    <m/>
    <m/>
    <m/>
    <m/>
    <m/>
    <m/>
    <m/>
    <n v="197776.94769999999"/>
    <n v="-730.03520000001299"/>
    <m/>
    <m/>
    <m/>
    <m/>
    <n v="-11592.844660000004"/>
    <n v="10864.068829999995"/>
    <n v="31"/>
    <n v="8520.2307398714765"/>
    <n v="0"/>
    <n v="0"/>
    <n v="0"/>
    <n v="0"/>
    <n v="0"/>
    <n v="0"/>
    <n v="0"/>
    <n v="1159.2167900977292"/>
    <n v="0"/>
    <n v="0"/>
    <n v="10866.649299944693"/>
    <n v="0"/>
    <n v="0"/>
    <n v="0"/>
    <n v="1052.0025488305891"/>
    <n v="0"/>
    <n v="-4007.7731052559138"/>
    <m/>
    <n v="0"/>
    <n v="0"/>
    <n v="0"/>
    <n v="0"/>
    <n v="-519.94537875630022"/>
    <n v="-29.919414989331528"/>
    <n v="0"/>
    <n v="0"/>
    <m/>
    <m/>
    <m/>
    <n v="42768.391173209428"/>
    <n v="0"/>
    <n v="0"/>
    <n v="-11592.844660000002"/>
    <n v="10864.068829999989"/>
    <n v="0"/>
    <n v="0"/>
    <n v="-9246.2954113018786"/>
    <n v="0"/>
    <n v="0"/>
    <n v="0"/>
    <n v="0"/>
    <n v="0"/>
    <n v="0"/>
    <n v="0"/>
    <n v="0"/>
    <n v="0"/>
    <n v="0"/>
    <n v="0"/>
    <n v="0"/>
    <n v="5564.274214324317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0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0.907"/>
    <n v="10.907"/>
    <n v="10.907"/>
    <n v="10.907"/>
    <m/>
    <n v="239.69"/>
    <n v="171.61"/>
    <m/>
    <n v="4486.0491000000002"/>
    <n v="4486.0491000000002"/>
    <n v="4469.57953"/>
    <n v="0"/>
    <n v="659.40776361597648"/>
    <n v="0"/>
    <n v="0"/>
    <n v="0"/>
    <n v="581.73567595904535"/>
    <n v="966.52081918599686"/>
    <n v="1803.7367015427692"/>
    <n v="68.009038216956242"/>
    <n v="0"/>
    <n v="0"/>
    <n v="0"/>
    <n v="0"/>
    <n v="101.95984424921666"/>
    <m/>
    <n v="4.3197353074794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4.62012024736427"/>
    <n v="0"/>
    <n v="0"/>
    <n v="0"/>
    <n v="2524.33"/>
    <n v="10"/>
    <m/>
    <m/>
    <m/>
    <m/>
    <m/>
    <m/>
    <m/>
    <m/>
    <m/>
    <n v="1978.3568217901334"/>
    <m/>
    <m/>
    <m/>
    <m/>
    <m/>
    <m/>
    <m/>
    <m/>
    <m/>
    <m/>
    <m/>
    <m/>
    <n v="4470.8089"/>
    <n v="-15.270200000000841"/>
    <m/>
    <m/>
    <m/>
    <m/>
    <n v="-261.98614000000009"/>
    <n v="245.51656999999989"/>
    <n v="31"/>
    <n v="192.54828550840602"/>
    <n v="0"/>
    <n v="0"/>
    <n v="0"/>
    <n v="0"/>
    <n v="0"/>
    <n v="0"/>
    <n v="0"/>
    <n v="26.19708459553317"/>
    <n v="0"/>
    <n v="0"/>
    <n v="245.57488591641436"/>
    <n v="0"/>
    <n v="0"/>
    <n v="0"/>
    <n v="23.774155103557405"/>
    <n v="0"/>
    <n v="-90.571472027454092"/>
    <m/>
    <n v="0"/>
    <n v="0"/>
    <n v="0"/>
    <n v="0"/>
    <n v="-11.750220656471839"/>
    <n v="-0.67614742317379672"/>
    <n v="0"/>
    <n v="0"/>
    <m/>
    <m/>
    <m/>
    <n v="966.52081918599686"/>
    <n v="0"/>
    <n v="0"/>
    <n v="-261.98614000000043"/>
    <n v="245.51657"/>
    <n v="0"/>
    <n v="0"/>
    <n v="-208.95658616603009"/>
    <n v="0"/>
    <n v="0"/>
    <n v="0"/>
    <n v="0"/>
    <n v="0"/>
    <n v="0"/>
    <n v="0"/>
    <n v="0"/>
    <n v="0"/>
    <n v="0"/>
    <n v="0"/>
    <n v="0"/>
    <n v="125.7467658772511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05"/>
    <s v="Regular"/>
    <s v="Verde"/>
    <s v="A4"/>
    <s v="Comercial"/>
    <s v="Não se aplica"/>
    <s v="Não se aplica"/>
    <s v="Não se aplica"/>
    <s v="Ponta"/>
    <s v="CATIVO"/>
    <x v="8"/>
    <n v="0"/>
    <n v="0"/>
    <n v="9.2159999999999993"/>
    <n v="9.2159999999999993"/>
    <n v="9.2159999999999993"/>
    <n v="9.2159999999999993"/>
    <m/>
    <n v="984.21"/>
    <n v="171.61"/>
    <m/>
    <n v="10652.037119999999"/>
    <n v="10652.037119999999"/>
    <n v="9933.4655999999995"/>
    <n v="0"/>
    <n v="484.74178931436774"/>
    <n v="0"/>
    <n v="0"/>
    <n v="0"/>
    <n v="3628.4190603249899"/>
    <n v="4719.3488253672276"/>
    <n v="1524.0888824991437"/>
    <n v="57.46504962019516"/>
    <n v="0"/>
    <n v="0"/>
    <n v="0"/>
    <n v="0"/>
    <n v="86.152188924615444"/>
    <m/>
    <n v="2.4335813363802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66757259312189"/>
    <n v="0"/>
    <n v="0"/>
    <n v="0"/>
    <n v="0"/>
    <n v="0"/>
    <m/>
    <m/>
    <m/>
    <m/>
    <m/>
    <m/>
    <m/>
    <m/>
    <m/>
    <n v="1581.0556397584558"/>
    <m/>
    <m/>
    <m/>
    <m/>
    <m/>
    <m/>
    <m/>
    <m/>
    <m/>
    <m/>
    <m/>
    <m/>
    <n v="9937.7770000000019"/>
    <n v="-714.29011999999784"/>
    <m/>
    <m/>
    <m/>
    <m/>
    <n v="-926.02368000000013"/>
    <n v="207.45215999999991"/>
    <n v="31"/>
    <n v="301.76454615599778"/>
    <n v="0"/>
    <n v="0"/>
    <n v="0"/>
    <n v="0"/>
    <n v="0"/>
    <n v="0"/>
    <n v="0"/>
    <n v="163.3972352042465"/>
    <n v="0"/>
    <n v="0"/>
    <n v="207.50143473051025"/>
    <n v="0"/>
    <n v="0"/>
    <n v="0"/>
    <n v="7.7559019024327398"/>
    <n v="0"/>
    <n v="-66.580619510255588"/>
    <m/>
    <n v="0"/>
    <n v="0"/>
    <n v="0"/>
    <n v="0"/>
    <n v="-9.9284893710501905"/>
    <n v="-0.38091679988546767"/>
    <n v="0"/>
    <n v="0"/>
    <m/>
    <m/>
    <m/>
    <n v="4719.3488253672276"/>
    <n v="0"/>
    <n v="0"/>
    <n v="-926.02368000000024"/>
    <n v="207.45216000000005"/>
    <n v="0"/>
    <n v="0"/>
    <n v="-1020.297752412539"/>
    <n v="0"/>
    <n v="0"/>
    <n v="0"/>
    <n v="0"/>
    <n v="0"/>
    <n v="0"/>
    <n v="0"/>
    <n v="0"/>
    <n v="0"/>
    <n v="0"/>
    <n v="0"/>
    <n v="0"/>
    <n v="92.43857239043971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06"/>
    <s v="Regular"/>
    <s v="Verde"/>
    <s v="A4"/>
    <s v="Comercial"/>
    <s v="Não se aplica"/>
    <s v="Não se aplica"/>
    <s v="Não se aplica"/>
    <s v="Fora ponta"/>
    <s v="CATIVO"/>
    <x v="8"/>
    <n v="0"/>
    <n v="0"/>
    <n v="101.47499999999999"/>
    <n v="101.47499999999999"/>
    <n v="101.47499999999999"/>
    <n v="101.47499999999999"/>
    <m/>
    <n v="78.42"/>
    <n v="171.61"/>
    <m/>
    <n v="25371.794249999999"/>
    <n v="25371.794249999999"/>
    <n v="26894.934000000001"/>
    <n v="0"/>
    <n v="5337.3668696479454"/>
    <n v="0"/>
    <n v="0"/>
    <n v="0"/>
    <n v="0"/>
    <n v="0"/>
    <n v="16781.349756033051"/>
    <n v="632.7328461598637"/>
    <n v="0"/>
    <n v="0"/>
    <n v="0"/>
    <n v="0"/>
    <n v="948.59954113773358"/>
    <m/>
    <n v="26.795536687194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7.24627744018062"/>
    <n v="0"/>
    <n v="0"/>
    <n v="0"/>
    <n v="0"/>
    <n v="0"/>
    <m/>
    <m/>
    <m/>
    <m/>
    <m/>
    <m/>
    <m/>
    <m/>
    <m/>
    <n v="17408.59603347323"/>
    <m/>
    <m/>
    <m/>
    <m/>
    <m/>
    <m/>
    <m/>
    <m/>
    <m/>
    <m/>
    <m/>
    <m/>
    <n v="26896.2592"/>
    <n v="1524.4349500000026"/>
    <m/>
    <m/>
    <m/>
    <m/>
    <n v="-761.0625"/>
    <n v="2284.2022499999989"/>
    <n v="31"/>
    <n v="1523.5267880673928"/>
    <n v="0"/>
    <n v="0"/>
    <n v="0"/>
    <n v="0"/>
    <n v="0"/>
    <n v="0"/>
    <n v="0"/>
    <n v="0"/>
    <n v="0"/>
    <n v="0"/>
    <n v="2284.7448013540088"/>
    <n v="0"/>
    <n v="0"/>
    <n v="0"/>
    <n v="85.398236279227604"/>
    <n v="0"/>
    <n v="-733.10203611145607"/>
    <m/>
    <n v="0"/>
    <n v="0"/>
    <n v="0"/>
    <n v="0"/>
    <n v="-109.32003677596765"/>
    <n v="-4.1941766784264125"/>
    <n v="0"/>
    <n v="0"/>
    <m/>
    <m/>
    <m/>
    <n v="0"/>
    <n v="0"/>
    <n v="0"/>
    <n v="-761.0625"/>
    <n v="2284.2022500000021"/>
    <n v="0"/>
    <n v="0"/>
    <n v="0"/>
    <n v="0"/>
    <n v="0"/>
    <n v="0"/>
    <n v="0"/>
    <n v="0"/>
    <n v="0"/>
    <n v="0"/>
    <n v="0"/>
    <n v="0"/>
    <n v="0"/>
    <n v="0"/>
    <n v="0"/>
    <n v="1017.817288771687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07"/>
    <s v="Regular"/>
    <s v="Verde"/>
    <s v="A4"/>
    <s v="Comercial"/>
    <s v="Não se aplica"/>
    <s v="Não se aplica"/>
    <s v="Não se aplica"/>
    <s v="Não se aplica"/>
    <s v="CATIVO"/>
    <x v="8"/>
    <n v="540"/>
    <n v="540"/>
    <n v="0"/>
    <n v="0"/>
    <n v="0"/>
    <n v="0"/>
    <n v="12.58"/>
    <m/>
    <m/>
    <n v="6793.2"/>
    <m/>
    <n v="6793.2"/>
    <n v="6258.6"/>
    <n v="0"/>
    <n v="0"/>
    <n v="0"/>
    <n v="0"/>
    <n v="0"/>
    <n v="3578.8172881454207"/>
    <n v="3212.84287372043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698.4"/>
    <n v="5"/>
    <m/>
    <m/>
    <m/>
    <m/>
    <m/>
    <m/>
    <m/>
    <m/>
    <m/>
    <n v="0"/>
    <m/>
    <m/>
    <m/>
    <m/>
    <m/>
    <m/>
    <m/>
    <m/>
    <m/>
    <m/>
    <m/>
    <m/>
    <n v="6258.6"/>
    <n v="-534.63000000000011"/>
    <m/>
    <m/>
    <m/>
    <m/>
    <n v="-534.60000000000014"/>
    <n v="0"/>
    <n v="31"/>
    <n v="161.16353719399785"/>
    <n v="0"/>
    <n v="0"/>
    <n v="0"/>
    <n v="0"/>
    <m/>
    <m/>
    <m/>
    <n v="161.163537193997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12.8428737204335"/>
    <m/>
    <n v="0"/>
    <n v="0"/>
    <n v="-534.59999999999945"/>
    <m/>
    <n v="0"/>
    <m/>
    <n v="-694.5992941423501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08"/>
    <s v="Regular"/>
    <s v="Convencional"/>
    <s v="B2"/>
    <s v="Rural"/>
    <s v="Não se aplica"/>
    <s v="Não se aplica"/>
    <s v="Não se aplica"/>
    <s v="Não se aplica"/>
    <s v="CATIVO"/>
    <x v="8"/>
    <n v="0"/>
    <n v="0"/>
    <n v="493.839"/>
    <n v="493.839"/>
    <n v="493.839"/>
    <n v="493.839"/>
    <m/>
    <n v="239.69"/>
    <n v="171.61"/>
    <m/>
    <n v="203115.98070000001"/>
    <n v="203115.98070000001"/>
    <n v="202370.28380999999"/>
    <n v="0"/>
    <n v="29856.172235843973"/>
    <n v="0"/>
    <n v="0"/>
    <n v="0"/>
    <n v="26339.393461074447"/>
    <n v="43761.40779554355"/>
    <n v="81668.243233994639"/>
    <n v="3079.2624391696572"/>
    <n v="0"/>
    <n v="0"/>
    <n v="0"/>
    <n v="0"/>
    <n v="4616.4616782056391"/>
    <m/>
    <n v="195.585749015343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06.3193878094917"/>
    <n v="0"/>
    <n v="0"/>
    <n v="0"/>
    <n v="47454.58"/>
    <n v="711"/>
    <m/>
    <m/>
    <m/>
    <m/>
    <m/>
    <n v="24282.063629999993"/>
    <m/>
    <m/>
    <m/>
    <n v="89574.562621804129"/>
    <m/>
    <m/>
    <m/>
    <m/>
    <m/>
    <m/>
    <m/>
    <m/>
    <m/>
    <m/>
    <m/>
    <m/>
    <n v="178088.5808"/>
    <n v="-656.4752500000177"/>
    <m/>
    <m/>
    <m/>
    <m/>
    <n v="-11862.012780000005"/>
    <n v="11116.315889999996"/>
    <n v="31"/>
    <n v="8718.0574646727182"/>
    <n v="0"/>
    <n v="0"/>
    <n v="0"/>
    <n v="0"/>
    <n v="0"/>
    <n v="0"/>
    <n v="0"/>
    <n v="1186.1320307667993"/>
    <n v="0"/>
    <n v="0"/>
    <n v="11118.956274509605"/>
    <n v="0"/>
    <n v="0"/>
    <n v="0"/>
    <n v="1076.4284388177948"/>
    <n v="0"/>
    <n v="-4100.8274662662407"/>
    <m/>
    <n v="0"/>
    <n v="0"/>
    <n v="0"/>
    <n v="0"/>
    <n v="-532.01771511610832"/>
    <n v="-30.614098039123917"/>
    <n v="0"/>
    <n v="0"/>
    <m/>
    <m/>
    <m/>
    <n v="43761.40779554355"/>
    <n v="0"/>
    <n v="0"/>
    <n v="-11862.012780000005"/>
    <n v="11116.315889999983"/>
    <n v="0"/>
    <n v="0"/>
    <n v="-9460.980247148269"/>
    <n v="0"/>
    <n v="0"/>
    <n v="0"/>
    <n v="0"/>
    <n v="0"/>
    <n v="0"/>
    <n v="0"/>
    <n v="0"/>
    <n v="0"/>
    <n v="0"/>
    <n v="0"/>
    <n v="0"/>
    <n v="5693.468150183900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09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7.83"/>
    <n v="7.83"/>
    <n v="7.83"/>
    <n v="7.83"/>
    <m/>
    <n v="239.69"/>
    <n v="171.61"/>
    <m/>
    <n v="3220.4790000000003"/>
    <n v="3220.4790000000003"/>
    <n v="3208.6557000000003"/>
    <n v="0"/>
    <n v="473.38065362731237"/>
    <n v="0"/>
    <n v="0"/>
    <n v="0"/>
    <n v="417.62082541114194"/>
    <n v="693.85330652116579"/>
    <n v="1294.880202904546"/>
    <n v="48.822844892158002"/>
    <n v="0"/>
    <n v="0"/>
    <n v="0"/>
    <n v="0"/>
    <n v="73.195707387124457"/>
    <m/>
    <n v="3.10108439145174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.35761818436437"/>
    <n v="0"/>
    <n v="0"/>
    <n v="0"/>
    <n v="3027.88"/>
    <n v="15"/>
    <m/>
    <m/>
    <m/>
    <m/>
    <m/>
    <n v="385.00109999999995"/>
    <m/>
    <m/>
    <m/>
    <n v="1420.2378210889103"/>
    <m/>
    <m/>
    <m/>
    <m/>
    <m/>
    <m/>
    <m/>
    <m/>
    <m/>
    <m/>
    <m/>
    <m/>
    <n v="2823.6545999999998"/>
    <n v="-10.443900000000667"/>
    <m/>
    <m/>
    <m/>
    <m/>
    <n v="-188.07660000000007"/>
    <n v="176.25329999999994"/>
    <n v="31"/>
    <n v="138.22802562856987"/>
    <n v="0"/>
    <n v="0"/>
    <n v="0"/>
    <n v="0"/>
    <n v="0"/>
    <n v="0"/>
    <n v="0"/>
    <n v="18.806562059505325"/>
    <n v="0"/>
    <n v="0"/>
    <n v="176.29516427299222"/>
    <n v="0"/>
    <n v="0"/>
    <n v="0"/>
    <n v="17.067171033359742"/>
    <n v="0"/>
    <n v="-65.02013624048459"/>
    <m/>
    <n v="0"/>
    <n v="0"/>
    <n v="0"/>
    <n v="0"/>
    <n v="-8.4353376492320962"/>
    <n v="-0.48539784757044391"/>
    <n v="0"/>
    <n v="0"/>
    <m/>
    <m/>
    <m/>
    <n v="693.85330652116579"/>
    <n v="0"/>
    <n v="0"/>
    <n v="-188.0766000000001"/>
    <n v="176.25330000000008"/>
    <n v="0"/>
    <n v="0"/>
    <n v="-150.00734112771761"/>
    <n v="0"/>
    <n v="0"/>
    <n v="0"/>
    <n v="0"/>
    <n v="0"/>
    <n v="0"/>
    <n v="0"/>
    <n v="0"/>
    <n v="0"/>
    <n v="0"/>
    <n v="0"/>
    <n v="0"/>
    <n v="90.2720433500390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10"/>
    <s v="Regular"/>
    <s v="Verde"/>
    <s v="A4"/>
    <s v="Rural"/>
    <s v="Não se aplica"/>
    <s v="Não se aplica"/>
    <s v="Não se aplica"/>
    <s v="Ponta"/>
    <s v="CATIVO"/>
    <x v="8"/>
    <n v="0"/>
    <n v="0"/>
    <n v="9.0660000000000007"/>
    <n v="8.70336"/>
    <n v="9.0660000000000007"/>
    <n v="8.70336"/>
    <m/>
    <n v="984.21"/>
    <n v="171.61"/>
    <m/>
    <n v="10478.664120000001"/>
    <n v="10478.664120000001"/>
    <n v="9771.7881000000016"/>
    <n v="0"/>
    <n v="476.8521117539126"/>
    <n v="0"/>
    <n v="0"/>
    <n v="0"/>
    <n v="3569.3627605150132"/>
    <n v="4642.5365072460172"/>
    <n v="1499.2827483438844"/>
    <n v="56.529746078199807"/>
    <n v="0"/>
    <n v="0"/>
    <n v="0"/>
    <n v="0"/>
    <n v="84.749972308003876"/>
    <m/>
    <n v="2.3939722651500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039563944544746"/>
    <n v="0"/>
    <n v="0"/>
    <n v="0"/>
    <n v="0"/>
    <n v="0"/>
    <m/>
    <m/>
    <m/>
    <m/>
    <m/>
    <n v="390.87152400000082"/>
    <m/>
    <m/>
    <m/>
    <n v="1555.3223122884292"/>
    <m/>
    <m/>
    <m/>
    <m/>
    <m/>
    <m/>
    <m/>
    <m/>
    <m/>
    <m/>
    <m/>
    <m/>
    <n v="9377.2949999999983"/>
    <n v="-682.25255520000246"/>
    <m/>
    <m/>
    <m/>
    <m/>
    <n v="-910.95168000000024"/>
    <n v="204.07565999999994"/>
    <n v="31"/>
    <n v="296.8530138292399"/>
    <n v="0"/>
    <n v="0"/>
    <n v="0"/>
    <n v="0"/>
    <n v="0"/>
    <n v="0"/>
    <n v="0"/>
    <n v="160.73777499584412"/>
    <n v="0"/>
    <n v="0"/>
    <n v="204.12413273294328"/>
    <n v="0"/>
    <n v="0"/>
    <n v="0"/>
    <n v="7.6296665199061593"/>
    <n v="0"/>
    <n v="-65.496950572914159"/>
    <m/>
    <n v="0"/>
    <n v="0"/>
    <n v="0"/>
    <n v="0"/>
    <n v="-9.7668928643599173"/>
    <n v="-0.3747169821789984"/>
    <n v="0"/>
    <n v="0"/>
    <m/>
    <m/>
    <m/>
    <n v="4642.5365072460172"/>
    <n v="0"/>
    <n v="0"/>
    <n v="-910.95168000000103"/>
    <n v="204.07565999999997"/>
    <n v="0"/>
    <n v="0"/>
    <n v="-1003.6913436818668"/>
    <n v="0"/>
    <n v="0"/>
    <n v="0"/>
    <n v="0"/>
    <n v="0"/>
    <n v="0"/>
    <n v="0"/>
    <n v="0"/>
    <n v="0"/>
    <n v="0"/>
    <n v="0"/>
    <n v="0"/>
    <n v="90.93403833460575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11"/>
    <s v="Regular"/>
    <s v="Verde"/>
    <s v="A4"/>
    <s v="Rural"/>
    <s v="Não se aplica"/>
    <s v="Não se aplica"/>
    <s v="Não se aplica"/>
    <s v="Fora ponta"/>
    <s v="CATIVO"/>
    <x v="8"/>
    <n v="0"/>
    <n v="0"/>
    <n v="144.43799999999999"/>
    <n v="138.66048000000001"/>
    <n v="144.43799999999999"/>
    <n v="138.66048000000001"/>
    <m/>
    <n v="78.42"/>
    <n v="171.61"/>
    <m/>
    <n v="36113.833140000002"/>
    <n v="36113.833140000002"/>
    <n v="38281.847519999996"/>
    <n v="0"/>
    <n v="7597.1283165135255"/>
    <n v="0"/>
    <n v="0"/>
    <n v="0"/>
    <n v="0"/>
    <n v="0"/>
    <n v="23886.322700782475"/>
    <n v="900.62248665817583"/>
    <n v="0"/>
    <n v="0"/>
    <n v="0"/>
    <n v="0"/>
    <n v="1350.2224244676222"/>
    <m/>
    <n v="38.140366868932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2.81298665587394"/>
    <n v="0"/>
    <n v="0"/>
    <n v="0"/>
    <n v="0"/>
    <n v="0"/>
    <m/>
    <m/>
    <m/>
    <m/>
    <m/>
    <n v="1531.2739007999951"/>
    <m/>
    <m/>
    <m/>
    <n v="24779.135687438349"/>
    <m/>
    <m/>
    <m/>
    <m/>
    <m/>
    <m/>
    <m/>
    <m/>
    <m/>
    <m/>
    <m/>
    <m/>
    <n v="36750.446400000001"/>
    <n v="2081.1365855999975"/>
    <m/>
    <m/>
    <m/>
    <m/>
    <n v="-1083.2849999999999"/>
    <n v="3251.2993799999986"/>
    <n v="31"/>
    <n v="2168.5652842067211"/>
    <n v="0"/>
    <n v="0"/>
    <n v="0"/>
    <n v="0"/>
    <n v="0"/>
    <n v="0"/>
    <n v="0"/>
    <n v="0"/>
    <n v="0"/>
    <n v="0"/>
    <n v="3252.0716394971205"/>
    <n v="0"/>
    <n v="0"/>
    <n v="0"/>
    <n v="121.55457454248904"/>
    <n v="0"/>
    <n v="-1043.486493144781"/>
    <m/>
    <n v="0"/>
    <n v="0"/>
    <n v="0"/>
    <n v="0"/>
    <n v="-155.60450822219491"/>
    <n v="-5.9699284659133269"/>
    <n v="0"/>
    <n v="0"/>
    <m/>
    <m/>
    <m/>
    <n v="0"/>
    <n v="0"/>
    <n v="0"/>
    <n v="-1083.2849999999999"/>
    <n v="3251.2993799999967"/>
    <n v="0"/>
    <n v="0"/>
    <n v="0"/>
    <n v="0"/>
    <n v="0"/>
    <n v="0"/>
    <n v="0"/>
    <n v="0"/>
    <n v="0"/>
    <n v="0"/>
    <n v="0"/>
    <n v="0"/>
    <n v="0"/>
    <n v="0"/>
    <n v="0"/>
    <n v="1448.745933043655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12"/>
    <s v="Regular"/>
    <s v="Verde"/>
    <s v="A4"/>
    <s v="Rural"/>
    <s v="Não se aplica"/>
    <s v="Não se aplica"/>
    <s v="Não se aplica"/>
    <s v="Não se aplica"/>
    <s v="CATIVO"/>
    <x v="8"/>
    <n v="967"/>
    <n v="928.32"/>
    <n v="0"/>
    <n v="0"/>
    <n v="0"/>
    <n v="0"/>
    <n v="12.58"/>
    <m/>
    <m/>
    <n v="12164.86"/>
    <m/>
    <n v="12164.86"/>
    <n v="11207.53"/>
    <n v="0"/>
    <n v="0"/>
    <n v="0"/>
    <n v="0"/>
    <n v="0"/>
    <n v="6408.7339215492993"/>
    <n v="5753.36862756973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9551.48"/>
    <n v="11"/>
    <m/>
    <m/>
    <m/>
    <m/>
    <m/>
    <n v="448.30119999999943"/>
    <m/>
    <m/>
    <m/>
    <n v="0"/>
    <m/>
    <m/>
    <m/>
    <m/>
    <m/>
    <m/>
    <m/>
    <m/>
    <m/>
    <m/>
    <m/>
    <m/>
    <n v="10759.228800000001"/>
    <n v="-919.06680000000051"/>
    <m/>
    <m/>
    <m/>
    <m/>
    <n v="-957.33000000000015"/>
    <n v="0"/>
    <n v="31"/>
    <n v="288.60211197517765"/>
    <n v="0"/>
    <n v="0"/>
    <n v="0"/>
    <n v="0"/>
    <m/>
    <m/>
    <m/>
    <n v="288.602111975177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53.3686275697391"/>
    <m/>
    <n v="0"/>
    <n v="0"/>
    <n v="-957.32999999999993"/>
    <m/>
    <n v="0"/>
    <m/>
    <n v="-1243.847254510467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13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37.456000000000003"/>
    <n v="37.456000000000003"/>
    <n v="37.456000000000003"/>
    <n v="37.456000000000003"/>
    <m/>
    <n v="239.69"/>
    <n v="171.61"/>
    <m/>
    <n v="15405.652800000003"/>
    <n v="15405.652800000003"/>
    <n v="15349.09424"/>
    <n v="0"/>
    <n v="2264.4886030989292"/>
    <n v="0"/>
    <n v="0"/>
    <n v="0"/>
    <n v="1997.7529548658663"/>
    <n v="3319.1531863418631"/>
    <n v="6194.2570727959992"/>
    <n v="233.55152979318905"/>
    <n v="0"/>
    <n v="0"/>
    <n v="0"/>
    <n v="0"/>
    <n v="350.14283727868889"/>
    <m/>
    <n v="14.834510468226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9.66729843084966"/>
    <n v="0"/>
    <n v="0"/>
    <n v="0"/>
    <n v="4721.6400000000003"/>
    <n v="45"/>
    <m/>
    <m/>
    <m/>
    <m/>
    <m/>
    <m/>
    <m/>
    <m/>
    <m/>
    <n v="6793.924371226849"/>
    <m/>
    <m/>
    <m/>
    <m/>
    <m/>
    <m/>
    <m/>
    <m/>
    <m/>
    <m/>
    <m/>
    <m/>
    <n v="15350.733400000001"/>
    <n v="-54.949400000003152"/>
    <m/>
    <m/>
    <m/>
    <m/>
    <n v="-899.69312000000048"/>
    <n v="843.13455999999974"/>
    <n v="31"/>
    <n v="661.23485669779438"/>
    <n v="0"/>
    <n v="0"/>
    <n v="0"/>
    <n v="0"/>
    <n v="0"/>
    <n v="0"/>
    <n v="0"/>
    <n v="89.964059834077943"/>
    <n v="0"/>
    <n v="0"/>
    <n v="843.33482413910588"/>
    <n v="0"/>
    <n v="0"/>
    <n v="0"/>
    <n v="81.643417397895519"/>
    <n v="0"/>
    <n v="-311.03374495831326"/>
    <m/>
    <n v="0"/>
    <n v="0"/>
    <n v="0"/>
    <n v="0"/>
    <n v="-40.351725030605053"/>
    <n v="-2.3219746843676301"/>
    <n v="0"/>
    <n v="0"/>
    <m/>
    <m/>
    <m/>
    <n v="3319.1531863418631"/>
    <n v="0"/>
    <n v="0"/>
    <n v="-899.69312000000173"/>
    <n v="843.13455999999951"/>
    <n v="0"/>
    <n v="0"/>
    <n v="-717.58301012513266"/>
    <n v="0"/>
    <n v="0"/>
    <n v="0"/>
    <n v="0"/>
    <n v="0"/>
    <n v="0"/>
    <n v="0"/>
    <n v="0"/>
    <n v="0"/>
    <n v="0"/>
    <n v="0"/>
    <n v="0"/>
    <n v="431.8300965158446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14"/>
    <s v="Regular"/>
    <s v="Verde"/>
    <s v="A4"/>
    <s v="Poder público"/>
    <s v="Não se aplica"/>
    <s v="Não se aplica"/>
    <s v="Não se aplica"/>
    <s v="Ponta"/>
    <s v="CATIVO"/>
    <x v="8"/>
    <n v="0"/>
    <n v="0"/>
    <n v="0.81"/>
    <n v="0.81"/>
    <n v="0.81"/>
    <n v="0.81"/>
    <m/>
    <n v="984.21"/>
    <n v="171.61"/>
    <m/>
    <n v="936.21420000000012"/>
    <n v="936.21420000000012"/>
    <n v="873.05850000000009"/>
    <n v="0"/>
    <n v="42.604258826458107"/>
    <n v="0"/>
    <n v="0"/>
    <n v="0"/>
    <n v="318.90401897387608"/>
    <n v="414.78651785454156"/>
    <n v="133.95312443840132"/>
    <n v="5.050639126774966"/>
    <n v="0"/>
    <n v="0"/>
    <n v="0"/>
    <n v="0"/>
    <n v="7.5719697297025306"/>
    <m/>
    <n v="0.213888984642792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068438997442364"/>
    <n v="0"/>
    <n v="0"/>
    <n v="0"/>
    <n v="0"/>
    <n v="0"/>
    <m/>
    <m/>
    <m/>
    <m/>
    <m/>
    <m/>
    <m/>
    <m/>
    <m/>
    <n v="138.95996833814556"/>
    <m/>
    <m/>
    <m/>
    <m/>
    <m/>
    <m/>
    <m/>
    <m/>
    <m/>
    <m/>
    <m/>
    <m/>
    <n v="873.05850000000009"/>
    <n v="-63.185699999999997"/>
    <m/>
    <m/>
    <m/>
    <m/>
    <n v="-81.388800000000018"/>
    <n v="18.233099999999993"/>
    <n v="31"/>
    <n v="26.522274564492136"/>
    <n v="0"/>
    <n v="0"/>
    <n v="0"/>
    <n v="0"/>
    <n v="0"/>
    <n v="0"/>
    <n v="0"/>
    <n v="14.361085125373279"/>
    <n v="0"/>
    <n v="0"/>
    <n v="18.237430786861239"/>
    <n v="0"/>
    <n v="0"/>
    <n v="0"/>
    <n v="0.68167106564350188"/>
    <n v="0"/>
    <n v="-5.8518122616435591"/>
    <m/>
    <n v="0"/>
    <n v="0"/>
    <n v="0"/>
    <n v="0"/>
    <n v="-0.87262113612745829"/>
    <n v="-3.3479015614933688E-2"/>
    <n v="0"/>
    <n v="0"/>
    <m/>
    <m/>
    <m/>
    <n v="414.78651785454156"/>
    <n v="0"/>
    <n v="0"/>
    <n v="-81.38880000000006"/>
    <n v="18.233099999999979"/>
    <n v="0"/>
    <n v="0"/>
    <n v="-89.674607145633331"/>
    <n v="0"/>
    <n v="0"/>
    <n v="0"/>
    <n v="0"/>
    <n v="0"/>
    <n v="0"/>
    <n v="0"/>
    <n v="0"/>
    <n v="0"/>
    <n v="0"/>
    <n v="0"/>
    <n v="0"/>
    <n v="8.12448390150349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15"/>
    <s v="Regular"/>
    <s v="Verde"/>
    <s v="A4"/>
    <s v="Poder público"/>
    <s v="Não se aplica"/>
    <s v="Não se aplica"/>
    <s v="Não se aplica"/>
    <s v="Fora ponta"/>
    <s v="CATIVO"/>
    <x v="8"/>
    <n v="0"/>
    <n v="0"/>
    <n v="7.7690000000000001"/>
    <n v="7.7690000000000001"/>
    <n v="7.7690000000000001"/>
    <n v="7.7690000000000001"/>
    <m/>
    <n v="78.42"/>
    <n v="171.61"/>
    <m/>
    <n v="1942.4830700000002"/>
    <n v="1942.4830700000002"/>
    <n v="2059.0957600000002"/>
    <n v="0"/>
    <n v="408.6326997811766"/>
    <n v="0"/>
    <n v="0"/>
    <n v="0"/>
    <n v="0"/>
    <n v="0"/>
    <n v="1284.7923750147404"/>
    <n v="48.442488118413223"/>
    <n v="0"/>
    <n v="0"/>
    <n v="0"/>
    <n v="0"/>
    <n v="72.625472629702415"/>
    <m/>
    <n v="2.0514858292467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022432416188849"/>
    <n v="0"/>
    <n v="0"/>
    <n v="0"/>
    <n v="0"/>
    <n v="0"/>
    <m/>
    <m/>
    <m/>
    <m/>
    <m/>
    <m/>
    <m/>
    <m/>
    <m/>
    <n v="1332.8148074309292"/>
    <m/>
    <m/>
    <m/>
    <m/>
    <m/>
    <m/>
    <m/>
    <m/>
    <m/>
    <m/>
    <m/>
    <m/>
    <n v="2059.3607999999999"/>
    <n v="116.84772999999973"/>
    <m/>
    <m/>
    <m/>
    <m/>
    <n v="-58.267499999999998"/>
    <n v="174.88018999999994"/>
    <n v="31"/>
    <n v="116.64232191668384"/>
    <n v="0"/>
    <n v="0"/>
    <n v="0"/>
    <n v="0"/>
    <n v="0"/>
    <n v="0"/>
    <n v="0"/>
    <n v="0"/>
    <n v="0"/>
    <n v="0"/>
    <n v="174.92172812731496"/>
    <n v="0"/>
    <n v="0"/>
    <n v="0"/>
    <n v="6.5381512456597122"/>
    <n v="0"/>
    <n v="-56.126826494702243"/>
    <m/>
    <n v="0"/>
    <n v="0"/>
    <n v="0"/>
    <n v="0"/>
    <n v="-8.369621736511391"/>
    <n v="-0.3211092250770613"/>
    <n v="0"/>
    <n v="0"/>
    <m/>
    <m/>
    <m/>
    <n v="0"/>
    <n v="0"/>
    <n v="0"/>
    <n v="-58.267500000000041"/>
    <n v="174.88019000000008"/>
    <n v="0"/>
    <n v="0"/>
    <n v="0"/>
    <n v="0"/>
    <n v="0"/>
    <n v="0"/>
    <n v="0"/>
    <n v="0"/>
    <n v="0"/>
    <n v="0"/>
    <n v="0"/>
    <n v="0"/>
    <n v="0"/>
    <n v="0"/>
    <n v="0"/>
    <n v="77.92483386516127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16"/>
    <s v="Regular"/>
    <s v="Verde"/>
    <s v="A4"/>
    <s v="Poder público"/>
    <s v="Não se aplica"/>
    <s v="Não se aplica"/>
    <s v="Não se aplica"/>
    <s v="Não se aplica"/>
    <s v="CATIVO"/>
    <x v="8"/>
    <n v="155"/>
    <n v="155"/>
    <n v="0"/>
    <n v="0"/>
    <n v="0"/>
    <n v="0"/>
    <n v="12.58"/>
    <m/>
    <m/>
    <n v="1949.9"/>
    <m/>
    <n v="1949.9"/>
    <n v="1796.45"/>
    <n v="0"/>
    <n v="0"/>
    <n v="0"/>
    <n v="0"/>
    <n v="0"/>
    <n v="1027.2531104861855"/>
    <n v="922.20489893827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51.29"/>
    <n v="3"/>
    <m/>
    <m/>
    <m/>
    <m/>
    <m/>
    <m/>
    <m/>
    <m/>
    <m/>
    <n v="0"/>
    <m/>
    <m/>
    <m/>
    <m/>
    <m/>
    <m/>
    <m/>
    <m/>
    <m/>
    <m/>
    <m/>
    <m/>
    <n v="1796.45"/>
    <n v="-153.48000000000002"/>
    <m/>
    <m/>
    <m/>
    <m/>
    <n v="-153.45000000000005"/>
    <n v="0"/>
    <n v="31"/>
    <n v="46.259904194573437"/>
    <n v="0"/>
    <n v="0"/>
    <n v="0"/>
    <n v="0"/>
    <m/>
    <m/>
    <m/>
    <n v="46.2599041945734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2.20489893827255"/>
    <m/>
    <n v="0"/>
    <n v="0"/>
    <n v="-153.45000000000005"/>
    <m/>
    <n v="0"/>
    <m/>
    <n v="-199.3757233186374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17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103.251"/>
    <n v="103.251"/>
    <n v="103.251"/>
    <n v="103.251"/>
    <m/>
    <n v="131.83000000000001"/>
    <n v="94.39"/>
    <m/>
    <n v="23357.441220000001"/>
    <n v="23357.441220000001"/>
    <n v="23271.742890000001"/>
    <n v="0"/>
    <n v="3433.2521362989191"/>
    <n v="0"/>
    <n v="0"/>
    <n v="0"/>
    <n v="3028.8470388875098"/>
    <n v="5032.2575049028428"/>
    <n v="9391.2799114372392"/>
    <n v="354.09376205339908"/>
    <n v="0"/>
    <n v="0"/>
    <n v="0"/>
    <n v="0"/>
    <n v="530.86098223312786"/>
    <m/>
    <n v="22.491000699359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9.17173554720068"/>
    <n v="0"/>
    <n v="0"/>
    <n v="0"/>
    <n v="7757.22"/>
    <n v="7"/>
    <m/>
    <m/>
    <m/>
    <m/>
    <m/>
    <m/>
    <m/>
    <m/>
    <m/>
    <n v="10300.45164698444"/>
    <m/>
    <m/>
    <m/>
    <m/>
    <m/>
    <m/>
    <m/>
    <m/>
    <m/>
    <m/>
    <m/>
    <m/>
    <n v="23271.517500000002"/>
    <n v="-85.95372000000134"/>
    <m/>
    <m/>
    <m/>
    <m/>
    <n v="-1363.9457100000009"/>
    <n v="1278.2473799999996"/>
    <n v="31"/>
    <n v="1002.5159681732548"/>
    <n v="0"/>
    <n v="0"/>
    <n v="0"/>
    <n v="0"/>
    <n v="0"/>
    <n v="0"/>
    <n v="0"/>
    <n v="136.39693314984288"/>
    <n v="0"/>
    <n v="0"/>
    <n v="1278.602631352871"/>
    <n v="0"/>
    <n v="0"/>
    <n v="0"/>
    <n v="123.78178314189029"/>
    <n v="0"/>
    <n v="-471.56663446123321"/>
    <m/>
    <n v="0"/>
    <n v="0"/>
    <n v="0"/>
    <n v="0"/>
    <n v="-61.178336678349183"/>
    <n v="-3.5204083317653385"/>
    <n v="0"/>
    <n v="0"/>
    <m/>
    <m/>
    <m/>
    <n v="5032.2575049028428"/>
    <n v="0"/>
    <n v="0"/>
    <n v="-1363.9457100000018"/>
    <n v="1278.2473800000007"/>
    <n v="0"/>
    <n v="0"/>
    <n v="-1087.9469206038098"/>
    <n v="0"/>
    <n v="0"/>
    <n v="0"/>
    <n v="0"/>
    <n v="0"/>
    <n v="0"/>
    <n v="0"/>
    <n v="0"/>
    <n v="0"/>
    <n v="0"/>
    <n v="0"/>
    <n v="0"/>
    <n v="654.7092351678378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18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38.735999999999997"/>
    <n v="36.411839999999998"/>
    <n v="38.735999999999997"/>
    <n v="36.411839999999998"/>
    <m/>
    <n v="239.69"/>
    <n v="171.61"/>
    <m/>
    <n v="15932.1168"/>
    <n v="15932.1168"/>
    <n v="15873.625439999998"/>
    <n v="0"/>
    <n v="2341.8739462206349"/>
    <n v="0"/>
    <n v="0"/>
    <n v="0"/>
    <n v="2066.0230259420168"/>
    <n v="3432.5800359391924"/>
    <n v="6405.9360842542128"/>
    <n v="241.53278668488281"/>
    <n v="0"/>
    <n v="0"/>
    <n v="0"/>
    <n v="0"/>
    <n v="362.10841907377431"/>
    <m/>
    <n v="15.34145657564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0.15998697184398"/>
    <n v="0"/>
    <n v="0"/>
    <n v="0"/>
    <n v="5290.91"/>
    <n v="40"/>
    <m/>
    <m/>
    <m/>
    <m/>
    <n v="952.41752639999959"/>
    <m/>
    <m/>
    <m/>
    <m/>
    <n v="7026.0960712260567"/>
    <m/>
    <m/>
    <m/>
    <m/>
    <m/>
    <m/>
    <m/>
    <m/>
    <m/>
    <m/>
    <m/>
    <m/>
    <n v="14920.453899999997"/>
    <n v="-55.765892000003078"/>
    <m/>
    <m/>
    <m/>
    <m/>
    <n v="-930.43872000000033"/>
    <n v="871.94735999999955"/>
    <n v="31"/>
    <n v="683.83151989122598"/>
    <n v="0"/>
    <n v="0"/>
    <n v="0"/>
    <n v="0"/>
    <n v="0"/>
    <n v="0"/>
    <n v="0"/>
    <n v="93.038440349552729"/>
    <n v="0"/>
    <n v="0"/>
    <n v="872.15446785167569"/>
    <n v="0"/>
    <n v="0"/>
    <n v="0"/>
    <n v="84.433453020207139"/>
    <n v="0"/>
    <n v="-321.66283491844342"/>
    <m/>
    <n v="0"/>
    <n v="0"/>
    <n v="0"/>
    <n v="0"/>
    <n v="-41.730681887695368"/>
    <n v="-2.4013245240726295"/>
    <n v="0"/>
    <n v="0"/>
    <m/>
    <m/>
    <m/>
    <n v="3432.5800359391924"/>
    <n v="0"/>
    <n v="0"/>
    <n v="-930.43872000000192"/>
    <n v="871.94736000000012"/>
    <n v="0"/>
    <n v="0"/>
    <n v="-742.10528300424858"/>
    <n v="0"/>
    <n v="0"/>
    <n v="0"/>
    <n v="0"/>
    <n v="0"/>
    <n v="0"/>
    <n v="0"/>
    <n v="0"/>
    <n v="0"/>
    <n v="0"/>
    <n v="0"/>
    <n v="0"/>
    <n v="446.5872121592736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19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9.7750000000000004"/>
    <n v="9.7750000000000004"/>
    <n v="9.7750000000000004"/>
    <n v="9.7750000000000004"/>
    <m/>
    <n v="239.69"/>
    <n v="171.61"/>
    <m/>
    <n v="4020.4575000000004"/>
    <n v="4020.4575000000004"/>
    <n v="4005.6972500000002"/>
    <n v="0"/>
    <n v="590.97010079271763"/>
    <n v="0"/>
    <n v="0"/>
    <n v="0"/>
    <n v="521.35933185107444"/>
    <n v="866.20894907335833"/>
    <n v="1616.5330757844108"/>
    <n v="60.950614153364562"/>
    <n v="0"/>
    <n v="0"/>
    <n v="0"/>
    <n v="0"/>
    <n v="91.377782849187938"/>
    <m/>
    <n v="3.87140484373445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.49689881892232"/>
    <n v="0"/>
    <n v="0"/>
    <n v="0"/>
    <n v="1335.2"/>
    <n v="4"/>
    <m/>
    <m/>
    <m/>
    <m/>
    <m/>
    <m/>
    <m/>
    <m/>
    <m/>
    <n v="1773.0299746033331"/>
    <m/>
    <m/>
    <m/>
    <m/>
    <m/>
    <m/>
    <m/>
    <m/>
    <m/>
    <m/>
    <m/>
    <m/>
    <n v="4007.7461999999996"/>
    <n v="-12.741300000001502"/>
    <m/>
    <m/>
    <m/>
    <m/>
    <n v="-234.79550000000012"/>
    <n v="220.03524999999991"/>
    <n v="31"/>
    <n v="172.56436149671481"/>
    <n v="0"/>
    <n v="0"/>
    <n v="0"/>
    <n v="0"/>
    <n v="0"/>
    <n v="0"/>
    <n v="0"/>
    <n v="23.478179327160206"/>
    <n v="0"/>
    <n v="0"/>
    <n v="220.08751350810962"/>
    <n v="0"/>
    <n v="0"/>
    <n v="0"/>
    <n v="21.30671735007553"/>
    <n v="0"/>
    <n v="-81.1713705939639"/>
    <m/>
    <n v="0"/>
    <n v="0"/>
    <n v="0"/>
    <n v="0"/>
    <n v="-10.530705685982596"/>
    <n v="-0.6059724086846856"/>
    <n v="0"/>
    <n v="0"/>
    <m/>
    <m/>
    <m/>
    <n v="866.20894907335833"/>
    <n v="0"/>
    <n v="0"/>
    <n v="-234.79550000000017"/>
    <n v="220.03524999999991"/>
    <n v="0"/>
    <n v="0"/>
    <n v="-187.26970108856187"/>
    <n v="0"/>
    <n v="0"/>
    <n v="0"/>
    <n v="0"/>
    <n v="0"/>
    <n v="0"/>
    <n v="0"/>
    <n v="0"/>
    <n v="0"/>
    <n v="0"/>
    <n v="0"/>
    <n v="0"/>
    <n v="112.6959417300934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20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5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21"/>
    <s v="Regular"/>
    <s v="Convencional"/>
    <s v="B2"/>
    <s v="Rural"/>
    <s v="Agropecuária rural"/>
    <s v="IRRIG./AQUIC."/>
    <s v="Não se aplica"/>
    <s v="Não se aplica"/>
    <s v="CATIVO"/>
    <x v="8"/>
    <n v="0"/>
    <n v="0"/>
    <n v="0.1"/>
    <n v="0.1"/>
    <n v="0.1"/>
    <n v="0.1"/>
    <m/>
    <n v="239.69"/>
    <n v="171.61"/>
    <m/>
    <n v="41.13"/>
    <n v="41.13"/>
    <n v="40.978999999999999"/>
    <n v="0"/>
    <n v="6.0457299313832999"/>
    <n v="0"/>
    <n v="0"/>
    <n v="0"/>
    <n v="5.3335993028242905"/>
    <n v="8.8614726247913893"/>
    <n v="16.537422770173002"/>
    <n v="0.62353569466357606"/>
    <n v="0"/>
    <n v="0"/>
    <n v="0"/>
    <n v="0"/>
    <n v="0.9348110777410531"/>
    <m/>
    <n v="3.960516464178470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01"/>
    <n v="0"/>
    <n v="0"/>
    <n v="0"/>
    <n v="0"/>
    <n v="0"/>
    <m/>
    <m/>
    <m/>
    <m/>
    <m/>
    <n v="5.7799999999999985"/>
    <m/>
    <m/>
    <m/>
    <n v="18.138414062438191"/>
    <m/>
    <m/>
    <m/>
    <m/>
    <m/>
    <m/>
    <m/>
    <m/>
    <m/>
    <m/>
    <m/>
    <m/>
    <n v="35.198999999999998"/>
    <n v="-6.7000000000007276E-2"/>
    <m/>
    <m/>
    <m/>
    <m/>
    <n v="-2.402000000000001"/>
    <n v="2.250999999999999"/>
    <n v="31"/>
    <n v="1.7653643119868505"/>
    <n v="0"/>
    <n v="0"/>
    <n v="0"/>
    <n v="0"/>
    <n v="0"/>
    <n v="0"/>
    <n v="0"/>
    <n v="0.24018597777145967"/>
    <n v="0"/>
    <n v="0"/>
    <n v="2.2515346650445984"/>
    <n v="0"/>
    <n v="0"/>
    <n v="0"/>
    <n v="0.21797153299310001"/>
    <n v="0"/>
    <n v="-0.83039765313518021"/>
    <m/>
    <n v="0"/>
    <n v="0"/>
    <n v="0"/>
    <n v="0"/>
    <n v="-0.10773100446018002"/>
    <n v="-6.1992062269533091E-3"/>
    <n v="0"/>
    <n v="0"/>
    <m/>
    <m/>
    <m/>
    <n v="8.8614726247913893"/>
    <n v="0"/>
    <n v="0"/>
    <n v="-2.402000000000001"/>
    <n v="2.2510000000000012"/>
    <n v="0"/>
    <n v="0"/>
    <n v="-1.915802568680939"/>
    <n v="0"/>
    <n v="0"/>
    <n v="0"/>
    <n v="0"/>
    <n v="0"/>
    <n v="0"/>
    <n v="0"/>
    <n v="0"/>
    <n v="0"/>
    <n v="0"/>
    <n v="0"/>
    <n v="0"/>
    <n v="1.1528996596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23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521.39"/>
    <n v="2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24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34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25"/>
    <s v="Regular"/>
    <s v="Convencional"/>
    <s v="B2"/>
    <s v="Rural"/>
    <s v="Aquicultura"/>
    <s v="IRRIG./AQUIC."/>
    <s v="Não se aplica"/>
    <s v="Não se aplica"/>
    <s v="CATIVO"/>
    <x v="8"/>
    <n v="0"/>
    <n v="0"/>
    <n v="42.801000000000002"/>
    <n v="42.801000000000002"/>
    <n v="42.801000000000002"/>
    <n v="42.801000000000002"/>
    <m/>
    <n v="239.69"/>
    <n v="171.61"/>
    <m/>
    <n v="17604.051299999999"/>
    <n v="17604.051299999999"/>
    <n v="17539.42179"/>
    <n v="0"/>
    <n v="2587.632867931366"/>
    <n v="0"/>
    <n v="0"/>
    <n v="0"/>
    <n v="2282.8338376018246"/>
    <n v="3792.7988981369626"/>
    <n v="7078.1823198617467"/>
    <n v="266.87951267295722"/>
    <n v="0"/>
    <n v="0"/>
    <n v="0"/>
    <n v="0"/>
    <n v="400.10848938394815"/>
    <m/>
    <n v="16.95140651833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.24028300242401"/>
    <n v="0"/>
    <n v="0"/>
    <n v="0"/>
    <n v="0"/>
    <n v="0"/>
    <m/>
    <m/>
    <m/>
    <m/>
    <m/>
    <n v="2473.8977999999997"/>
    <m/>
    <m/>
    <m/>
    <n v="7763.4226028641706"/>
    <m/>
    <m/>
    <m/>
    <m/>
    <m/>
    <m/>
    <m/>
    <m/>
    <m/>
    <m/>
    <m/>
    <m/>
    <n v="15065.171999999999"/>
    <n v="-16.218360000004395"/>
    <m/>
    <m/>
    <m/>
    <m/>
    <n v="-1028.0800200000006"/>
    <n v="963.45050999999967"/>
    <n v="31"/>
    <n v="755.59357917349189"/>
    <n v="0"/>
    <n v="0"/>
    <n v="0"/>
    <n v="0"/>
    <n v="0"/>
    <n v="0"/>
    <n v="0"/>
    <n v="102.80200034596237"/>
    <n v="0"/>
    <n v="0"/>
    <n v="963.67935198573832"/>
    <n v="0"/>
    <n v="0"/>
    <n v="0"/>
    <n v="93.293995836376666"/>
    <n v="0"/>
    <n v="-355.41849951838822"/>
    <m/>
    <n v="0"/>
    <n v="0"/>
    <n v="0"/>
    <n v="0"/>
    <n v="-46.10994721900164"/>
    <n v="-2.6533222571982815"/>
    <n v="0"/>
    <n v="0"/>
    <m/>
    <m/>
    <m/>
    <n v="3792.7988981369626"/>
    <n v="0"/>
    <n v="0"/>
    <n v="-1028.0800200000012"/>
    <n v="963.45051000000058"/>
    <n v="0"/>
    <n v="0"/>
    <n v="-819.98265742112881"/>
    <n v="0"/>
    <n v="0"/>
    <n v="0"/>
    <n v="0"/>
    <n v="0"/>
    <n v="0"/>
    <n v="0"/>
    <n v="0"/>
    <n v="0"/>
    <n v="0"/>
    <n v="0"/>
    <n v="0"/>
    <n v="493.4525833237576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26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1.506"/>
    <n v="1.506"/>
    <n v="1.506"/>
    <n v="1.506"/>
    <m/>
    <n v="239.69"/>
    <n v="171.61"/>
    <m/>
    <n v="619.41779999999994"/>
    <n v="619.41779999999994"/>
    <n v="617.14373999999998"/>
    <n v="0"/>
    <n v="91.048692766632499"/>
    <n v="0"/>
    <n v="0"/>
    <n v="0"/>
    <n v="80.324005500533815"/>
    <n v="133.45377772935834"/>
    <n v="249.05358691880539"/>
    <n v="9.3904475616334544"/>
    <n v="0"/>
    <n v="0"/>
    <n v="0"/>
    <n v="0"/>
    <n v="14.07825483078026"/>
    <m/>
    <n v="0.59645377950527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110928861513759"/>
    <n v="0"/>
    <n v="0"/>
    <n v="0"/>
    <n v="0"/>
    <n v="0"/>
    <m/>
    <m/>
    <m/>
    <m/>
    <m/>
    <n v="87.046799999999976"/>
    <m/>
    <m/>
    <m/>
    <n v="273.16451578031916"/>
    <m/>
    <m/>
    <m/>
    <m/>
    <m/>
    <m/>
    <m/>
    <m/>
    <m/>
    <m/>
    <m/>
    <m/>
    <n v="531.50490000000002"/>
    <n v="0.82074000000000069"/>
    <m/>
    <m/>
    <m/>
    <m/>
    <n v="-36.174120000000016"/>
    <n v="33.900059999999989"/>
    <n v="31"/>
    <n v="26.586386538521822"/>
    <n v="0"/>
    <n v="0"/>
    <n v="0"/>
    <n v="0"/>
    <n v="0"/>
    <n v="0"/>
    <n v="0"/>
    <n v="3.6172008252381858"/>
    <n v="0"/>
    <n v="0"/>
    <n v="33.90811205557165"/>
    <n v="0"/>
    <n v="0"/>
    <n v="0"/>
    <n v="3.2826512868760886"/>
    <n v="0"/>
    <n v="-12.505788656215813"/>
    <m/>
    <n v="0"/>
    <n v="0"/>
    <n v="0"/>
    <n v="0"/>
    <n v="-1.6224289271703114"/>
    <n v="-9.3360045777916678E-2"/>
    <n v="0"/>
    <n v="0"/>
    <m/>
    <m/>
    <m/>
    <n v="133.45377772935834"/>
    <n v="0"/>
    <n v="0"/>
    <n v="-36.174120000000016"/>
    <n v="33.900059999999996"/>
    <n v="0"/>
    <n v="0"/>
    <n v="-28.85198668433496"/>
    <n v="0"/>
    <n v="0"/>
    <n v="0"/>
    <n v="0"/>
    <n v="0"/>
    <n v="0"/>
    <n v="0"/>
    <n v="0"/>
    <n v="0"/>
    <n v="0"/>
    <n v="0"/>
    <n v="0"/>
    <n v="17.36266887422207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27"/>
    <s v="Regular"/>
    <s v="Convencional"/>
    <s v="B2"/>
    <s v="Rural"/>
    <s v="Aquicultura"/>
    <s v="IRRIG./AQUIC. PR"/>
    <s v="Não se aplica"/>
    <s v="Não se aplica"/>
    <s v="CATIVO"/>
    <x v="8"/>
    <n v="0"/>
    <n v="0"/>
    <n v="53.616999999999997"/>
    <n v="21.4468"/>
    <n v="53.616999999999997"/>
    <n v="21.4468"/>
    <m/>
    <n v="239.69"/>
    <n v="171.61"/>
    <m/>
    <n v="22052.672099999996"/>
    <n v="22052.672099999996"/>
    <n v="21971.710429999999"/>
    <n v="0"/>
    <n v="3241.5390173097835"/>
    <n v="0"/>
    <n v="0"/>
    <n v="0"/>
    <n v="2859.7159381952997"/>
    <n v="4751.2557772343989"/>
    <n v="8866.8699666836565"/>
    <n v="334.32113340776954"/>
    <n v="0"/>
    <n v="0"/>
    <n v="0"/>
    <n v="0"/>
    <n v="501.21765555242041"/>
    <m/>
    <n v="21.2351011259857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8.40350117382684"/>
    <n v="0"/>
    <n v="0"/>
    <n v="0"/>
    <n v="0"/>
    <n v="0"/>
    <m/>
    <m/>
    <m/>
    <m/>
    <m/>
    <m/>
    <n v="14422.651297999997"/>
    <m/>
    <m/>
    <n v="9725.2734678574834"/>
    <m/>
    <m/>
    <m/>
    <m/>
    <m/>
    <m/>
    <m/>
    <m/>
    <m/>
    <m/>
    <m/>
    <m/>
    <n v="7550.1854999999996"/>
    <n v="-6.8389480000005278"/>
    <m/>
    <m/>
    <m/>
    <m/>
    <n v="-1287.8803400000004"/>
    <n v="1206.9186699999996"/>
    <n v="31"/>
    <n v="946.53538315798141"/>
    <n v="0"/>
    <n v="0"/>
    <n v="0"/>
    <n v="0"/>
    <n v="0"/>
    <n v="0"/>
    <n v="0"/>
    <n v="128.78051570172329"/>
    <n v="0"/>
    <n v="0"/>
    <n v="1207.2053413569629"/>
    <n v="0"/>
    <n v="0"/>
    <n v="0"/>
    <n v="116.86979684491041"/>
    <n v="0"/>
    <n v="-445.23430968148932"/>
    <m/>
    <n v="0"/>
    <n v="0"/>
    <n v="0"/>
    <n v="0"/>
    <n v="-57.762132661414739"/>
    <n v="-3.3238284027055549"/>
    <n v="0"/>
    <n v="0"/>
    <m/>
    <m/>
    <m/>
    <n v="4751.2557772343989"/>
    <n v="0"/>
    <n v="0"/>
    <n v="-1287.8803399999997"/>
    <n v="1206.9186700000009"/>
    <n v="0"/>
    <n v="0"/>
    <n v="-1027.1958632496594"/>
    <n v="0"/>
    <n v="0"/>
    <n v="0"/>
    <n v="0"/>
    <n v="0"/>
    <n v="0"/>
    <n v="0"/>
    <n v="0"/>
    <n v="0"/>
    <n v="0"/>
    <n v="0"/>
    <n v="0"/>
    <n v="618.15021051073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28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2.8069999999999999"/>
    <n v="2.8069999999999999"/>
    <n v="2.8069999999999999"/>
    <n v="2.8069999999999999"/>
    <m/>
    <n v="239.69"/>
    <n v="171.61"/>
    <m/>
    <n v="1154.5191"/>
    <n v="1154.5191"/>
    <n v="1150.28053"/>
    <n v="0"/>
    <n v="169.70363917392922"/>
    <n v="0"/>
    <n v="0"/>
    <n v="0"/>
    <n v="149.71413243027783"/>
    <n v="248.74153657789429"/>
    <n v="464.20545715875613"/>
    <n v="17.502646949206579"/>
    <n v="0"/>
    <n v="0"/>
    <n v="0"/>
    <n v="0"/>
    <n v="26.24014695219136"/>
    <m/>
    <n v="1.111716971494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93982557388388"/>
    <n v="0"/>
    <n v="0"/>
    <n v="0"/>
    <n v="0"/>
    <n v="0"/>
    <m/>
    <m/>
    <m/>
    <m/>
    <m/>
    <n v="162.24459999999993"/>
    <m/>
    <m/>
    <m/>
    <n v="509.14528273264"/>
    <m/>
    <m/>
    <m/>
    <m/>
    <m/>
    <m/>
    <m/>
    <m/>
    <m/>
    <m/>
    <m/>
    <m/>
    <n v="989.09190000000001"/>
    <n v="-1.2619999999969878E-2"/>
    <m/>
    <m/>
    <m/>
    <m/>
    <n v="-67.424140000000023"/>
    <n v="63.18556999999997"/>
    <n v="31"/>
    <n v="49.553776237470743"/>
    <n v="0"/>
    <n v="0"/>
    <n v="0"/>
    <n v="0"/>
    <n v="0"/>
    <n v="0"/>
    <n v="0"/>
    <n v="6.7420203960448646"/>
    <n v="0"/>
    <n v="0"/>
    <n v="63.200578047801912"/>
    <n v="0"/>
    <n v="0"/>
    <n v="0"/>
    <n v="6.1184609311163172"/>
    <n v="0"/>
    <n v="-23.30926212350451"/>
    <m/>
    <n v="0"/>
    <n v="0"/>
    <n v="0"/>
    <n v="0"/>
    <n v="-3.0240092951972528"/>
    <n v="-0.17401171879057908"/>
    <n v="0"/>
    <n v="0"/>
    <m/>
    <m/>
    <m/>
    <n v="248.74153657789429"/>
    <n v="0"/>
    <n v="0"/>
    <n v="-67.424140000000079"/>
    <n v="63.185570000000041"/>
    <n v="0"/>
    <n v="0"/>
    <n v="-53.77657810287397"/>
    <n v="0"/>
    <n v="0"/>
    <n v="0"/>
    <n v="0"/>
    <n v="0"/>
    <n v="0"/>
    <n v="0"/>
    <n v="0"/>
    <n v="0"/>
    <n v="0"/>
    <n v="0"/>
    <n v="0"/>
    <n v="32.36189344617620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29"/>
    <s v="Regular"/>
    <s v="Convencional"/>
    <s v="B1"/>
    <s v="Residencial"/>
    <s v="Residencial"/>
    <s v="Não se aplica"/>
    <s v="Não se aplica"/>
    <s v="Não se aplica"/>
    <s v="CATIVO"/>
    <x v="9"/>
    <n v="0"/>
    <n v="0"/>
    <n v="1349.452"/>
    <n v="1349.452"/>
    <n v="1349.452"/>
    <n v="1349.452"/>
    <m/>
    <n v="239.69"/>
    <n v="171.61"/>
    <m/>
    <n v="555029.60759999999"/>
    <n v="555029.60759999999"/>
    <n v="552991.93507999997"/>
    <n v="0"/>
    <n v="81584.223473650563"/>
    <n v="0"/>
    <n v="0"/>
    <n v="0"/>
    <n v="71974.362463948448"/>
    <n v="119581.31956469989"/>
    <n v="223164.58232055497"/>
    <n v="8414.3149023515198"/>
    <n v="0"/>
    <n v="0"/>
    <n v="0"/>
    <n v="0"/>
    <n v="12614.826784798195"/>
    <m/>
    <n v="534.45268636185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04.60901329845"/>
    <n v="0"/>
    <n v="0"/>
    <n v="0"/>
    <n v="134074.04999999999"/>
    <n v="4666"/>
    <m/>
    <m/>
    <m/>
    <m/>
    <m/>
    <m/>
    <m/>
    <m/>
    <m/>
    <n v="244769.19133385341"/>
    <m/>
    <m/>
    <m/>
    <m/>
    <m/>
    <m/>
    <m/>
    <m/>
    <m/>
    <m/>
    <m/>
    <m/>
    <n v="552991.11550000007"/>
    <n v="-2038.5220999999437"/>
    <m/>
    <m/>
    <m/>
    <m/>
    <n v="-32413.837040000013"/>
    <n v="30376.164519999988"/>
    <n v="30"/>
    <n v="23822.744015392673"/>
    <n v="0"/>
    <n v="0"/>
    <n v="0"/>
    <n v="0"/>
    <n v="0"/>
    <n v="0"/>
    <n v="0"/>
    <n v="3241.194480756516"/>
    <n v="0"/>
    <n v="0"/>
    <n v="30383.379568137636"/>
    <n v="0"/>
    <n v="0"/>
    <n v="0"/>
    <n v="2941.4212114060501"/>
    <n v="0"/>
    <n v="-11205.817738185753"/>
    <m/>
    <n v="0"/>
    <n v="0"/>
    <n v="0"/>
    <n v="0"/>
    <n v="-1453.7781943079881"/>
    <n v="-83.655312413745946"/>
    <n v="0"/>
    <n v="0"/>
    <m/>
    <m/>
    <m/>
    <n v="119581.31956469989"/>
    <n v="0"/>
    <n v="0"/>
    <n v="-32413.837040000013"/>
    <n v="30376.164519999991"/>
    <n v="0"/>
    <n v="0"/>
    <n v="-25852.836079116314"/>
    <n v="0"/>
    <n v="0"/>
    <n v="0"/>
    <n v="0"/>
    <n v="0"/>
    <n v="0"/>
    <n v="0"/>
    <n v="0"/>
    <n v="0"/>
    <n v="0"/>
    <n v="0"/>
    <n v="0"/>
    <n v="15557.82751504430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0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21199999999999999"/>
    <n v="-0.21199999999999999"/>
    <n v="-0.21199999999999999"/>
    <n v="-0.21199999999999999"/>
    <m/>
    <n v="239.69"/>
    <n v="171.61"/>
    <m/>
    <n v="-87.195599999999999"/>
    <n v="-87.195599999999999"/>
    <n v="-86.875479999999996"/>
    <n v="0"/>
    <n v="-12.816947454532595"/>
    <n v="0"/>
    <n v="0"/>
    <n v="0"/>
    <n v="-11.307230521987496"/>
    <n v="-18.786321964557743"/>
    <n v="-35.059336272766764"/>
    <n v="-1.3218956726867812"/>
    <n v="0"/>
    <n v="0"/>
    <n v="0"/>
    <n v="0"/>
    <n v="-1.9817994848110325"/>
    <m/>
    <n v="-8.396294904058355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3941015396022025"/>
    <n v="0"/>
    <n v="0"/>
    <n v="0"/>
    <n v="-28.96"/>
    <n v="0"/>
    <m/>
    <m/>
    <m/>
    <m/>
    <m/>
    <m/>
    <m/>
    <m/>
    <m/>
    <n v="-38.453437812368968"/>
    <m/>
    <m/>
    <m/>
    <m/>
    <m/>
    <m/>
    <m/>
    <m/>
    <m/>
    <m/>
    <m/>
    <m/>
    <n v="-86.055899999999994"/>
    <n v="1.1097000000000037"/>
    <m/>
    <m/>
    <m/>
    <m/>
    <n v="5.0922400000000021"/>
    <n v="-4.7721199999999984"/>
    <n v="30"/>
    <n v="-3.7425723414120853"/>
    <n v="0"/>
    <n v="0"/>
    <n v="0"/>
    <n v="0"/>
    <n v="0"/>
    <n v="0"/>
    <n v="0"/>
    <n v="-0.50919427287549368"/>
    <n v="0"/>
    <n v="0"/>
    <n v="-4.7732534898945431"/>
    <n v="0"/>
    <n v="0"/>
    <n v="0"/>
    <n v="-0.462099649945372"/>
    <n v="0"/>
    <n v="1.7604430246465821"/>
    <m/>
    <n v="0"/>
    <n v="0"/>
    <n v="0"/>
    <n v="0"/>
    <n v="0.22838972945558167"/>
    <n v="1.3142317201140993E-2"/>
    <n v="0"/>
    <n v="0"/>
    <m/>
    <m/>
    <m/>
    <n v="-18.786321964557743"/>
    <n v="0"/>
    <n v="0"/>
    <n v="5.0922400000000039"/>
    <n v="-4.772120000000001"/>
    <n v="0"/>
    <n v="0"/>
    <n v="4.0615014456035894"/>
    <n v="0"/>
    <n v="0"/>
    <n v="0"/>
    <n v="0"/>
    <n v="0"/>
    <n v="0"/>
    <n v="0"/>
    <n v="0"/>
    <n v="0"/>
    <n v="0"/>
    <n v="0"/>
    <n v="0"/>
    <n v="-2.444147278442947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1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6.0229999999999997"/>
    <n v="6.0229999999999997"/>
    <n v="6.0229999999999997"/>
    <n v="6.0229999999999997"/>
    <m/>
    <n v="239.69"/>
    <n v="171.61"/>
    <m/>
    <n v="2477.2599"/>
    <n v="2477.2599"/>
    <n v="2468.1651699999998"/>
    <n v="0"/>
    <n v="364.1343137672161"/>
    <n v="0"/>
    <n v="0"/>
    <n v="0"/>
    <n v="321.24268600910699"/>
    <n v="533.72649619118533"/>
    <n v="996.04897344751976"/>
    <n v="37.555554889587185"/>
    <n v="0"/>
    <n v="0"/>
    <n v="0"/>
    <n v="0"/>
    <n v="56.303671212343623"/>
    <m/>
    <n v="2.3854190663746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.427705533132382"/>
    <n v="0"/>
    <n v="0"/>
    <n v="0"/>
    <n v="1362.36"/>
    <n v="20"/>
    <m/>
    <m/>
    <m/>
    <m/>
    <m/>
    <m/>
    <m/>
    <m/>
    <m/>
    <n v="1092.4766789806522"/>
    <m/>
    <m/>
    <m/>
    <m/>
    <m/>
    <m/>
    <m/>
    <m/>
    <m/>
    <m/>
    <m/>
    <m/>
    <n v="2466.9357999999997"/>
    <n v="-10.354100000000471"/>
    <m/>
    <m/>
    <m/>
    <m/>
    <n v="-144.67246000000006"/>
    <n v="135.57772999999995"/>
    <n v="30"/>
    <n v="106.32789251096756"/>
    <n v="0"/>
    <n v="0"/>
    <n v="0"/>
    <n v="0"/>
    <n v="0"/>
    <n v="0"/>
    <n v="0"/>
    <n v="14.466401441175037"/>
    <n v="0"/>
    <n v="0"/>
    <n v="135.60993287563633"/>
    <n v="0"/>
    <n v="0"/>
    <n v="0"/>
    <n v="13.12842543217441"/>
    <n v="0"/>
    <n v="-50.014850648331844"/>
    <m/>
    <n v="0"/>
    <n v="0"/>
    <n v="0"/>
    <n v="0"/>
    <n v="-6.4886383986366454"/>
    <n v="-0.3733781910493974"/>
    <n v="0"/>
    <n v="0"/>
    <m/>
    <m/>
    <m/>
    <n v="533.72649619118533"/>
    <n v="0"/>
    <n v="0"/>
    <n v="-144.67246"/>
    <n v="135.57772999999975"/>
    <n v="0"/>
    <n v="0"/>
    <n v="-115.38878871165298"/>
    <n v="0"/>
    <n v="0"/>
    <n v="0"/>
    <n v="0"/>
    <n v="0"/>
    <n v="0"/>
    <n v="0"/>
    <n v="0"/>
    <n v="0"/>
    <n v="0"/>
    <n v="0"/>
    <n v="0"/>
    <n v="69.43914650029185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2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11.52"/>
    <n v="11.52"/>
    <n v="11.52"/>
    <n v="11.52"/>
    <m/>
    <n v="158.36000000000001"/>
    <n v="171.61"/>
    <m/>
    <n v="3801.2544000000003"/>
    <n v="3801.2544000000003"/>
    <n v="3891.9168"/>
    <n v="0"/>
    <n v="0"/>
    <n v="0"/>
    <n v="0"/>
    <n v="0"/>
    <n v="614.43063968535819"/>
    <n v="1020.841646375968"/>
    <n v="1905.1111031239295"/>
    <n v="71.83131202524396"/>
    <n v="0"/>
    <n v="0"/>
    <n v="0"/>
    <n v="0"/>
    <n v="0"/>
    <m/>
    <n v="4.56251496673359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.43419686894987"/>
    <n v="0"/>
    <n v="0"/>
    <n v="0"/>
    <n v="184.35"/>
    <n v="3"/>
    <m/>
    <m/>
    <m/>
    <m/>
    <m/>
    <m/>
    <m/>
    <n v="2529.7919999999999"/>
    <m/>
    <n v="2089.5452999928793"/>
    <m/>
    <m/>
    <m/>
    <m/>
    <m/>
    <m/>
    <m/>
    <m/>
    <m/>
    <m/>
    <m/>
    <m/>
    <n v="1362.1247999999998"/>
    <n v="31.765199999999822"/>
    <m/>
    <m/>
    <m/>
    <m/>
    <n v="-168.65280000000016"/>
    <n v="259.31519999999989"/>
    <n v="30"/>
    <n v="311.44239009587091"/>
    <n v="0"/>
    <n v="0"/>
    <n v="0"/>
    <n v="0"/>
    <n v="0"/>
    <n v="0"/>
    <n v="0"/>
    <n v="27.669424639272165"/>
    <n v="0"/>
    <n v="0"/>
    <n v="259.3767934131381"/>
    <n v="0"/>
    <n v="0"/>
    <n v="0"/>
    <n v="25.110320600805125"/>
    <n v="0"/>
    <n v="0"/>
    <m/>
    <n v="0"/>
    <n v="0"/>
    <n v="0"/>
    <n v="0"/>
    <n v="0"/>
    <n v="-0.71414855734502014"/>
    <n v="0"/>
    <n v="0"/>
    <m/>
    <m/>
    <m/>
    <n v="1020.841646375968"/>
    <n v="0"/>
    <n v="0"/>
    <n v="-168.6528000000003"/>
    <n v="259.3152"/>
    <n v="0"/>
    <n v="0"/>
    <n v="-220.70045591204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3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25.509"/>
    <n v="25.509"/>
    <n v="25.509"/>
    <n v="25.509"/>
    <m/>
    <n v="158.36000000000001"/>
    <n v="171.61"/>
    <m/>
    <n v="8417.2047300000013"/>
    <n v="8417.2047300000013"/>
    <n v="8617.9605599999995"/>
    <n v="0"/>
    <n v="0"/>
    <n v="0"/>
    <n v="0"/>
    <n v="0"/>
    <n v="1360.5478461574482"/>
    <n v="2260.4730518580354"/>
    <n v="4218.5311744434312"/>
    <n v="159.0577203517316"/>
    <n v="0"/>
    <n v="0"/>
    <n v="0"/>
    <n v="0"/>
    <n v="0"/>
    <m/>
    <n v="10.102881448472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39686874392731"/>
    <n v="0"/>
    <n v="0"/>
    <n v="0"/>
    <n v="711.92"/>
    <n v="45"/>
    <m/>
    <m/>
    <m/>
    <m/>
    <m/>
    <m/>
    <m/>
    <n v="3447.2862599999999"/>
    <m/>
    <n v="4626.9280431873585"/>
    <m/>
    <m/>
    <m/>
    <m/>
    <m/>
    <m/>
    <m/>
    <m/>
    <m/>
    <m/>
    <m/>
    <m/>
    <n v="5170.8770000000004"/>
    <n v="120.57517999999982"/>
    <m/>
    <m/>
    <m/>
    <m/>
    <n v="-373.45176000000038"/>
    <n v="574.20758999999975"/>
    <n v="30"/>
    <n v="689.63402161072463"/>
    <n v="0"/>
    <n v="0"/>
    <n v="0"/>
    <n v="0"/>
    <n v="0"/>
    <n v="0"/>
    <n v="0"/>
    <n v="61.269041069721652"/>
    <n v="0"/>
    <n v="0"/>
    <n v="574.34397770622672"/>
    <n v="0"/>
    <n v="0"/>
    <n v="0"/>
    <n v="55.602358351209887"/>
    <n v="0"/>
    <n v="0"/>
    <m/>
    <n v="0"/>
    <n v="0"/>
    <n v="0"/>
    <n v="0"/>
    <n v="0"/>
    <n v="-1.5813555164335167"/>
    <n v="0"/>
    <n v="0"/>
    <m/>
    <m/>
    <m/>
    <n v="2260.4730518580354"/>
    <n v="0"/>
    <n v="0"/>
    <n v="-373.45176000000038"/>
    <n v="574.20758999999998"/>
    <n v="0"/>
    <n v="0"/>
    <n v="-488.7020772448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4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32.045000000000002"/>
    <n v="32.045000000000002"/>
    <n v="32.045000000000002"/>
    <n v="32.045000000000002"/>
    <m/>
    <n v="158.36000000000001"/>
    <n v="171.61"/>
    <m/>
    <n v="10573.888650000001"/>
    <n v="10573.888650000001"/>
    <n v="10826.0828"/>
    <n v="0"/>
    <n v="0"/>
    <n v="0"/>
    <n v="0"/>
    <n v="0"/>
    <n v="1709.1518965900439"/>
    <n v="2839.6589026144006"/>
    <n v="5299.4171267019383"/>
    <n v="199.81201335494296"/>
    <n v="0"/>
    <n v="0"/>
    <n v="0"/>
    <n v="0"/>
    <n v="0"/>
    <m/>
    <n v="12.691475009459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3.0376596063802"/>
    <n v="0"/>
    <n v="0"/>
    <n v="0"/>
    <n v="2426.46"/>
    <n v="124"/>
    <m/>
    <m/>
    <m/>
    <m/>
    <m/>
    <m/>
    <m/>
    <n v="1082.4801000000002"/>
    <m/>
    <n v="5812.4547863083189"/>
    <m/>
    <m/>
    <m/>
    <m/>
    <m/>
    <m/>
    <m/>
    <m/>
    <m/>
    <m/>
    <m/>
    <m/>
    <n v="9745.1229999999996"/>
    <n v="228.68934999999874"/>
    <m/>
    <m/>
    <m/>
    <m/>
    <n v="-469.13880000000051"/>
    <n v="721.33294999999976"/>
    <n v="30"/>
    <n v="866.3343221026189"/>
    <n v="0"/>
    <n v="0"/>
    <n v="0"/>
    <n v="0"/>
    <n v="0"/>
    <n v="0"/>
    <n v="0"/>
    <n v="76.96759657686448"/>
    <n v="0"/>
    <n v="0"/>
    <n v="721.504283413542"/>
    <n v="0"/>
    <n v="0"/>
    <n v="0"/>
    <n v="69.848977747638855"/>
    <n v="0"/>
    <n v="0"/>
    <m/>
    <n v="0"/>
    <n v="0"/>
    <n v="0"/>
    <n v="0"/>
    <n v="0"/>
    <n v="-1.9865356354271864"/>
    <n v="0"/>
    <n v="0"/>
    <m/>
    <m/>
    <m/>
    <n v="2839.6589026144006"/>
    <n v="0"/>
    <n v="0"/>
    <n v="-469.13880000000063"/>
    <n v="721.33294999999998"/>
    <n v="0"/>
    <n v="0"/>
    <n v="-613.91893313380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5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38.442999999999998"/>
    <n v="38.442999999999998"/>
    <n v="38.442999999999998"/>
    <n v="38.442999999999998"/>
    <m/>
    <n v="158.36000000000001"/>
    <n v="171.61"/>
    <m/>
    <n v="12685.03671"/>
    <n v="12685.03671"/>
    <n v="12987.583119999999"/>
    <n v="0"/>
    <n v="0"/>
    <n v="0"/>
    <n v="0"/>
    <n v="0"/>
    <n v="2050.3955799847417"/>
    <n v="3406.6159211485538"/>
    <n v="6357.4814355376066"/>
    <n v="239.70582709951853"/>
    <n v="0"/>
    <n v="0"/>
    <n v="0"/>
    <n v="0"/>
    <n v="0"/>
    <m/>
    <n v="15.2254134432412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5.46908248550699"/>
    <n v="0"/>
    <n v="0"/>
    <n v="0"/>
    <n v="4328.24"/>
    <n v="194"/>
    <m/>
    <m/>
    <m/>
    <m/>
    <m/>
    <m/>
    <m/>
    <m/>
    <m/>
    <n v="6972.9505180231135"/>
    <m/>
    <m/>
    <m/>
    <m/>
    <m/>
    <m/>
    <m/>
    <m/>
    <m/>
    <m/>
    <m/>
    <m/>
    <n v="12986.569599999999"/>
    <n v="301.50288999999793"/>
    <m/>
    <m/>
    <m/>
    <m/>
    <n v="-562.80552000000057"/>
    <n v="865.35192999999958"/>
    <n v="30"/>
    <n v="1039.3038022964865"/>
    <n v="0"/>
    <n v="0"/>
    <n v="0"/>
    <n v="0"/>
    <n v="0"/>
    <n v="0"/>
    <n v="0"/>
    <n v="92.334695434682544"/>
    <n v="0"/>
    <n v="0"/>
    <n v="865.55747128309486"/>
    <n v="0"/>
    <n v="0"/>
    <n v="0"/>
    <n v="83.794796428537325"/>
    <n v="0"/>
    <n v="0"/>
    <m/>
    <n v="0"/>
    <n v="0"/>
    <n v="0"/>
    <n v="0"/>
    <n v="0"/>
    <n v="-2.3831608498276573"/>
    <n v="0"/>
    <n v="0"/>
    <m/>
    <m/>
    <m/>
    <n v="3406.6159211485538"/>
    <n v="0"/>
    <n v="0"/>
    <n v="-562.8055200000008"/>
    <n v="865.35192999999981"/>
    <n v="0"/>
    <n v="0"/>
    <n v="-736.4919814780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6"/>
    <s v="Regular"/>
    <s v="Convencional"/>
    <s v="B3"/>
    <s v="Industrial"/>
    <s v="Não se aplica"/>
    <s v="Não se aplica"/>
    <s v="Não se aplica"/>
    <s v="Não se aplica"/>
    <s v="CATIVO"/>
    <x v="9"/>
    <n v="0"/>
    <n v="0"/>
    <n v="223.423"/>
    <n v="223.423"/>
    <n v="223.423"/>
    <n v="223.423"/>
    <m/>
    <n v="239.69"/>
    <n v="171.61"/>
    <m/>
    <n v="91893.8799"/>
    <n v="91893.8799"/>
    <n v="91556.511169999998"/>
    <n v="0"/>
    <n v="13507.551184594509"/>
    <n v="0"/>
    <n v="0"/>
    <n v="0"/>
    <n v="11916.487570349114"/>
    <n v="19798.567982487664"/>
    <n v="36948.406075803621"/>
    <n v="1393.1221550882015"/>
    <n v="0"/>
    <n v="0"/>
    <n v="0"/>
    <n v="0"/>
    <n v="2088.5829542213928"/>
    <m/>
    <n v="88.487046997614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6.9827749176552"/>
    <n v="0"/>
    <n v="0"/>
    <n v="0"/>
    <n v="30518.37"/>
    <n v="78"/>
    <m/>
    <m/>
    <m/>
    <m/>
    <m/>
    <m/>
    <m/>
    <m/>
    <m/>
    <n v="40525.388850721276"/>
    <m/>
    <m/>
    <m/>
    <m/>
    <m/>
    <m/>
    <m/>
    <m/>
    <m/>
    <m/>
    <m/>
    <m/>
    <n v="91555.281799999997"/>
    <n v="-338.62810000000172"/>
    <m/>
    <m/>
    <m/>
    <m/>
    <n v="-5366.6204600000019"/>
    <n v="5029.2517299999981"/>
    <n v="30"/>
    <n v="3944.2299067703716"/>
    <n v="0"/>
    <n v="0"/>
    <n v="0"/>
    <n v="0"/>
    <n v="0"/>
    <n v="0"/>
    <n v="0"/>
    <n v="536.63071711632801"/>
    <n v="0"/>
    <n v="0"/>
    <n v="5030.4462946825952"/>
    <n v="0"/>
    <n v="0"/>
    <n v="0"/>
    <n v="486.99853815917413"/>
    <n v="0"/>
    <n v="-1855.2993485642128"/>
    <m/>
    <n v="0"/>
    <n v="0"/>
    <n v="0"/>
    <n v="0"/>
    <n v="-240.69584209506775"/>
    <n v="-13.850452528445885"/>
    <n v="0"/>
    <n v="0"/>
    <m/>
    <m/>
    <m/>
    <n v="19798.567982487664"/>
    <n v="0"/>
    <n v="0"/>
    <n v="-5366.6204599999983"/>
    <n v="5029.2517299999963"/>
    <n v="0"/>
    <n v="0"/>
    <n v="-4280.3435730240144"/>
    <n v="0"/>
    <n v="0"/>
    <n v="0"/>
    <n v="0"/>
    <n v="0"/>
    <n v="0"/>
    <n v="0"/>
    <n v="0"/>
    <n v="0"/>
    <n v="0"/>
    <n v="0"/>
    <n v="0"/>
    <n v="2575.843006563956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7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8.4489999999999998"/>
    <n v="8.4489999999999998"/>
    <n v="8.4489999999999998"/>
    <n v="8.4489999999999998"/>
    <m/>
    <n v="239.69"/>
    <n v="171.61"/>
    <m/>
    <n v="3475.0736999999999"/>
    <n v="3475.0736999999999"/>
    <n v="3462.3157099999999"/>
    <n v="0"/>
    <n v="510.80372190257498"/>
    <n v="0"/>
    <n v="0"/>
    <n v="0"/>
    <n v="450.63580509562428"/>
    <n v="748.70582206862446"/>
    <n v="1397.2468498519167"/>
    <n v="52.682530842125537"/>
    <n v="0"/>
    <n v="0"/>
    <n v="0"/>
    <n v="0"/>
    <n v="78.982187958341569"/>
    <m/>
    <n v="3.3462403605843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26775428348589"/>
    <n v="0"/>
    <n v="0"/>
    <n v="0"/>
    <n v="1254.77"/>
    <n v="6"/>
    <m/>
    <m/>
    <m/>
    <m/>
    <m/>
    <m/>
    <m/>
    <m/>
    <m/>
    <n v="1532.5146041354026"/>
    <m/>
    <m/>
    <m/>
    <m/>
    <m/>
    <m/>
    <m/>
    <m/>
    <m/>
    <m/>
    <m/>
    <m/>
    <n v="3462.7254999999996"/>
    <n v="-12.378200000000561"/>
    <m/>
    <m/>
    <m/>
    <m/>
    <n v="-202.94498000000007"/>
    <n v="190.18698999999992"/>
    <n v="30"/>
    <n v="149.15563071976885"/>
    <n v="0"/>
    <n v="0"/>
    <n v="0"/>
    <n v="0"/>
    <n v="0"/>
    <n v="0"/>
    <n v="0"/>
    <n v="20.293313261910669"/>
    <n v="0"/>
    <n v="0"/>
    <n v="190.23216384961825"/>
    <n v="0"/>
    <n v="0"/>
    <n v="0"/>
    <n v="18.416414822587029"/>
    <n v="0"/>
    <n v="-70.160297713391344"/>
    <m/>
    <n v="0"/>
    <n v="0"/>
    <n v="0"/>
    <n v="0"/>
    <n v="-9.1021925668405999"/>
    <n v="-0.52377093411528453"/>
    <n v="0"/>
    <n v="0"/>
    <m/>
    <m/>
    <m/>
    <n v="748.70582206862446"/>
    <n v="0"/>
    <n v="0"/>
    <n v="-202.94497999999999"/>
    <n v="190.18698999999992"/>
    <n v="0"/>
    <n v="0"/>
    <n v="-161.86615902785252"/>
    <n v="0"/>
    <n v="0"/>
    <n v="0"/>
    <n v="0"/>
    <n v="0"/>
    <n v="0"/>
    <n v="0"/>
    <n v="0"/>
    <n v="0"/>
    <n v="0"/>
    <n v="0"/>
    <n v="0"/>
    <n v="97.40849224322862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8"/>
    <s v="Regular"/>
    <s v="Azul"/>
    <s v="A4"/>
    <s v="Industrial"/>
    <s v="Não se aplica"/>
    <s v="Não se aplica"/>
    <s v="Não se aplica"/>
    <s v="Ponta"/>
    <s v="CATIVO"/>
    <x v="9"/>
    <n v="18715"/>
    <n v="18715"/>
    <n v="901.86400000000003"/>
    <n v="901.86400000000003"/>
    <n v="901.86400000000003"/>
    <n v="901.86400000000003"/>
    <n v="37.64"/>
    <n v="78.42"/>
    <n v="171.61"/>
    <n v="704432.6"/>
    <n v="225493.05592000001"/>
    <n v="929925.65591999993"/>
    <n v="871035.58455999999"/>
    <n v="0"/>
    <n v="47436.107755882484"/>
    <n v="0"/>
    <n v="0"/>
    <n v="0"/>
    <n v="305880.11699188274"/>
    <n v="398488.75255475455"/>
    <n v="149145.06249199304"/>
    <n v="5623.4439573207137"/>
    <n v="0"/>
    <n v="0"/>
    <n v="0"/>
    <n v="0"/>
    <n v="8430.7245781585716"/>
    <m/>
    <n v="238.146636106033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74.6818108628831"/>
    <n v="0"/>
    <n v="0"/>
    <n v="0"/>
    <n v="0"/>
    <n v="0"/>
    <m/>
    <m/>
    <m/>
    <m/>
    <m/>
    <m/>
    <m/>
    <m/>
    <m/>
    <n v="154719.74430285592"/>
    <m/>
    <m/>
    <m/>
    <m/>
    <m/>
    <m/>
    <m/>
    <m/>
    <m/>
    <m/>
    <m/>
    <m/>
    <n v="871034.52439999999"/>
    <n v="-58891.161519999965"/>
    <m/>
    <m/>
    <m/>
    <m/>
    <n v="-79191.029999999955"/>
    <n v="20300.958639999993"/>
    <n v="30"/>
    <n v="27315.003089896403"/>
    <n v="0"/>
    <n v="0"/>
    <n v="0"/>
    <n v="0"/>
    <n v="0"/>
    <n v="0"/>
    <n v="0"/>
    <n v="13774.584630240162"/>
    <n v="0"/>
    <n v="0"/>
    <n v="20305.780591557821"/>
    <n v="0"/>
    <n v="0"/>
    <n v="0"/>
    <n v="758.98098017964367"/>
    <n v="0"/>
    <n v="-6515.4800167097565"/>
    <m/>
    <n v="0"/>
    <n v="0"/>
    <n v="0"/>
    <n v="0"/>
    <n v="-971.5871460647586"/>
    <n v="-37.275949306847593"/>
    <n v="0"/>
    <n v="0"/>
    <m/>
    <m/>
    <n v="398488.75255475455"/>
    <n v="0"/>
    <n v="0"/>
    <n v="0"/>
    <n v="-79191.029999999912"/>
    <n v="20300.958639999997"/>
    <n v="0"/>
    <n v="0"/>
    <n v="-86151.11822374136"/>
    <n v="0"/>
    <n v="0"/>
    <n v="0"/>
    <n v="0"/>
    <n v="0"/>
    <n v="0"/>
    <n v="0"/>
    <n v="0"/>
    <n v="0"/>
    <n v="0"/>
    <n v="0"/>
    <n v="0"/>
    <n v="9045.900678204376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39"/>
    <s v="Sistema de Compensação"/>
    <s v="Azul"/>
    <s v="A4"/>
    <s v="Industrial"/>
    <s v="Não se aplica"/>
    <s v="Não se aplica"/>
    <s v="Não se aplica"/>
    <s v="Ponta"/>
    <s v="CATIVO"/>
    <x v="9"/>
    <n v="1611"/>
    <n v="1611"/>
    <n v="87.408000000000001"/>
    <n v="87.408000000000001"/>
    <n v="87.408000000000001"/>
    <n v="87.408000000000001"/>
    <n v="37.64"/>
    <n v="78.42"/>
    <n v="171.61"/>
    <n v="60638.04"/>
    <n v="21854.622240000001"/>
    <n v="82492.662240000005"/>
    <n v="77570.086320000017"/>
    <n v="0"/>
    <n v="4597.4729080284569"/>
    <n v="0"/>
    <n v="0"/>
    <n v="0"/>
    <n v="26330.369675336526"/>
    <n v="34302.184363649991"/>
    <n v="14455.030494952816"/>
    <n v="545.02007999153852"/>
    <n v="0"/>
    <n v="0"/>
    <n v="0"/>
    <n v="0"/>
    <n v="817.09966683189964"/>
    <m/>
    <n v="23.080997987231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0.29408838128904"/>
    <n v="0"/>
    <n v="0"/>
    <n v="0"/>
    <n v="0"/>
    <n v="0"/>
    <m/>
    <m/>
    <m/>
    <m/>
    <m/>
    <m/>
    <m/>
    <m/>
    <m/>
    <n v="14995.324583334106"/>
    <m/>
    <m/>
    <m/>
    <m/>
    <m/>
    <m/>
    <m/>
    <m/>
    <m/>
    <m/>
    <m/>
    <m/>
    <n v="77570.616400000014"/>
    <n v="-4922.0758399999759"/>
    <m/>
    <m/>
    <m/>
    <m/>
    <n v="-6890.1299999999965"/>
    <n v="1967.5540799999992"/>
    <n v="30"/>
    <n v="2498.0531308148056"/>
    <n v="0"/>
    <n v="0"/>
    <n v="0"/>
    <n v="0"/>
    <n v="0"/>
    <n v="0"/>
    <n v="0"/>
    <n v="1185.7256660067833"/>
    <n v="0"/>
    <n v="0"/>
    <n v="1968.0214200221835"/>
    <n v="0"/>
    <n v="0"/>
    <n v="0"/>
    <n v="73.559882105885549"/>
    <n v="0"/>
    <n v="-631.47556316758028"/>
    <m/>
    <n v="0"/>
    <n v="0"/>
    <n v="0"/>
    <n v="0"/>
    <n v="-94.165516378554116"/>
    <n v="-3.6127577739137315"/>
    <n v="0"/>
    <n v="0"/>
    <m/>
    <m/>
    <n v="34302.184363649991"/>
    <n v="0"/>
    <n v="0"/>
    <n v="0"/>
    <n v="-6890.1299999999901"/>
    <n v="1967.5540799999999"/>
    <n v="0"/>
    <n v="0"/>
    <n v="-7415.947179185001"/>
    <n v="0"/>
    <n v="0"/>
    <n v="0"/>
    <n v="0"/>
    <n v="0"/>
    <n v="0"/>
    <n v="0"/>
    <n v="0"/>
    <n v="0"/>
    <n v="0"/>
    <n v="0"/>
    <n v="0"/>
    <n v="876.7220850155767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40"/>
    <s v="Regular"/>
    <s v="Azul"/>
    <s v="A4"/>
    <s v="Industrial"/>
    <s v="Não se aplica"/>
    <s v="Não se aplica"/>
    <s v="Não se aplica"/>
    <s v="Fora ponta"/>
    <s v="CATIVO"/>
    <x v="9"/>
    <n v="21724"/>
    <n v="21724"/>
    <n v="8041.09"/>
    <n v="8041.09"/>
    <n v="8041.09"/>
    <n v="8041.09"/>
    <n v="12.58"/>
    <n v="78.42"/>
    <n v="171.61"/>
    <n v="273287.92"/>
    <n v="2010513.7327000003"/>
    <n v="2283801.6527000004"/>
    <n v="2382991.6536000003"/>
    <n v="0"/>
    <n v="422944.04889733827"/>
    <n v="0"/>
    <n v="0"/>
    <n v="0"/>
    <n v="143974.49401420579"/>
    <n v="129251.47886796796"/>
    <n v="1329789.0486301042"/>
    <n v="50139.066390023349"/>
    <n v="0"/>
    <n v="0"/>
    <n v="0"/>
    <n v="0"/>
    <n v="75169.000091128051"/>
    <m/>
    <n v="2123.33404385347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704.299276289355"/>
    <n v="0"/>
    <n v="0"/>
    <n v="0"/>
    <n v="0"/>
    <n v="0"/>
    <m/>
    <m/>
    <m/>
    <m/>
    <m/>
    <m/>
    <m/>
    <m/>
    <m/>
    <n v="1379493.3479063935"/>
    <m/>
    <m/>
    <m/>
    <m/>
    <m/>
    <m/>
    <m/>
    <m/>
    <m/>
    <m/>
    <m/>
    <m/>
    <n v="2382991.6536000003"/>
    <n v="99189.970900000539"/>
    <m/>
    <m/>
    <m/>
    <m/>
    <n v="-81814.935000000012"/>
    <n v="181004.93589999992"/>
    <n v="30"/>
    <n v="127210.98001235444"/>
    <n v="0"/>
    <n v="0"/>
    <n v="0"/>
    <n v="0"/>
    <n v="0"/>
    <n v="0"/>
    <n v="0"/>
    <n v="6483.5494111155567"/>
    <n v="0"/>
    <n v="0"/>
    <n v="181047.92879743478"/>
    <n v="0"/>
    <n v="0"/>
    <n v="0"/>
    <n v="6767.1338138707506"/>
    <n v="0"/>
    <n v="-58092.529702443688"/>
    <m/>
    <n v="0"/>
    <n v="0"/>
    <n v="0"/>
    <n v="0"/>
    <n v="-8662.7470265470911"/>
    <n v="-332.35528107541609"/>
    <n v="0"/>
    <n v="0"/>
    <m/>
    <m/>
    <n v="129251.47886796796"/>
    <n v="0"/>
    <n v="0"/>
    <n v="0"/>
    <n v="-81814.934999999939"/>
    <n v="181004.93589999992"/>
    <n v="0"/>
    <n v="0"/>
    <n v="-27943.47234434892"/>
    <n v="0"/>
    <n v="0"/>
    <n v="0"/>
    <n v="0"/>
    <n v="0"/>
    <n v="0"/>
    <n v="0"/>
    <n v="0"/>
    <n v="0"/>
    <n v="0"/>
    <n v="0"/>
    <n v="0"/>
    <n v="80653.95834017371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41"/>
    <s v="Sistema de Compensação"/>
    <s v="Azul"/>
    <s v="A4"/>
    <s v="Industrial"/>
    <s v="Não se aplica"/>
    <s v="Não se aplica"/>
    <s v="Não se aplica"/>
    <s v="Fora ponta"/>
    <s v="CATIVO"/>
    <x v="9"/>
    <n v="2001"/>
    <n v="2001"/>
    <n v="733.60400000000004"/>
    <n v="733.60400000000004"/>
    <n v="733.60400000000004"/>
    <n v="733.60400000000004"/>
    <n v="12.58"/>
    <n v="78.42"/>
    <n v="171.61"/>
    <n v="25172.58"/>
    <n v="183423.00812000001"/>
    <n v="208595.58812000003"/>
    <n v="217625.99416"/>
    <n v="0"/>
    <n v="38585.993447067871"/>
    <n v="0"/>
    <n v="0"/>
    <n v="0"/>
    <n v="13261.506284405532"/>
    <n v="11905.367759841829"/>
    <n v="121319.19493889995"/>
    <n v="4574.282797479781"/>
    <n v="0"/>
    <n v="0"/>
    <n v="0"/>
    <n v="0"/>
    <n v="6857.8114587514756"/>
    <m/>
    <n v="193.71582060480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4.6181632444077"/>
    <n v="0"/>
    <n v="0"/>
    <n v="0"/>
    <n v="0"/>
    <n v="0"/>
    <m/>
    <m/>
    <m/>
    <m/>
    <m/>
    <m/>
    <m/>
    <m/>
    <m/>
    <n v="125853.81310214436"/>
    <m/>
    <m/>
    <m/>
    <m/>
    <m/>
    <m/>
    <m/>
    <m/>
    <m/>
    <m/>
    <m/>
    <m/>
    <n v="217624.93400000001"/>
    <n v="9029.3158800000092"/>
    <m/>
    <m/>
    <m/>
    <m/>
    <n v="-7483.0200000000013"/>
    <n v="16513.426039999995"/>
    <n v="30"/>
    <n v="11611.394536028558"/>
    <n v="0"/>
    <n v="0"/>
    <n v="0"/>
    <n v="0"/>
    <n v="0"/>
    <n v="0"/>
    <n v="0"/>
    <n v="597.20044060220243"/>
    <n v="0"/>
    <n v="0"/>
    <n v="16517.34836415379"/>
    <n v="0"/>
    <n v="0"/>
    <n v="0"/>
    <n v="617.37854375350162"/>
    <n v="0"/>
    <n v="-5299.8924473959996"/>
    <m/>
    <n v="0"/>
    <n v="0"/>
    <n v="0"/>
    <n v="0"/>
    <n v="-790.31895796005938"/>
    <n v="-30.321407124910877"/>
    <n v="0"/>
    <n v="0"/>
    <m/>
    <m/>
    <n v="11905.367759841829"/>
    <n v="0"/>
    <n v="0"/>
    <n v="0"/>
    <n v="-7483.0200000000041"/>
    <n v="16513.426039999991"/>
    <n v="0"/>
    <n v="0"/>
    <n v="-2573.8762732941541"/>
    <n v="0"/>
    <n v="0"/>
    <n v="0"/>
    <n v="0"/>
    <n v="0"/>
    <n v="0"/>
    <n v="0"/>
    <n v="0"/>
    <n v="0"/>
    <n v="0"/>
    <n v="0"/>
    <n v="0"/>
    <n v="7358.214676640207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42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72157.48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43"/>
    <s v="Sistema de Compensação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9194.26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44"/>
    <s v="Regular"/>
    <s v="Verde"/>
    <s v="A4"/>
    <s v="Industrial"/>
    <s v="Não se aplica"/>
    <s v="Não se aplica"/>
    <s v="Não se aplica"/>
    <s v="Ponta"/>
    <s v="CATIVO"/>
    <x v="9"/>
    <n v="0"/>
    <n v="0"/>
    <n v="156.93"/>
    <n v="156.93"/>
    <n v="156.93"/>
    <n v="156.93"/>
    <m/>
    <n v="984.21"/>
    <n v="171.61"/>
    <m/>
    <n v="181382.83260000002"/>
    <n v="181382.83260000002"/>
    <n v="169147.00050000002"/>
    <n v="0"/>
    <n v="8254.180663748235"/>
    <n v="0"/>
    <n v="0"/>
    <n v="0"/>
    <n v="61784.700861197991"/>
    <n v="80361.047218411361"/>
    <n v="25952.17755323249"/>
    <n v="978.51456563554996"/>
    <n v="0"/>
    <n v="0"/>
    <n v="0"/>
    <n v="0"/>
    <n v="1466.9990242990345"/>
    <m/>
    <n v="41.4390103209795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0.02964590970737"/>
    <n v="0"/>
    <n v="0"/>
    <n v="0"/>
    <n v="0"/>
    <n v="0"/>
    <m/>
    <m/>
    <m/>
    <m/>
    <m/>
    <m/>
    <m/>
    <m/>
    <m/>
    <n v="26922.207199142198"/>
    <m/>
    <m/>
    <m/>
    <m/>
    <m/>
    <m/>
    <m/>
    <m/>
    <m/>
    <m/>
    <m/>
    <m/>
    <n v="169147.00050000002"/>
    <n v="-12235.862100000028"/>
    <m/>
    <m/>
    <m/>
    <m/>
    <n v="-15768.326400000004"/>
    <n v="3532.4942999999989"/>
    <n v="30"/>
    <n v="5138.4451202540076"/>
    <n v="0"/>
    <n v="0"/>
    <n v="0"/>
    <n v="0"/>
    <n v="0"/>
    <n v="0"/>
    <n v="0"/>
    <n v="2782.3272700306479"/>
    <n v="0"/>
    <n v="0"/>
    <n v="3533.3333498544889"/>
    <n v="0"/>
    <n v="0"/>
    <n v="0"/>
    <n v="132.06745719930223"/>
    <n v="0"/>
    <n v="-1133.7344422465721"/>
    <m/>
    <n v="0"/>
    <n v="0"/>
    <n v="0"/>
    <n v="0"/>
    <n v="-169.06226529936043"/>
    <n v="-6.4862492845080766"/>
    <n v="0"/>
    <n v="0"/>
    <m/>
    <m/>
    <m/>
    <n v="80361.047218411361"/>
    <n v="0"/>
    <n v="0"/>
    <n v="-15768.32640000002"/>
    <n v="3532.4942999999985"/>
    <n v="0"/>
    <n v="0"/>
    <n v="-17373.624814029921"/>
    <n v="0"/>
    <n v="0"/>
    <n v="0"/>
    <n v="0"/>
    <n v="0"/>
    <n v="0"/>
    <n v="0"/>
    <n v="0"/>
    <n v="0"/>
    <n v="0"/>
    <n v="0"/>
    <n v="0"/>
    <n v="1574.04352921350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45"/>
    <s v="Sistema de Compensação"/>
    <s v="Verde"/>
    <s v="A4"/>
    <s v="Industrial"/>
    <s v="Não se aplica"/>
    <s v="Não se aplica"/>
    <s v="Não se aplica"/>
    <s v="Ponta"/>
    <s v="CATIVO"/>
    <x v="9"/>
    <n v="0"/>
    <n v="0"/>
    <n v="1.1639999999999999"/>
    <n v="1.1639999999999999"/>
    <n v="1.1639999999999999"/>
    <n v="1.1639999999999999"/>
    <m/>
    <n v="984.21"/>
    <n v="171.61"/>
    <m/>
    <n v="1345.3744799999999"/>
    <n v="1345.3744799999999"/>
    <n v="1254.6174000000001"/>
    <n v="0"/>
    <n v="61.223897869132387"/>
    <n v="0"/>
    <n v="0"/>
    <n v="0"/>
    <n v="458.2768865254219"/>
    <n v="596.0635886206004"/>
    <n v="192.49560104481372"/>
    <n v="7.2579554858840245"/>
    <n v="0"/>
    <n v="0"/>
    <n v="0"/>
    <n v="0"/>
    <n v="10.881200944905856"/>
    <m/>
    <n v="0.30736639274593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950201225954196"/>
    <n v="0"/>
    <n v="0"/>
    <n v="0"/>
    <n v="0"/>
    <n v="0"/>
    <m/>
    <m/>
    <m/>
    <m/>
    <m/>
    <m/>
    <m/>
    <m/>
    <m/>
    <n v="199.69062116740915"/>
    <m/>
    <m/>
    <m/>
    <m/>
    <m/>
    <m/>
    <m/>
    <m/>
    <m/>
    <m/>
    <m/>
    <m/>
    <n v="1250.306"/>
    <n v="-95.098479999999881"/>
    <m/>
    <m/>
    <m/>
    <m/>
    <n v="-116.95872000000001"/>
    <n v="26.201639999999987"/>
    <n v="30"/>
    <n v="38.113490855640407"/>
    <n v="0"/>
    <n v="0"/>
    <n v="0"/>
    <n v="0"/>
    <n v="0"/>
    <n v="0"/>
    <n v="0"/>
    <n v="20.63741121720301"/>
    <n v="0"/>
    <n v="0"/>
    <n v="26.207863501119135"/>
    <n v="0"/>
    <n v="0"/>
    <n v="0"/>
    <n v="0.97958656840621749"/>
    <n v="0"/>
    <n v="-8.4092709537692656"/>
    <m/>
    <n v="0"/>
    <n v="0"/>
    <n v="0"/>
    <n v="0"/>
    <n v="-1.2539888919164941"/>
    <n v="-4.8110585402200978E-2"/>
    <n v="0"/>
    <n v="0"/>
    <m/>
    <m/>
    <m/>
    <n v="596.0635886206004"/>
    <n v="0"/>
    <n v="0"/>
    <n v="-116.95871999999986"/>
    <n v="26.201639999999998"/>
    <n v="0"/>
    <n v="0"/>
    <n v="-128.86573175002127"/>
    <n v="0"/>
    <n v="0"/>
    <n v="0"/>
    <n v="0"/>
    <n v="0"/>
    <n v="0"/>
    <n v="0"/>
    <n v="0"/>
    <n v="0"/>
    <n v="0"/>
    <n v="0"/>
    <n v="0"/>
    <n v="11.67518427327168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46"/>
    <s v="Regular"/>
    <s v="Verde"/>
    <s v="A4"/>
    <s v="Industrial"/>
    <s v="Não se aplica"/>
    <s v="Não se aplica"/>
    <s v="Não se aplica"/>
    <s v="Fora ponta"/>
    <s v="CATIVO"/>
    <x v="9"/>
    <n v="0"/>
    <n v="0"/>
    <n v="1942.432"/>
    <n v="1942.432"/>
    <n v="1942.432"/>
    <n v="1942.432"/>
    <m/>
    <n v="78.42"/>
    <n v="171.61"/>
    <m/>
    <n v="485666.27295999997"/>
    <n v="485666.27295999997"/>
    <n v="514822.17728000006"/>
    <n v="0"/>
    <n v="102167.7477540675"/>
    <n v="0"/>
    <n v="0"/>
    <n v="0"/>
    <n v="0"/>
    <n v="0"/>
    <n v="321228.19186312682"/>
    <n v="12111.756864567593"/>
    <n v="0"/>
    <n v="0"/>
    <n v="0"/>
    <n v="0"/>
    <n v="18158.069513587092"/>
    <m/>
    <n v="512.91951631810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06.733098602463"/>
    <n v="0"/>
    <n v="0"/>
    <n v="0"/>
    <n v="0"/>
    <n v="0"/>
    <m/>
    <m/>
    <m/>
    <m/>
    <m/>
    <m/>
    <m/>
    <m/>
    <m/>
    <n v="333234.92496172927"/>
    <m/>
    <m/>
    <m/>
    <m/>
    <m/>
    <m/>
    <m/>
    <m/>
    <m/>
    <m/>
    <m/>
    <m/>
    <n v="514821.64720000001"/>
    <n v="29155.344240000006"/>
    <m/>
    <m/>
    <m/>
    <m/>
    <n v="-14568.24"/>
    <n v="43724.144319999985"/>
    <n v="30"/>
    <n v="29163.312993341184"/>
    <n v="0"/>
    <n v="0"/>
    <n v="0"/>
    <n v="0"/>
    <n v="0"/>
    <n v="0"/>
    <n v="0"/>
    <n v="0"/>
    <n v="0"/>
    <n v="0"/>
    <n v="43734.529824919126"/>
    <n v="0"/>
    <n v="0"/>
    <n v="0"/>
    <n v="1634.6909770123948"/>
    <n v="0"/>
    <n v="-14033.021475319532"/>
    <m/>
    <n v="0"/>
    <n v="0"/>
    <n v="0"/>
    <n v="0"/>
    <n v="-2092.6015045559634"/>
    <n v="-80.284828714749267"/>
    <n v="0"/>
    <n v="0"/>
    <m/>
    <m/>
    <m/>
    <n v="0"/>
    <n v="0"/>
    <n v="0"/>
    <n v="-14568.239999999991"/>
    <n v="43724.144320000021"/>
    <n v="0"/>
    <n v="0"/>
    <n v="0"/>
    <n v="0"/>
    <n v="0"/>
    <n v="0"/>
    <n v="0"/>
    <n v="0"/>
    <n v="0"/>
    <n v="0"/>
    <n v="0"/>
    <n v="0"/>
    <n v="0"/>
    <n v="0"/>
    <n v="0"/>
    <n v="19483.03396761139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47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4.2329999999999997"/>
    <n v="4.2329999999999997"/>
    <n v="4.2329999999999997"/>
    <n v="4.2329999999999997"/>
    <m/>
    <n v="78.42"/>
    <n v="171.61"/>
    <m/>
    <n v="1058.37699"/>
    <n v="1058.37699"/>
    <n v="1121.9143199999999"/>
    <n v="0"/>
    <n v="222.64670075604585"/>
    <n v="0"/>
    <n v="0"/>
    <n v="0"/>
    <n v="0"/>
    <n v="0"/>
    <n v="700.02910586142309"/>
    <n v="26.394265955109173"/>
    <n v="0"/>
    <n v="0"/>
    <n v="0"/>
    <n v="0"/>
    <n v="39.570552920778773"/>
    <m/>
    <n v="1.1177679901147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165395342737465"/>
    <n v="0"/>
    <n v="0"/>
    <n v="0"/>
    <n v="0"/>
    <n v="0"/>
    <m/>
    <m/>
    <m/>
    <m/>
    <m/>
    <m/>
    <m/>
    <m/>
    <m/>
    <n v="726.19450120416059"/>
    <m/>
    <m/>
    <m/>
    <m/>
    <m/>
    <m/>
    <m/>
    <m/>
    <m/>
    <m/>
    <m/>
    <m/>
    <n v="1121.1192000000001"/>
    <n v="62.712210000000141"/>
    <m/>
    <m/>
    <m/>
    <m/>
    <n v="-31.747499999999999"/>
    <n v="95.284829999999957"/>
    <n v="30"/>
    <n v="63.553475179987345"/>
    <n v="0"/>
    <n v="0"/>
    <n v="0"/>
    <n v="0"/>
    <n v="0"/>
    <n v="0"/>
    <n v="0"/>
    <n v="0"/>
    <n v="0"/>
    <n v="0"/>
    <n v="95.307462371337806"/>
    <n v="0"/>
    <n v="0"/>
    <n v="0"/>
    <n v="3.5623624948999328"/>
    <n v="0"/>
    <n v="-30.581137411774279"/>
    <m/>
    <n v="0"/>
    <n v="0"/>
    <n v="0"/>
    <n v="0"/>
    <n v="-4.5602534187994195"/>
    <n v="-0.17495885567656089"/>
    <n v="0"/>
    <n v="0"/>
    <m/>
    <m/>
    <m/>
    <n v="0"/>
    <n v="0"/>
    <n v="0"/>
    <n v="-31.747499999999945"/>
    <n v="95.284829999999943"/>
    <n v="0"/>
    <n v="0"/>
    <n v="0"/>
    <n v="0"/>
    <n v="0"/>
    <n v="0"/>
    <n v="0"/>
    <n v="0"/>
    <n v="0"/>
    <n v="0"/>
    <n v="0"/>
    <n v="0"/>
    <n v="0"/>
    <n v="0"/>
    <n v="0"/>
    <n v="42.45795105563490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48"/>
    <s v="Regular"/>
    <s v="Verde"/>
    <s v="A4"/>
    <s v="Industrial"/>
    <s v="Não se aplica"/>
    <s v="Não se aplica"/>
    <s v="Não se aplica"/>
    <s v="Não se aplica"/>
    <s v="CATIVO"/>
    <x v="9"/>
    <n v="9986"/>
    <n v="9986"/>
    <n v="0"/>
    <n v="0"/>
    <n v="0"/>
    <n v="0"/>
    <n v="12.58"/>
    <m/>
    <m/>
    <n v="125623.88"/>
    <m/>
    <n v="125623.88"/>
    <n v="115737.74"/>
    <n v="0"/>
    <n v="0"/>
    <n v="0"/>
    <n v="0"/>
    <n v="0"/>
    <n v="66181.610073000324"/>
    <n v="59413.7943277263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6270.98"/>
    <n v="52"/>
    <m/>
    <m/>
    <m/>
    <m/>
    <m/>
    <m/>
    <m/>
    <m/>
    <m/>
    <n v="0"/>
    <m/>
    <m/>
    <m/>
    <m/>
    <m/>
    <m/>
    <m/>
    <m/>
    <m/>
    <m/>
    <m/>
    <m/>
    <n v="115737.74"/>
    <n v="-9886.1699999999837"/>
    <m/>
    <m/>
    <m/>
    <m/>
    <n v="-9886.1400000000012"/>
    <n v="0"/>
    <n v="30"/>
    <n v="2980.3316341097379"/>
    <n v="0"/>
    <n v="0"/>
    <n v="0"/>
    <n v="0"/>
    <m/>
    <m/>
    <m/>
    <n v="2980.33163410973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413.794327726384"/>
    <m/>
    <n v="0"/>
    <n v="0"/>
    <n v="-9886.14"/>
    <m/>
    <n v="0"/>
    <m/>
    <n v="-12844.94176167686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49"/>
    <s v="Sistema de Compensação"/>
    <s v="Verde"/>
    <s v="A4"/>
    <s v="Industrial"/>
    <s v="Não se aplica"/>
    <s v="Não se aplica"/>
    <s v="Não se aplica"/>
    <s v="Não se aplica"/>
    <s v="CATIVO"/>
    <x v="9"/>
    <n v="821"/>
    <n v="821"/>
    <n v="0"/>
    <n v="0"/>
    <n v="0"/>
    <n v="0"/>
    <n v="12.58"/>
    <m/>
    <m/>
    <n v="10328.18"/>
    <m/>
    <n v="10328.18"/>
    <n v="9515.39"/>
    <n v="0"/>
    <n v="0"/>
    <n v="0"/>
    <n v="0"/>
    <n v="0"/>
    <n v="5441.1277658655381"/>
    <n v="4884.7111098601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291.6"/>
    <n v="3"/>
    <m/>
    <m/>
    <m/>
    <m/>
    <m/>
    <m/>
    <m/>
    <m/>
    <m/>
    <n v="0"/>
    <m/>
    <m/>
    <m/>
    <m/>
    <m/>
    <m/>
    <m/>
    <m/>
    <m/>
    <m/>
    <m/>
    <m/>
    <n v="9515.39"/>
    <n v="-812.82000000000153"/>
    <m/>
    <m/>
    <m/>
    <m/>
    <n v="-812.79000000000019"/>
    <n v="0"/>
    <n v="30"/>
    <n v="245.02826673383697"/>
    <n v="0"/>
    <n v="0"/>
    <n v="0"/>
    <n v="0"/>
    <m/>
    <m/>
    <m/>
    <n v="245.028266733836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4.7111098601408"/>
    <m/>
    <n v="0"/>
    <n v="0"/>
    <n v="-812.79000000000087"/>
    <m/>
    <n v="0"/>
    <m/>
    <n v="-1056.04818609420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50"/>
    <s v="Regular"/>
    <s v="Convencional"/>
    <s v="B3"/>
    <s v="Comercial"/>
    <s v="Não se aplica"/>
    <s v="Não se aplica"/>
    <s v="Não se aplica"/>
    <s v="Não se aplica"/>
    <s v="CATIVO"/>
    <x v="9"/>
    <n v="0"/>
    <n v="0"/>
    <n v="503.46300000000002"/>
    <n v="503.46300000000002"/>
    <n v="503.46300000000002"/>
    <n v="503.46300000000002"/>
    <m/>
    <n v="239.69"/>
    <n v="171.61"/>
    <m/>
    <n v="207074.33189999999"/>
    <n v="207074.33189999999"/>
    <n v="206314.10277"/>
    <n v="0"/>
    <n v="30438.013284440305"/>
    <n v="0"/>
    <n v="0"/>
    <n v="0"/>
    <n v="26852.699057978258"/>
    <n v="44614.235920953477"/>
    <n v="83259.804801396094"/>
    <n v="3139.2715144240801"/>
    <n v="0"/>
    <n v="0"/>
    <n v="0"/>
    <n v="0"/>
    <n v="4706.4278963274382"/>
    <m/>
    <n v="199.39735006046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60.398789777094"/>
    <n v="0"/>
    <n v="0"/>
    <n v="0"/>
    <n v="68675.3"/>
    <n v="570"/>
    <m/>
    <m/>
    <m/>
    <m/>
    <m/>
    <m/>
    <m/>
    <m/>
    <m/>
    <n v="91320.203591173195"/>
    <m/>
    <m/>
    <m/>
    <m/>
    <m/>
    <m/>
    <m/>
    <m/>
    <m/>
    <m/>
    <m/>
    <m/>
    <n v="206312.87339999998"/>
    <n v="-761.48850000003586"/>
    <m/>
    <m/>
    <m/>
    <m/>
    <n v="-12093.181260000005"/>
    <n v="11332.952129999996"/>
    <n v="30"/>
    <n v="8887.9561260583578"/>
    <n v="0"/>
    <n v="0"/>
    <n v="0"/>
    <n v="0"/>
    <n v="0"/>
    <n v="0"/>
    <n v="0"/>
    <n v="1209.2475292675263"/>
    <n v="0"/>
    <n v="0"/>
    <n v="11335.643970673496"/>
    <n v="0"/>
    <n v="0"/>
    <n v="0"/>
    <n v="1097.4060191530507"/>
    <n v="0"/>
    <n v="-4180.7449364039712"/>
    <m/>
    <n v="0"/>
    <n v="0"/>
    <n v="0"/>
    <n v="0"/>
    <n v="-542.38574698535649"/>
    <n v="-31.210709646405888"/>
    <n v="0"/>
    <n v="0"/>
    <m/>
    <m/>
    <m/>
    <n v="44614.235920953477"/>
    <n v="0"/>
    <n v="0"/>
    <n v="-12093.181259999998"/>
    <n v="11332.952130000005"/>
    <n v="0"/>
    <n v="0"/>
    <n v="-9645.357086358119"/>
    <n v="0"/>
    <n v="0"/>
    <n v="0"/>
    <n v="0"/>
    <n v="0"/>
    <n v="0"/>
    <n v="0"/>
    <n v="0"/>
    <n v="0"/>
    <n v="0"/>
    <n v="0"/>
    <n v="0"/>
    <n v="5804.42321342793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51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75900000000000001"/>
    <n v="-0.75900000000000001"/>
    <n v="-0.75900000000000001"/>
    <n v="-0.75900000000000001"/>
    <m/>
    <n v="239.69"/>
    <n v="171.61"/>
    <m/>
    <n v="-312.17669999999998"/>
    <n v="-312.17669999999998"/>
    <n v="-311.03061000000002"/>
    <n v="0"/>
    <n v="-45.887090179199248"/>
    <n v="0"/>
    <n v="0"/>
    <n v="0"/>
    <n v="-40.482018708436364"/>
    <n v="-67.25857722216665"/>
    <n v="-125.51903882561308"/>
    <n v="-4.7326359224965424"/>
    <n v="0"/>
    <n v="0"/>
    <n v="0"/>
    <n v="0"/>
    <n v="-7.0952160800545929"/>
    <m/>
    <n v="-0.3006031996311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.151523908292791"/>
    <n v="0"/>
    <n v="0"/>
    <n v="0"/>
    <n v="-103.69"/>
    <n v="0"/>
    <m/>
    <m/>
    <m/>
    <m/>
    <m/>
    <m/>
    <m/>
    <m/>
    <m/>
    <n v="-137.67056273390588"/>
    <m/>
    <m/>
    <m/>
    <m/>
    <m/>
    <m/>
    <m/>
    <m/>
    <m/>
    <m/>
    <m/>
    <m/>
    <n v="-311.44040000000001"/>
    <n v="0.70629999999999882"/>
    <m/>
    <m/>
    <m/>
    <m/>
    <n v="18.231180000000009"/>
    <n v="-17.085089999999994"/>
    <n v="30"/>
    <n v="-13.399115127980167"/>
    <n v="0"/>
    <n v="0"/>
    <n v="0"/>
    <n v="0"/>
    <n v="0"/>
    <n v="0"/>
    <n v="0"/>
    <n v="-1.8230115712853774"/>
    <n v="0"/>
    <n v="0"/>
    <n v="-17.089148107688516"/>
    <n v="0"/>
    <n v="0"/>
    <n v="0"/>
    <n v="-1.6544039354176299"/>
    <n v="0"/>
    <n v="6.3027181872960156"/>
    <m/>
    <n v="0"/>
    <n v="0"/>
    <n v="0"/>
    <n v="0"/>
    <n v="0.81767832385276673"/>
    <n v="4.7051975262575596E-2"/>
    <n v="0"/>
    <n v="0"/>
    <m/>
    <m/>
    <m/>
    <n v="-67.25857722216665"/>
    <n v="0"/>
    <n v="0"/>
    <n v="18.231180000000023"/>
    <n v="-17.085090000000008"/>
    <n v="0"/>
    <n v="0"/>
    <n v="14.540941496288333"/>
    <n v="0"/>
    <n v="0"/>
    <n v="0"/>
    <n v="0"/>
    <n v="0"/>
    <n v="0"/>
    <n v="0"/>
    <n v="0"/>
    <n v="0"/>
    <n v="0"/>
    <n v="0"/>
    <n v="0"/>
    <n v="-8.750508416689610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52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8.6419999999999995"/>
    <n v="8.6419999999999995"/>
    <n v="8.6419999999999995"/>
    <n v="8.6419999999999995"/>
    <m/>
    <n v="239.69"/>
    <n v="171.61"/>
    <m/>
    <n v="3554.4546"/>
    <n v="3554.4546"/>
    <n v="3541.4051799999997"/>
    <n v="0"/>
    <n v="522.47198067014472"/>
    <n v="0"/>
    <n v="0"/>
    <n v="0"/>
    <n v="460.92965175007515"/>
    <n v="765.80846423447178"/>
    <n v="1429.1640757983507"/>
    <n v="53.885954732826235"/>
    <n v="0"/>
    <n v="0"/>
    <n v="0"/>
    <n v="0"/>
    <n v="80.786373338381807"/>
    <m/>
    <n v="3.4226783283430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3576674775577"/>
    <n v="0"/>
    <n v="0"/>
    <n v="0"/>
    <n v="1893.24"/>
    <n v="9"/>
    <m/>
    <m/>
    <m/>
    <m/>
    <m/>
    <m/>
    <m/>
    <m/>
    <m/>
    <n v="1567.5217432759084"/>
    <m/>
    <m/>
    <m/>
    <m/>
    <m/>
    <m/>
    <m/>
    <m/>
    <m/>
    <m/>
    <m/>
    <m/>
    <n v="3540.5856000000003"/>
    <n v="-13.899000000000342"/>
    <m/>
    <m/>
    <m/>
    <m/>
    <n v="-207.58084000000008"/>
    <n v="194.53141999999991"/>
    <n v="30"/>
    <n v="152.56278384190318"/>
    <n v="0"/>
    <n v="0"/>
    <n v="0"/>
    <n v="0"/>
    <n v="0"/>
    <n v="0"/>
    <n v="0"/>
    <n v="20.756872199009536"/>
    <n v="0"/>
    <n v="0"/>
    <n v="194.57762575315405"/>
    <n v="0"/>
    <n v="0"/>
    <n v="0"/>
    <n v="18.837099881263697"/>
    <n v="0"/>
    <n v="-71.762965183942242"/>
    <m/>
    <n v="0"/>
    <n v="0"/>
    <n v="0"/>
    <n v="0"/>
    <n v="-9.3101134054487602"/>
    <n v="-0.53573540213330428"/>
    <n v="0"/>
    <n v="0"/>
    <m/>
    <m/>
    <m/>
    <n v="765.80846423447178"/>
    <n v="0"/>
    <n v="0"/>
    <n v="-207.58084000000008"/>
    <n v="194.5314199999998"/>
    <n v="0"/>
    <n v="0"/>
    <n v="-165.56365798540673"/>
    <n v="0"/>
    <n v="0"/>
    <n v="0"/>
    <n v="0"/>
    <n v="0"/>
    <n v="0"/>
    <n v="0"/>
    <n v="0"/>
    <n v="0"/>
    <n v="0"/>
    <n v="0"/>
    <n v="0"/>
    <n v="99.63358858633941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53"/>
    <s v="Regular"/>
    <s v="Verde"/>
    <s v="A4"/>
    <s v="Comercial"/>
    <s v="Não se aplica"/>
    <s v="Não se aplica"/>
    <s v="Não se aplica"/>
    <s v="Ponta"/>
    <s v="CATIVO"/>
    <x v="9"/>
    <n v="0"/>
    <n v="0"/>
    <n v="9.0690000000000008"/>
    <n v="9.0690000000000008"/>
    <n v="9.0690000000000008"/>
    <n v="9.0690000000000008"/>
    <m/>
    <n v="984.21"/>
    <n v="171.61"/>
    <m/>
    <n v="10482.131580000001"/>
    <n v="10482.131580000001"/>
    <n v="9775.0216500000006"/>
    <n v="0"/>
    <n v="477.00990530512172"/>
    <n v="0"/>
    <n v="0"/>
    <n v="0"/>
    <n v="3570.5438865112128"/>
    <n v="4644.0727536084414"/>
    <n v="1499.7788710269895"/>
    <n v="56.548452149039719"/>
    <n v="0"/>
    <n v="0"/>
    <n v="0"/>
    <n v="0"/>
    <n v="84.778016640336105"/>
    <m/>
    <n v="2.3947644465746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058107810840099"/>
    <n v="0"/>
    <n v="0"/>
    <n v="0"/>
    <n v="0"/>
    <n v="0"/>
    <m/>
    <m/>
    <m/>
    <m/>
    <m/>
    <m/>
    <m/>
    <m/>
    <m/>
    <n v="1555.8369788378295"/>
    <m/>
    <m/>
    <m/>
    <m/>
    <m/>
    <m/>
    <m/>
    <m/>
    <m/>
    <m/>
    <m/>
    <m/>
    <n v="9776.0995000000003"/>
    <n v="-706.06208000000152"/>
    <m/>
    <m/>
    <m/>
    <m/>
    <n v="-911.25312000000019"/>
    <n v="204.14318999999995"/>
    <n v="30"/>
    <n v="296.95124447577564"/>
    <n v="0"/>
    <n v="0"/>
    <n v="0"/>
    <n v="0"/>
    <n v="0"/>
    <n v="0"/>
    <n v="0"/>
    <n v="160.79096420001224"/>
    <n v="0"/>
    <n v="0"/>
    <n v="204.19167877289487"/>
    <n v="0"/>
    <n v="0"/>
    <n v="0"/>
    <n v="7.6321912275566888"/>
    <n v="0"/>
    <n v="-65.518623951661027"/>
    <m/>
    <n v="0"/>
    <n v="0"/>
    <n v="0"/>
    <n v="0"/>
    <n v="-9.7701247944937251"/>
    <n v="-0.3748409785331277"/>
    <n v="0"/>
    <n v="0"/>
    <m/>
    <m/>
    <m/>
    <n v="4644.0727536084414"/>
    <n v="0"/>
    <n v="0"/>
    <n v="-911.25312000000031"/>
    <n v="204.14318999999978"/>
    <n v="0"/>
    <n v="0"/>
    <n v="-1004.0234718564802"/>
    <n v="0"/>
    <n v="0"/>
    <n v="0"/>
    <n v="0"/>
    <n v="0"/>
    <n v="0"/>
    <n v="0"/>
    <n v="0"/>
    <n v="0"/>
    <n v="0"/>
    <n v="0"/>
    <n v="0"/>
    <n v="90.96412901572243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54"/>
    <s v="Regular"/>
    <s v="Verde"/>
    <s v="A4"/>
    <s v="Comercial"/>
    <s v="Não se aplica"/>
    <s v="Não se aplica"/>
    <s v="Não se aplica"/>
    <s v="Fora ponta"/>
    <s v="CATIVO"/>
    <x v="9"/>
    <n v="0"/>
    <n v="0"/>
    <n v="102.345"/>
    <n v="102.345"/>
    <n v="102.345"/>
    <n v="102.345"/>
    <m/>
    <n v="78.42"/>
    <n v="171.61"/>
    <m/>
    <n v="25589.320350000002"/>
    <n v="25589.320350000002"/>
    <n v="27125.518799999998"/>
    <n v="0"/>
    <n v="5383.126999498586"/>
    <n v="0"/>
    <n v="0"/>
    <n v="0"/>
    <n v="0"/>
    <n v="0"/>
    <n v="16925.225334133556"/>
    <n v="638.15760670343684"/>
    <n v="0"/>
    <n v="0"/>
    <n v="0"/>
    <n v="0"/>
    <n v="956.73239751408073"/>
    <m/>
    <n v="27.0252693003291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2.62399866583189"/>
    <n v="0"/>
    <n v="0"/>
    <n v="0"/>
    <n v="0"/>
    <n v="0"/>
    <m/>
    <m/>
    <m/>
    <m/>
    <m/>
    <m/>
    <m/>
    <m/>
    <m/>
    <n v="17557.849332799389"/>
    <m/>
    <m/>
    <m/>
    <m/>
    <m/>
    <m/>
    <m/>
    <m/>
    <m/>
    <m/>
    <m/>
    <m/>
    <n v="27126.844000000001"/>
    <n v="1537.4936500000003"/>
    <m/>
    <m/>
    <m/>
    <m/>
    <n v="-767.58749999999998"/>
    <n v="2303.785949999999"/>
    <n v="30"/>
    <n v="1536.5888063538478"/>
    <n v="0"/>
    <n v="0"/>
    <n v="0"/>
    <n v="0"/>
    <n v="0"/>
    <n v="0"/>
    <n v="0"/>
    <n v="0"/>
    <n v="0"/>
    <n v="0"/>
    <n v="2304.3331529398965"/>
    <n v="0"/>
    <n v="0"/>
    <n v="0"/>
    <n v="86.130401497881735"/>
    <n v="0"/>
    <n v="-739.38731594803721"/>
    <m/>
    <n v="0"/>
    <n v="0"/>
    <n v="0"/>
    <n v="0"/>
    <n v="-110.25729651477127"/>
    <n v="-4.2301356211239352"/>
    <n v="0"/>
    <n v="0"/>
    <m/>
    <m/>
    <m/>
    <n v="0"/>
    <n v="0"/>
    <n v="0"/>
    <n v="-767.58750000000055"/>
    <n v="2303.7859499999977"/>
    <n v="0"/>
    <n v="0"/>
    <n v="0"/>
    <n v="0"/>
    <n v="0"/>
    <n v="0"/>
    <n v="0"/>
    <n v="0"/>
    <n v="0"/>
    <n v="0"/>
    <n v="0"/>
    <n v="0"/>
    <n v="0"/>
    <n v="0"/>
    <n v="0"/>
    <n v="1026.543586295524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55"/>
    <s v="Regular"/>
    <s v="Verde"/>
    <s v="A4"/>
    <s v="Comercial"/>
    <s v="Não se aplica"/>
    <s v="Não se aplica"/>
    <s v="Não se aplica"/>
    <s v="Não se aplica"/>
    <s v="CATIVO"/>
    <x v="9"/>
    <n v="553"/>
    <n v="553"/>
    <n v="0"/>
    <n v="0"/>
    <n v="0"/>
    <n v="0"/>
    <n v="12.58"/>
    <m/>
    <m/>
    <n v="6956.74"/>
    <m/>
    <n v="6956.74"/>
    <n v="6409.2699999999995"/>
    <n v="0"/>
    <n v="0"/>
    <n v="0"/>
    <n v="0"/>
    <n v="0"/>
    <n v="3664.9740006378106"/>
    <n v="3290.189091050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826.73"/>
    <n v="5"/>
    <m/>
    <m/>
    <m/>
    <m/>
    <m/>
    <m/>
    <m/>
    <m/>
    <m/>
    <n v="0"/>
    <m/>
    <m/>
    <m/>
    <m/>
    <m/>
    <m/>
    <m/>
    <m/>
    <m/>
    <m/>
    <m/>
    <m/>
    <n v="6409.2699999999995"/>
    <n v="-547.50000000000091"/>
    <m/>
    <m/>
    <m/>
    <m/>
    <n v="-547.47000000000014"/>
    <n v="0"/>
    <n v="30"/>
    <n v="165.0434001264457"/>
    <n v="0"/>
    <n v="0"/>
    <n v="0"/>
    <n v="0"/>
    <m/>
    <m/>
    <m/>
    <n v="165.04340012644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90.18909105074"/>
    <m/>
    <n v="0"/>
    <n v="0"/>
    <n v="-547.47000000000025"/>
    <m/>
    <n v="0"/>
    <m/>
    <n v="-711.32112900133234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56"/>
    <s v="Regular"/>
    <s v="Convencional"/>
    <s v="B2"/>
    <s v="Rural"/>
    <s v="Não se aplica"/>
    <s v="Não se aplica"/>
    <s v="Não se aplica"/>
    <s v="Não se aplica"/>
    <s v="CATIVO"/>
    <x v="9"/>
    <n v="0"/>
    <n v="0"/>
    <n v="514.18499999999995"/>
    <n v="514.18499999999995"/>
    <n v="514.18499999999995"/>
    <n v="514.18499999999995"/>
    <m/>
    <n v="239.69"/>
    <n v="171.61"/>
    <m/>
    <n v="211484.29049999997"/>
    <n v="211484.29049999997"/>
    <n v="210707.87114999996"/>
    <n v="0"/>
    <n v="31086.236447683215"/>
    <n v="0"/>
    <n v="0"/>
    <n v="0"/>
    <n v="27424.567575227073"/>
    <n v="45564.363015783601"/>
    <n v="85032.947270814038"/>
    <n v="3206.1270116059081"/>
    <n v="0"/>
    <n v="0"/>
    <n v="0"/>
    <n v="0"/>
    <n v="4806.6583400828331"/>
    <m/>
    <n v="203.64381581336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32.0570761337658"/>
    <n v="0"/>
    <n v="0"/>
    <n v="0"/>
    <n v="49807.15"/>
    <n v="706"/>
    <m/>
    <m/>
    <m/>
    <m/>
    <m/>
    <n v="25282.476449999991"/>
    <m/>
    <m/>
    <m/>
    <n v="93265.004346947797"/>
    <m/>
    <m/>
    <m/>
    <m/>
    <m/>
    <m/>
    <m/>
    <m/>
    <m/>
    <m/>
    <m/>
    <m/>
    <n v="185427.19780000002"/>
    <n v="-682.092949999962"/>
    <m/>
    <m/>
    <m/>
    <m/>
    <n v="-12350.723700000004"/>
    <n v="11574.304349999995"/>
    <n v="30"/>
    <n v="9077.2384875895805"/>
    <n v="0"/>
    <n v="0"/>
    <n v="0"/>
    <n v="0"/>
    <n v="0"/>
    <n v="0"/>
    <n v="0"/>
    <n v="1235.0002698041826"/>
    <n v="0"/>
    <n v="0"/>
    <n v="11577.053517459572"/>
    <n v="0"/>
    <n v="0"/>
    <n v="0"/>
    <n v="1120.776926920571"/>
    <n v="0"/>
    <n v="-4269.7801727731239"/>
    <m/>
    <n v="0"/>
    <n v="0"/>
    <n v="0"/>
    <n v="0"/>
    <n v="-553.93666528357608"/>
    <n v="-31.875388538059838"/>
    <n v="0"/>
    <n v="0"/>
    <m/>
    <m/>
    <m/>
    <n v="45564.363015783601"/>
    <n v="0"/>
    <n v="0"/>
    <n v="-12350.723700000002"/>
    <n v="11574.304349999991"/>
    <n v="0"/>
    <n v="0"/>
    <n v="-9850.7694377720909"/>
    <n v="0"/>
    <n v="0"/>
    <n v="0"/>
    <n v="0"/>
    <n v="0"/>
    <n v="0"/>
    <n v="0"/>
    <n v="0"/>
    <n v="0"/>
    <n v="0"/>
    <n v="0"/>
    <n v="0"/>
    <n v="5928.037114934844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57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0.625"/>
    <n v="-0.625"/>
    <n v="-0.625"/>
    <n v="-0.625"/>
    <m/>
    <n v="239.69"/>
    <n v="171.61"/>
    <m/>
    <n v="-257.0625"/>
    <n v="-257.0625"/>
    <n v="-256.11874999999998"/>
    <n v="0"/>
    <n v="-37.785812071145621"/>
    <n v="0"/>
    <n v="0"/>
    <n v="0"/>
    <n v="-33.334995642651812"/>
    <n v="-55.384203904946183"/>
    <n v="-103.35889231358125"/>
    <n v="-3.8970980916473503"/>
    <n v="0"/>
    <n v="0"/>
    <n v="0"/>
    <n v="0"/>
    <n v="-5.8425692358815819"/>
    <m/>
    <n v="-0.247532279011154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006195576657436"/>
    <n v="0"/>
    <n v="0"/>
    <n v="0"/>
    <n v="-39.82"/>
    <n v="0"/>
    <m/>
    <m/>
    <m/>
    <m/>
    <m/>
    <n v="-30.731249999999992"/>
    <m/>
    <m/>
    <m/>
    <n v="-113.36508789023868"/>
    <m/>
    <m/>
    <m/>
    <m/>
    <m/>
    <m/>
    <m/>
    <m/>
    <m/>
    <m/>
    <m/>
    <m/>
    <n v="-227.19060000000002"/>
    <n v="-1.0018499999999904"/>
    <m/>
    <m/>
    <m/>
    <m/>
    <n v="15.012500000000006"/>
    <n v="-14.068749999999994"/>
    <n v="30"/>
    <n v="-11.033526949917785"/>
    <n v="0"/>
    <n v="0"/>
    <n v="0"/>
    <n v="0"/>
    <n v="0"/>
    <n v="0"/>
    <n v="0"/>
    <n v="-1.5011623610716285"/>
    <n v="0"/>
    <n v="0"/>
    <n v="-14.072091656528741"/>
    <n v="0"/>
    <n v="0"/>
    <n v="0"/>
    <n v="-1.3623220812068766"/>
    <n v="0"/>
    <n v="5.1899853320948708"/>
    <m/>
    <n v="0"/>
    <n v="0"/>
    <n v="0"/>
    <n v="0"/>
    <n v="0.67331877787612537"/>
    <n v="3.8745038918458125E-2"/>
    <n v="0"/>
    <n v="0"/>
    <m/>
    <m/>
    <m/>
    <n v="-55.384203904946183"/>
    <n v="0"/>
    <n v="0"/>
    <n v="15.012500000000017"/>
    <n v="-14.068749999999994"/>
    <n v="0"/>
    <n v="0"/>
    <n v="11.973766054255869"/>
    <n v="0"/>
    <n v="0"/>
    <n v="0"/>
    <n v="0"/>
    <n v="0"/>
    <n v="0"/>
    <n v="0"/>
    <n v="0"/>
    <n v="0"/>
    <n v="0"/>
    <n v="0"/>
    <n v="0"/>
    <n v="-7.205622872768124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58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13.432"/>
    <n v="13.432"/>
    <n v="13.432"/>
    <n v="13.432"/>
    <m/>
    <n v="239.69"/>
    <n v="171.61"/>
    <m/>
    <n v="5524.5815999999995"/>
    <n v="5524.5815999999995"/>
    <n v="5504.2992799999993"/>
    <n v="0"/>
    <n v="812.0624443834048"/>
    <n v="0"/>
    <n v="0"/>
    <n v="0"/>
    <n v="716.40905835535875"/>
    <n v="1190.2730029619795"/>
    <n v="2221.3066264896374"/>
    <n v="83.753314507211542"/>
    <n v="0"/>
    <n v="0"/>
    <n v="0"/>
    <n v="0"/>
    <n v="125.56382396217825"/>
    <m/>
    <n v="5.3197657146845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04515037706031"/>
    <n v="0"/>
    <n v="0"/>
    <n v="0"/>
    <n v="3826.45"/>
    <n v="17"/>
    <m/>
    <m/>
    <m/>
    <m/>
    <m/>
    <n v="660.45143999999982"/>
    <m/>
    <m/>
    <m/>
    <n v="2436.3517768666979"/>
    <m/>
    <m/>
    <m/>
    <m/>
    <m/>
    <m/>
    <m/>
    <m/>
    <m/>
    <m/>
    <m/>
    <m/>
    <n v="4843.1265999999996"/>
    <n v="-18.6158000000014"/>
    <m/>
    <m/>
    <m/>
    <m/>
    <n v="-322.63664000000017"/>
    <n v="302.35431999999986"/>
    <n v="30"/>
    <n v="237.12373438607119"/>
    <n v="0"/>
    <n v="0"/>
    <n v="0"/>
    <n v="0"/>
    <n v="0"/>
    <n v="0"/>
    <n v="0"/>
    <n v="32.261780534262471"/>
    <n v="0"/>
    <n v="0"/>
    <n v="302.42613620879047"/>
    <n v="0"/>
    <n v="0"/>
    <n v="0"/>
    <n v="29.277936311633198"/>
    <n v="0"/>
    <n v="-111.53901276911733"/>
    <m/>
    <n v="0"/>
    <n v="0"/>
    <n v="0"/>
    <n v="0"/>
    <n v="-14.470428519091371"/>
    <n v="-0.8326773804043679"/>
    <n v="0"/>
    <n v="0"/>
    <m/>
    <m/>
    <m/>
    <n v="1190.2730029619795"/>
    <n v="0"/>
    <n v="0"/>
    <n v="-322.63664000000017"/>
    <n v="302.35431999999992"/>
    <n v="0"/>
    <n v="0"/>
    <n v="-257.33060102522381"/>
    <n v="0"/>
    <n v="0"/>
    <n v="0"/>
    <n v="0"/>
    <n v="0"/>
    <n v="0"/>
    <n v="0"/>
    <n v="0"/>
    <n v="0"/>
    <n v="0"/>
    <n v="0"/>
    <n v="0"/>
    <n v="154.8574822832343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59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60"/>
    <s v="Regular"/>
    <s v="Verde"/>
    <s v="A4"/>
    <s v="Rural"/>
    <s v="Não se aplica"/>
    <s v="Não se aplica"/>
    <s v="Não se aplica"/>
    <s v="Ponta"/>
    <s v="CATIVO"/>
    <x v="9"/>
    <n v="0"/>
    <n v="0"/>
    <n v="8.5589999999999993"/>
    <n v="8.2166399999999999"/>
    <n v="8.5589999999999993"/>
    <n v="8.2166399999999999"/>
    <m/>
    <n v="984.21"/>
    <n v="171.61"/>
    <m/>
    <n v="9892.66338"/>
    <n v="9892.66338"/>
    <n v="9225.3181499999992"/>
    <n v="0"/>
    <n v="450.18500159957392"/>
    <n v="0"/>
    <n v="0"/>
    <n v="0"/>
    <n v="3369.7524671572901"/>
    <n v="4382.9108719963215"/>
    <n v="1415.438014899107"/>
    <n v="53.368420106255471"/>
    <n v="0"/>
    <n v="0"/>
    <n v="0"/>
    <n v="0"/>
    <n v="80.010480143856725"/>
    <m/>
    <n v="2.2600936043921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905650540630752"/>
    <n v="0"/>
    <n v="0"/>
    <n v="0"/>
    <n v="0"/>
    <n v="0"/>
    <m/>
    <m/>
    <m/>
    <m/>
    <m/>
    <n v="369.01272599999925"/>
    <m/>
    <m/>
    <m/>
    <n v="1468.3436654397378"/>
    <m/>
    <m/>
    <m/>
    <m/>
    <m/>
    <m/>
    <m/>
    <m/>
    <m/>
    <m/>
    <m/>
    <m/>
    <n v="8859.9269999999997"/>
    <n v="-637.05984480000188"/>
    <m/>
    <m/>
    <m/>
    <m/>
    <n v="-860.00832000000003"/>
    <n v="192.6630899999999"/>
    <n v="30"/>
    <n v="280.25203456479994"/>
    <n v="0"/>
    <n v="0"/>
    <n v="0"/>
    <n v="0"/>
    <n v="0"/>
    <n v="0"/>
    <n v="0"/>
    <n v="151.74879949144406"/>
    <n v="0"/>
    <n v="0"/>
    <n v="192.7088519811673"/>
    <n v="0"/>
    <n v="0"/>
    <n v="0"/>
    <n v="7.2029909269663364"/>
    <n v="0"/>
    <n v="-61.834149564700226"/>
    <m/>
    <n v="0"/>
    <n v="0"/>
    <n v="0"/>
    <n v="0"/>
    <n v="-9.2206966717468077"/>
    <n v="-0.35376159833113263"/>
    <n v="0"/>
    <n v="0"/>
    <m/>
    <m/>
    <m/>
    <n v="4382.9108719963215"/>
    <n v="0"/>
    <n v="0"/>
    <n v="-860.00832000000082"/>
    <n v="192.66309000000001"/>
    <n v="0"/>
    <n v="0"/>
    <n v="-947.56168217219192"/>
    <n v="0"/>
    <n v="0"/>
    <n v="0"/>
    <n v="0"/>
    <n v="0"/>
    <n v="0"/>
    <n v="0"/>
    <n v="0"/>
    <n v="0"/>
    <n v="0"/>
    <n v="0"/>
    <n v="0"/>
    <n v="85.84871322588688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61"/>
    <s v="Regular"/>
    <s v="Verde"/>
    <s v="A4"/>
    <s v="Rural"/>
    <s v="Não se aplica"/>
    <s v="Não se aplica"/>
    <s v="Não se aplica"/>
    <s v="Fora ponta"/>
    <s v="CATIVO"/>
    <x v="9"/>
    <n v="0"/>
    <n v="0"/>
    <n v="132.434"/>
    <n v="127.13664"/>
    <n v="132.434"/>
    <n v="127.13664"/>
    <m/>
    <n v="78.42"/>
    <n v="171.61"/>
    <m/>
    <n v="33112.473020000005"/>
    <n v="33112.473020000005"/>
    <n v="35100.307359999999"/>
    <n v="0"/>
    <n v="6965.7437202754973"/>
    <n v="0"/>
    <n v="0"/>
    <n v="0"/>
    <n v="0"/>
    <n v="0"/>
    <n v="21901.170471450911"/>
    <n v="825.77326187076028"/>
    <n v="0"/>
    <n v="0"/>
    <n v="0"/>
    <n v="0"/>
    <n v="1238.0077026955862"/>
    <m/>
    <n v="34.970584928621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8.61279631941738"/>
    <n v="0"/>
    <n v="0"/>
    <n v="0"/>
    <n v="0"/>
    <n v="0"/>
    <m/>
    <m/>
    <m/>
    <m/>
    <m/>
    <n v="1404.0122943999993"/>
    <m/>
    <m/>
    <m/>
    <n v="22719.783267770326"/>
    <m/>
    <m/>
    <m/>
    <m/>
    <m/>
    <m/>
    <m/>
    <m/>
    <m/>
    <m/>
    <m/>
    <m/>
    <n v="33697.185599999997"/>
    <n v="1909.181500799994"/>
    <m/>
    <m/>
    <m/>
    <m/>
    <n v="-993.255"/>
    <n v="2981.0893399999986"/>
    <n v="30"/>
    <n v="1988.3394594818019"/>
    <n v="0"/>
    <n v="0"/>
    <n v="0"/>
    <n v="0"/>
    <n v="0"/>
    <n v="0"/>
    <n v="0"/>
    <n v="0"/>
    <n v="0"/>
    <n v="0"/>
    <n v="2981.7974183051665"/>
    <n v="0"/>
    <n v="0"/>
    <n v="0"/>
    <n v="111.45237766349578"/>
    <n v="0"/>
    <n v="-956.76408031913979"/>
    <m/>
    <n v="0"/>
    <n v="0"/>
    <n v="0"/>
    <n v="0"/>
    <n v="-142.67247844679491"/>
    <n v="-5.4737777209236143"/>
    <n v="0"/>
    <n v="0"/>
    <m/>
    <m/>
    <m/>
    <n v="0"/>
    <n v="0"/>
    <n v="0"/>
    <n v="-993.25500000000102"/>
    <n v="2981.0893399999986"/>
    <n v="0"/>
    <n v="0"/>
    <n v="0"/>
    <n v="0"/>
    <n v="0"/>
    <n v="0"/>
    <n v="0"/>
    <n v="0"/>
    <n v="0"/>
    <n v="0"/>
    <n v="0"/>
    <n v="0"/>
    <n v="0"/>
    <n v="0"/>
    <n v="0"/>
    <n v="1328.343087668781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62"/>
    <s v="Regular"/>
    <s v="Verde"/>
    <s v="A4"/>
    <s v="Rural"/>
    <s v="Não se aplica"/>
    <s v="Não se aplica"/>
    <s v="Não se aplica"/>
    <s v="Não se aplica"/>
    <s v="CATIVO"/>
    <x v="9"/>
    <n v="887"/>
    <n v="851.52"/>
    <n v="0"/>
    <n v="0"/>
    <n v="0"/>
    <n v="0"/>
    <n v="12.58"/>
    <m/>
    <m/>
    <n v="11158.460000000001"/>
    <m/>
    <n v="11158.460000000001"/>
    <n v="10280.33"/>
    <n v="0"/>
    <n v="0"/>
    <n v="0"/>
    <n v="0"/>
    <n v="0"/>
    <n v="5878.5387677499784"/>
    <n v="5277.39190553708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968.82"/>
    <n v="11"/>
    <m/>
    <m/>
    <m/>
    <m/>
    <m/>
    <n v="411.2132000000002"/>
    <m/>
    <m/>
    <m/>
    <n v="0"/>
    <m/>
    <m/>
    <m/>
    <m/>
    <m/>
    <m/>
    <m/>
    <m/>
    <m/>
    <m/>
    <m/>
    <m/>
    <n v="9869.1167999999998"/>
    <n v="-843.03480000000127"/>
    <m/>
    <m/>
    <m/>
    <m/>
    <n v="-878.13000000000022"/>
    <n v="0"/>
    <n v="30"/>
    <n v="264.7260323908813"/>
    <n v="0"/>
    <n v="0"/>
    <n v="0"/>
    <n v="0"/>
    <m/>
    <m/>
    <m/>
    <n v="264.72603239088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77.3919055370825"/>
    <m/>
    <n v="0"/>
    <n v="0"/>
    <n v="-878.13000000000102"/>
    <m/>
    <n v="0"/>
    <m/>
    <n v="-1140.94365537826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63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40.136000000000003"/>
    <n v="40.136000000000003"/>
    <n v="40.136000000000003"/>
    <n v="40.136000000000003"/>
    <m/>
    <n v="239.69"/>
    <n v="171.61"/>
    <m/>
    <n v="16507.936800000003"/>
    <n v="16507.936800000003"/>
    <n v="16447.331440000002"/>
    <n v="0"/>
    <n v="2426.5141652600014"/>
    <n v="0"/>
    <n v="0"/>
    <n v="0"/>
    <n v="2140.6934161815575"/>
    <n v="3556.6406526862725"/>
    <n v="6637.4600030366364"/>
    <n v="250.26228641017289"/>
    <n v="0"/>
    <n v="0"/>
    <n v="0"/>
    <n v="0"/>
    <n v="375.19577416214906"/>
    <m/>
    <n v="15.895928880626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2.5738650635567"/>
    <n v="0"/>
    <n v="0"/>
    <n v="0"/>
    <n v="4948.66"/>
    <n v="44"/>
    <m/>
    <m/>
    <m/>
    <m/>
    <m/>
    <m/>
    <m/>
    <m/>
    <m/>
    <n v="7280.0338681001931"/>
    <m/>
    <m/>
    <m/>
    <m/>
    <m/>
    <m/>
    <m/>
    <m/>
    <m/>
    <m/>
    <m/>
    <m/>
    <n v="16448.970600000001"/>
    <n v="-58.996199999997771"/>
    <m/>
    <m/>
    <m/>
    <m/>
    <n v="-964.06672000000049"/>
    <n v="903.46135999999967"/>
    <n v="30"/>
    <n v="708.54662025903781"/>
    <n v="0"/>
    <n v="0"/>
    <n v="0"/>
    <n v="0"/>
    <n v="0"/>
    <n v="0"/>
    <n v="0"/>
    <n v="96.40104403835312"/>
    <n v="0"/>
    <n v="0"/>
    <n v="903.67595316230017"/>
    <n v="0"/>
    <n v="0"/>
    <n v="0"/>
    <n v="87.485054482110627"/>
    <n v="0"/>
    <n v="-333.28840206233599"/>
    <m/>
    <n v="0"/>
    <n v="0"/>
    <n v="0"/>
    <n v="0"/>
    <n v="-43.238915950137823"/>
    <n v="-2.4881134112499783"/>
    <n v="0"/>
    <n v="0"/>
    <m/>
    <m/>
    <m/>
    <n v="3556.6406526862725"/>
    <n v="0"/>
    <n v="0"/>
    <n v="-964.06672000000071"/>
    <n v="903.46136000000024"/>
    <n v="0"/>
    <n v="0"/>
    <n v="-768.92651896578218"/>
    <n v="0"/>
    <n v="0"/>
    <n v="0"/>
    <n v="0"/>
    <n v="0"/>
    <n v="0"/>
    <n v="0"/>
    <n v="0"/>
    <n v="0"/>
    <n v="0"/>
    <n v="0"/>
    <n v="0"/>
    <n v="462.7278073942743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64"/>
    <s v="Regular"/>
    <s v="Verde"/>
    <s v="A4"/>
    <s v="Poder público"/>
    <s v="Não se aplica"/>
    <s v="Não se aplica"/>
    <s v="Não se aplica"/>
    <s v="Ponta"/>
    <s v="CATIVO"/>
    <x v="9"/>
    <n v="0"/>
    <n v="0"/>
    <n v="0.85399999999999998"/>
    <n v="0.85399999999999998"/>
    <n v="0.85399999999999998"/>
    <n v="0.85399999999999998"/>
    <m/>
    <n v="984.21"/>
    <n v="171.61"/>
    <m/>
    <n v="987.07028000000003"/>
    <n v="987.07028000000003"/>
    <n v="920.48389999999995"/>
    <n v="0"/>
    <n v="44.918564244191629"/>
    <n v="0"/>
    <n v="0"/>
    <n v="0"/>
    <n v="336.22720025146936"/>
    <n v="437.31813117009688"/>
    <n v="141.22959045727742"/>
    <n v="5.3249948324269392"/>
    <n v="0"/>
    <n v="0"/>
    <n v="0"/>
    <n v="0"/>
    <n v="7.983286603908593"/>
    <m/>
    <n v="0.22550764553696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788206054093543"/>
    <n v="0"/>
    <n v="0"/>
    <n v="0"/>
    <n v="0"/>
    <n v="0"/>
    <m/>
    <m/>
    <m/>
    <m/>
    <m/>
    <m/>
    <m/>
    <m/>
    <m/>
    <n v="146.50841106268678"/>
    <m/>
    <m/>
    <m/>
    <m/>
    <m/>
    <m/>
    <m/>
    <m/>
    <m/>
    <m/>
    <m/>
    <m/>
    <n v="916.1724999999999"/>
    <n v="-70.927780000000098"/>
    <m/>
    <m/>
    <m/>
    <m/>
    <n v="-85.80992000000002"/>
    <n v="19.223539999999993"/>
    <n v="30"/>
    <n v="27.962990713674344"/>
    <n v="0"/>
    <n v="0"/>
    <n v="0"/>
    <n v="0"/>
    <n v="0"/>
    <n v="0"/>
    <n v="0"/>
    <n v="15.141193453171297"/>
    <n v="0"/>
    <n v="0"/>
    <n v="19.228106039480878"/>
    <n v="0"/>
    <n v="0"/>
    <n v="0"/>
    <n v="0.71870011118463051"/>
    <n v="0"/>
    <n v="-6.1696884832636982"/>
    <m/>
    <n v="0"/>
    <n v="0"/>
    <n v="0"/>
    <n v="0"/>
    <n v="-0.92002277808993771"/>
    <n v="-3.5297628808831333E-2"/>
    <n v="0"/>
    <n v="0"/>
    <m/>
    <m/>
    <m/>
    <n v="437.31813117009688"/>
    <n v="0"/>
    <n v="0"/>
    <n v="-85.809920000000034"/>
    <n v="19.223539999999986"/>
    <n v="0"/>
    <n v="0"/>
    <n v="-94.545820373297374"/>
    <n v="0"/>
    <n v="0"/>
    <n v="0"/>
    <n v="0"/>
    <n v="0"/>
    <n v="0"/>
    <n v="0"/>
    <n v="0"/>
    <n v="0"/>
    <n v="0"/>
    <n v="0"/>
    <n v="0"/>
    <n v="8.56581389121479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65"/>
    <s v="Regular"/>
    <s v="Verde"/>
    <s v="A4"/>
    <s v="Poder público"/>
    <s v="Não se aplica"/>
    <s v="Não se aplica"/>
    <s v="Não se aplica"/>
    <s v="Fora ponta"/>
    <s v="CATIVO"/>
    <x v="9"/>
    <n v="0"/>
    <n v="0"/>
    <n v="6.181"/>
    <n v="6.181"/>
    <n v="6.181"/>
    <n v="6.181"/>
    <m/>
    <n v="78.42"/>
    <n v="171.61"/>
    <m/>
    <n v="1545.43543"/>
    <n v="1545.43543"/>
    <n v="1638.2122400000001"/>
    <n v="0"/>
    <n v="325.10731334115746"/>
    <n v="0"/>
    <n v="0"/>
    <n v="0"/>
    <n v="0"/>
    <n v="0"/>
    <n v="1022.1781014243932"/>
    <n v="38.540741287155633"/>
    <n v="0"/>
    <n v="0"/>
    <n v="0"/>
    <n v="0"/>
    <n v="57.780672715174489"/>
    <m/>
    <n v="1.6321577951569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206545857184103"/>
    <n v="0"/>
    <n v="0"/>
    <n v="0"/>
    <n v="0"/>
    <n v="0"/>
    <m/>
    <m/>
    <m/>
    <m/>
    <m/>
    <m/>
    <m/>
    <m/>
    <m/>
    <n v="1060.3846472815774"/>
    <m/>
    <m/>
    <m/>
    <m/>
    <m/>
    <m/>
    <m/>
    <m/>
    <m/>
    <m/>
    <m/>
    <m/>
    <n v="1637.9471999999998"/>
    <n v="92.481769999999869"/>
    <m/>
    <m/>
    <m/>
    <m/>
    <n v="-46.357500000000002"/>
    <n v="139.13430999999994"/>
    <n v="30"/>
    <n v="92.80038509036217"/>
    <n v="0"/>
    <n v="0"/>
    <n v="0"/>
    <n v="0"/>
    <n v="0"/>
    <n v="0"/>
    <n v="0"/>
    <n v="0"/>
    <n v="0"/>
    <n v="0"/>
    <n v="139.1673576464068"/>
    <n v="0"/>
    <n v="0"/>
    <n v="0"/>
    <n v="5.2017393293117067"/>
    <n v="0"/>
    <n v="-44.654384678047961"/>
    <m/>
    <n v="0"/>
    <n v="0"/>
    <n v="0"/>
    <n v="0"/>
    <n v="-6.6588533856837273"/>
    <n v="-0.25547382162457422"/>
    <n v="0"/>
    <n v="0"/>
    <m/>
    <m/>
    <m/>
    <n v="0"/>
    <n v="0"/>
    <n v="0"/>
    <n v="-46.357500000000016"/>
    <n v="139.13430999999991"/>
    <n v="0"/>
    <n v="0"/>
    <n v="0"/>
    <n v="0"/>
    <n v="0"/>
    <n v="0"/>
    <n v="0"/>
    <n v="0"/>
    <n v="0"/>
    <n v="0"/>
    <n v="0"/>
    <n v="0"/>
    <n v="0"/>
    <n v="0"/>
    <n v="0"/>
    <n v="61.99683332739886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66"/>
    <s v="Regular"/>
    <s v="Verde"/>
    <s v="A4"/>
    <s v="Poder público"/>
    <s v="Não se aplica"/>
    <s v="Não se aplica"/>
    <s v="Não se aplica"/>
    <s v="Não se aplica"/>
    <s v="CATIVO"/>
    <x v="9"/>
    <n v="155"/>
    <n v="155"/>
    <n v="0"/>
    <n v="0"/>
    <n v="0"/>
    <n v="0"/>
    <n v="12.58"/>
    <m/>
    <m/>
    <n v="1949.9"/>
    <m/>
    <n v="1949.9"/>
    <n v="1796.45"/>
    <n v="0"/>
    <n v="0"/>
    <n v="0"/>
    <n v="0"/>
    <n v="0"/>
    <n v="1027.2531104861855"/>
    <n v="922.20489893827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25.1"/>
    <n v="3"/>
    <m/>
    <m/>
    <m/>
    <m/>
    <m/>
    <m/>
    <m/>
    <m/>
    <m/>
    <n v="0"/>
    <m/>
    <m/>
    <m/>
    <m/>
    <m/>
    <m/>
    <m/>
    <m/>
    <m/>
    <m/>
    <m/>
    <m/>
    <n v="1796.45"/>
    <n v="-153.48000000000002"/>
    <m/>
    <m/>
    <m/>
    <m/>
    <n v="-153.45000000000005"/>
    <n v="0"/>
    <n v="30"/>
    <n v="46.259904194573437"/>
    <n v="0"/>
    <n v="0"/>
    <n v="0"/>
    <n v="0"/>
    <m/>
    <m/>
    <m/>
    <n v="46.2599041945734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2.20489893827255"/>
    <m/>
    <n v="0"/>
    <n v="0"/>
    <n v="-153.45000000000005"/>
    <m/>
    <n v="0"/>
    <m/>
    <n v="-199.3757233186374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67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101.89100000000001"/>
    <n v="101.89100000000001"/>
    <n v="101.89100000000001"/>
    <n v="101.89100000000001"/>
    <m/>
    <n v="131.83000000000001"/>
    <n v="94.39"/>
    <m/>
    <n v="23049.782020000002"/>
    <n v="23049.782020000002"/>
    <n v="22965.212490000002"/>
    <n v="0"/>
    <n v="3388.0300764121721"/>
    <n v="0"/>
    <n v="0"/>
    <n v="0"/>
    <n v="2988.9517161023841"/>
    <n v="4965.973689669403"/>
    <n v="9267.5799891163442"/>
    <n v="349.42971505731555"/>
    <n v="0"/>
    <n v="0"/>
    <n v="0"/>
    <n v="0"/>
    <n v="523.86859537162479"/>
    <m/>
    <n v="22.194754067838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7.19632068105716"/>
    <n v="0"/>
    <n v="0"/>
    <n v="0"/>
    <n v="7655.03"/>
    <n v="7"/>
    <m/>
    <m/>
    <m/>
    <m/>
    <m/>
    <m/>
    <m/>
    <m/>
    <m/>
    <n v="10164.776309797402"/>
    <m/>
    <m/>
    <m/>
    <m/>
    <m/>
    <m/>
    <m/>
    <m/>
    <m/>
    <m/>
    <m/>
    <m/>
    <n v="22964.987099999998"/>
    <n v="-84.824920000002749"/>
    <m/>
    <m/>
    <m/>
    <m/>
    <n v="-1345.9801100000009"/>
    <n v="1261.4105799999995"/>
    <n v="30"/>
    <n v="989.31104311960007"/>
    <n v="0"/>
    <n v="0"/>
    <n v="0"/>
    <n v="0"/>
    <n v="0"/>
    <n v="0"/>
    <n v="0"/>
    <n v="134.60034203611212"/>
    <n v="0"/>
    <n v="0"/>
    <n v="1261.7611520583378"/>
    <n v="0"/>
    <n v="0"/>
    <n v="0"/>
    <n v="122.15135607510172"/>
    <n v="0"/>
    <n v="-465.35526001578228"/>
    <m/>
    <n v="0"/>
    <n v="0"/>
    <n v="0"/>
    <n v="0"/>
    <n v="-60.37250876498706"/>
    <n v="-3.4740382691877301"/>
    <n v="0"/>
    <n v="0"/>
    <m/>
    <m/>
    <m/>
    <n v="4965.973689669403"/>
    <n v="0"/>
    <n v="0"/>
    <n v="-1345.9801100000004"/>
    <n v="1261.4105799999998"/>
    <n v="0"/>
    <n v="0"/>
    <n v="-1073.6167173900762"/>
    <n v="0"/>
    <n v="0"/>
    <n v="0"/>
    <n v="0"/>
    <n v="0"/>
    <n v="0"/>
    <n v="0"/>
    <n v="0"/>
    <n v="0"/>
    <n v="0"/>
    <n v="0"/>
    <n v="0"/>
    <n v="646.0855457137090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68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37.112000000000002"/>
    <n v="34.885280000000002"/>
    <n v="37.112000000000002"/>
    <n v="34.885280000000002"/>
    <m/>
    <n v="239.69"/>
    <n v="171.61"/>
    <m/>
    <n v="15264.1656"/>
    <n v="15264.1656"/>
    <n v="15208.126479999999"/>
    <n v="0"/>
    <n v="2243.6912921349704"/>
    <n v="0"/>
    <n v="0"/>
    <n v="0"/>
    <n v="1979.4053732641507"/>
    <n v="3288.6697205125806"/>
    <n v="6137.3683384666047"/>
    <n v="231.40656700354634"/>
    <n v="0"/>
    <n v="0"/>
    <n v="0"/>
    <n v="0"/>
    <n v="346.92708717125964"/>
    <m/>
    <n v="14.698268701859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4.15988838545729"/>
    <n v="0"/>
    <n v="0"/>
    <n v="0"/>
    <n v="5069.08"/>
    <n v="40"/>
    <m/>
    <m/>
    <m/>
    <m/>
    <n v="912.48758880000014"/>
    <m/>
    <m/>
    <m/>
    <m/>
    <n v="6731.5282268520623"/>
    <m/>
    <m/>
    <m/>
    <m/>
    <m/>
    <m/>
    <m/>
    <m/>
    <m/>
    <m/>
    <m/>
    <m/>
    <n v="14297.5731"/>
    <n v="-50.772564000002603"/>
    <m/>
    <m/>
    <m/>
    <m/>
    <n v="-891.43024000000048"/>
    <n v="835.39111999999966"/>
    <n v="30"/>
    <n v="655.16200346455844"/>
    <n v="0"/>
    <n v="0"/>
    <n v="0"/>
    <n v="0"/>
    <n v="0"/>
    <n v="0"/>
    <n v="0"/>
    <n v="89.137820070544194"/>
    <n v="0"/>
    <n v="0"/>
    <n v="835.58954489135158"/>
    <n v="0"/>
    <n v="0"/>
    <n v="0"/>
    <n v="80.893595324399257"/>
    <n v="0"/>
    <n v="-308.17717703152812"/>
    <m/>
    <n v="0"/>
    <n v="0"/>
    <n v="0"/>
    <n v="0"/>
    <n v="-39.981130375262012"/>
    <n v="-2.3006494149469088"/>
    <n v="0"/>
    <n v="0"/>
    <m/>
    <m/>
    <m/>
    <n v="3288.6697205125806"/>
    <n v="0"/>
    <n v="0"/>
    <n v="-891.43024000000059"/>
    <n v="835.39111999999932"/>
    <n v="0"/>
    <n v="0"/>
    <n v="-710.99264928887033"/>
    <n v="0"/>
    <n v="0"/>
    <n v="0"/>
    <n v="0"/>
    <n v="0"/>
    <n v="0"/>
    <n v="0"/>
    <n v="0"/>
    <n v="0"/>
    <n v="0"/>
    <n v="0"/>
    <n v="0"/>
    <n v="427.8641216866730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69"/>
    <s v="Refaturamento - 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-0.124"/>
    <n v="-0.11656"/>
    <n v="-0.124"/>
    <n v="-0.11656"/>
    <m/>
    <n v="239.69"/>
    <n v="171.61"/>
    <m/>
    <n v="-51.001199999999997"/>
    <n v="-51.001199999999997"/>
    <n v="-50.813959999999994"/>
    <n v="0"/>
    <n v="-7.4967051149152919"/>
    <n v="0"/>
    <n v="0"/>
    <n v="0"/>
    <n v="-6.6136631355021196"/>
    <n v="-10.988226054741324"/>
    <n v="-20.506404235014521"/>
    <n v="-0.77318426138283425"/>
    <n v="0"/>
    <n v="0"/>
    <n v="0"/>
    <n v="0"/>
    <n v="-1.1591657363989059"/>
    <m/>
    <n v="-4.911040415581303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9852292024088356"/>
    <n v="0"/>
    <n v="0"/>
    <n v="0"/>
    <n v="-16.940000000000001"/>
    <n v="0"/>
    <m/>
    <m/>
    <m/>
    <m/>
    <n v="-3.048837600000001"/>
    <m/>
    <m/>
    <m/>
    <m/>
    <n v="-22.491633437423356"/>
    <m/>
    <m/>
    <m/>
    <m/>
    <m/>
    <m/>
    <m/>
    <m/>
    <m/>
    <m/>
    <m/>
    <m/>
    <n v="-49.174799999999998"/>
    <n v="-1.2636719999999997"/>
    <m/>
    <m/>
    <m/>
    <m/>
    <n v="2.9784800000000011"/>
    <n v="-2.7912399999999988"/>
    <n v="30"/>
    <n v="-2.189051746863683"/>
    <n v="0"/>
    <n v="0"/>
    <n v="0"/>
    <n v="0"/>
    <n v="0"/>
    <n v="0"/>
    <n v="0"/>
    <n v="-0.29783061243661102"/>
    <n v="0"/>
    <n v="0"/>
    <n v="-2.7919029846553016"/>
    <n v="0"/>
    <n v="0"/>
    <n v="0"/>
    <n v="-0.27028470091144396"/>
    <n v="0"/>
    <n v="1.0296930898876235"/>
    <m/>
    <n v="0"/>
    <n v="0"/>
    <n v="0"/>
    <n v="0"/>
    <n v="0.13358644553062327"/>
    <n v="7.687015721422101E-3"/>
    <n v="0"/>
    <n v="0"/>
    <m/>
    <m/>
    <m/>
    <n v="-10.988226054741324"/>
    <n v="0"/>
    <n v="0"/>
    <n v="2.9784800000000011"/>
    <n v="-2.7912399999999984"/>
    <n v="0"/>
    <n v="0"/>
    <n v="2.3755951851643662"/>
    <n v="0"/>
    <n v="0"/>
    <n v="0"/>
    <n v="0"/>
    <n v="0"/>
    <n v="0"/>
    <n v="0"/>
    <n v="0"/>
    <n v="0"/>
    <n v="0"/>
    <n v="0"/>
    <n v="0"/>
    <n v="-1.429595577957196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70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9.0359999999999996"/>
    <n v="9.0359999999999996"/>
    <n v="9.0359999999999996"/>
    <n v="9.0359999999999996"/>
    <m/>
    <n v="239.69"/>
    <n v="171.61"/>
    <m/>
    <n v="3716.5068000000001"/>
    <n v="3716.5068000000001"/>
    <n v="3702.8624399999999"/>
    <n v="0"/>
    <n v="546.29215659979491"/>
    <n v="0"/>
    <n v="0"/>
    <n v="0"/>
    <n v="481.94403300320283"/>
    <n v="800.72266637614985"/>
    <n v="1494.3215215128323"/>
    <n v="56.342685369800726"/>
    <n v="0"/>
    <n v="0"/>
    <n v="0"/>
    <n v="0"/>
    <n v="84.469528984681546"/>
    <m/>
    <n v="3.5787226770316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66557316908256"/>
    <n v="0"/>
    <n v="0"/>
    <n v="0"/>
    <n v="1234.26"/>
    <n v="4"/>
    <m/>
    <m/>
    <m/>
    <m/>
    <m/>
    <m/>
    <m/>
    <m/>
    <m/>
    <n v="1638.9870946819149"/>
    <m/>
    <m/>
    <m/>
    <m/>
    <m/>
    <m/>
    <m/>
    <m/>
    <m/>
    <m/>
    <m/>
    <m/>
    <n v="3704.5015999999996"/>
    <n v="-12.035200000001169"/>
    <m/>
    <m/>
    <m/>
    <m/>
    <n v="-217.04472000000007"/>
    <n v="203.40035999999992"/>
    <n v="30"/>
    <n v="159.51831923113195"/>
    <n v="0"/>
    <n v="0"/>
    <n v="0"/>
    <n v="0"/>
    <n v="0"/>
    <n v="0"/>
    <n v="0"/>
    <n v="21.703204951429143"/>
    <n v="0"/>
    <n v="0"/>
    <n v="203.44867233342984"/>
    <n v="0"/>
    <n v="0"/>
    <n v="0"/>
    <n v="19.695907721256503"/>
    <n v="0"/>
    <n v="-75.03473193729485"/>
    <m/>
    <n v="0"/>
    <n v="0"/>
    <n v="0"/>
    <n v="0"/>
    <n v="-9.7345735630218542"/>
    <n v="-0.56016027466750007"/>
    <n v="0"/>
    <n v="0"/>
    <m/>
    <m/>
    <m/>
    <n v="800.72266637614985"/>
    <n v="0"/>
    <n v="0"/>
    <n v="-217.0447200000001"/>
    <n v="203.40035999999986"/>
    <n v="0"/>
    <n v="0"/>
    <n v="-173.11192010600962"/>
    <n v="0"/>
    <n v="0"/>
    <n v="0"/>
    <n v="0"/>
    <n v="0"/>
    <n v="0"/>
    <n v="0"/>
    <n v="0"/>
    <n v="0"/>
    <n v="0"/>
    <n v="0"/>
    <n v="0"/>
    <n v="104.1760132453324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71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240.26"/>
    <n v="2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72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7.9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73"/>
    <s v="Regular"/>
    <s v="Convencional"/>
    <s v="B2"/>
    <s v="Rural"/>
    <s v="Aquicultura"/>
    <s v="IRRIG./AQUIC."/>
    <s v="Não se aplica"/>
    <s v="Não se aplica"/>
    <s v="CATIVO"/>
    <x v="9"/>
    <n v="0"/>
    <n v="0"/>
    <n v="28.887"/>
    <n v="28.887"/>
    <n v="28.887"/>
    <n v="28.887"/>
    <m/>
    <n v="239.69"/>
    <n v="171.61"/>
    <m/>
    <n v="11881.223100000001"/>
    <n v="11881.223100000001"/>
    <n v="11837.603730000001"/>
    <n v="0"/>
    <n v="1746.4300052786939"/>
    <n v="0"/>
    <n v="0"/>
    <n v="0"/>
    <n v="1540.7168306068527"/>
    <n v="2559.8135971234888"/>
    <n v="4777.1653156198745"/>
    <n v="180.12075611746721"/>
    <n v="0"/>
    <n v="0"/>
    <n v="0"/>
    <n v="0"/>
    <n v="270.038876027058"/>
    <m/>
    <n v="11.440743910072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2.47835459664543"/>
    <n v="0"/>
    <n v="0"/>
    <n v="0"/>
    <n v="0"/>
    <n v="0"/>
    <m/>
    <m/>
    <m/>
    <m/>
    <m/>
    <n v="1669.6685999999995"/>
    <m/>
    <m/>
    <m/>
    <n v="5239.6436702165201"/>
    <m/>
    <m/>
    <m/>
    <m/>
    <m/>
    <m/>
    <m/>
    <m/>
    <m/>
    <m/>
    <m/>
    <m/>
    <n v="10168.991100000001"/>
    <n v="-9.6622200000001612"/>
    <m/>
    <m/>
    <m/>
    <m/>
    <n v="-693.8657400000003"/>
    <n v="650.24636999999973"/>
    <n v="30"/>
    <n v="509.96078880363893"/>
    <n v="0"/>
    <n v="0"/>
    <n v="0"/>
    <n v="0"/>
    <n v="0"/>
    <n v="0"/>
    <n v="0"/>
    <n v="69.382523398841613"/>
    <n v="0"/>
    <n v="0"/>
    <n v="650.40081869143341"/>
    <n v="0"/>
    <n v="0"/>
    <n v="0"/>
    <n v="62.965436735716821"/>
    <n v="0"/>
    <n v="-239.87697006115945"/>
    <m/>
    <n v="0"/>
    <n v="0"/>
    <n v="0"/>
    <n v="0"/>
    <n v="-31.120255258412186"/>
    <n v="-1.7907647027800007"/>
    <n v="0"/>
    <n v="0"/>
    <m/>
    <m/>
    <m/>
    <n v="2559.8135971234888"/>
    <n v="0"/>
    <n v="0"/>
    <n v="-693.86574000000019"/>
    <n v="650.24636999999984"/>
    <n v="0"/>
    <n v="0"/>
    <n v="-553.41788801486314"/>
    <n v="0"/>
    <n v="0"/>
    <n v="0"/>
    <n v="0"/>
    <n v="0"/>
    <n v="0"/>
    <n v="0"/>
    <n v="0"/>
    <n v="0"/>
    <n v="0"/>
    <n v="0"/>
    <n v="0"/>
    <n v="333.0381246810445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74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.08"/>
    <n v="0.08"/>
    <n v="0.08"/>
    <n v="0.08"/>
    <m/>
    <n v="239.69"/>
    <n v="171.61"/>
    <m/>
    <n v="32.904000000000003"/>
    <n v="32.904000000000003"/>
    <n v="32.783200000000001"/>
    <n v="0"/>
    <n v="4.8365839451066401"/>
    <n v="0"/>
    <n v="0"/>
    <n v="0"/>
    <n v="4.2668794422594321"/>
    <n v="7.089178099833112"/>
    <n v="13.2299382161384"/>
    <n v="0.49882855573086082"/>
    <n v="0"/>
    <n v="0"/>
    <n v="0"/>
    <n v="0"/>
    <n v="0.74784886219284252"/>
    <m/>
    <n v="3.168413171342775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80793033812152"/>
    <n v="0"/>
    <n v="0"/>
    <n v="0"/>
    <n v="0"/>
    <n v="0"/>
    <m/>
    <m/>
    <m/>
    <m/>
    <m/>
    <n v="4.6239999999999988"/>
    <m/>
    <m/>
    <m/>
    <n v="14.510731249950553"/>
    <m/>
    <m/>
    <m/>
    <m/>
    <m/>
    <m/>
    <m/>
    <m/>
    <m/>
    <m/>
    <m/>
    <m/>
    <n v="28.159200000000002"/>
    <n v="-5.9600000000003206E-2"/>
    <m/>
    <m/>
    <m/>
    <m/>
    <n v="-1.9216000000000009"/>
    <n v="1.8007999999999993"/>
    <n v="30"/>
    <n v="1.4122914495894783"/>
    <n v="0"/>
    <n v="0"/>
    <n v="0"/>
    <n v="0"/>
    <n v="0"/>
    <n v="0"/>
    <n v="0"/>
    <n v="0.19214878221716791"/>
    <n v="0"/>
    <n v="0"/>
    <n v="1.8012277320356791"/>
    <n v="0"/>
    <n v="0"/>
    <n v="0"/>
    <n v="0.17437722639447983"/>
    <n v="0"/>
    <n v="-0.6643181225081447"/>
    <m/>
    <n v="0"/>
    <n v="0"/>
    <n v="0"/>
    <n v="0"/>
    <n v="-8.6184803568144064E-2"/>
    <n v="-4.9593649815626376E-3"/>
    <n v="0"/>
    <n v="0"/>
    <m/>
    <m/>
    <m/>
    <n v="7.089178099833112"/>
    <n v="0"/>
    <n v="0"/>
    <n v="-1.9216000000000015"/>
    <n v="1.8007999999999988"/>
    <n v="0"/>
    <n v="0"/>
    <n v="-1.5326420549447519"/>
    <n v="0"/>
    <n v="0"/>
    <n v="0"/>
    <n v="0"/>
    <n v="0"/>
    <n v="0"/>
    <n v="0"/>
    <n v="0"/>
    <n v="0"/>
    <n v="0"/>
    <n v="0"/>
    <n v="0"/>
    <n v="0.9223197277143200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75"/>
    <s v="Regular"/>
    <s v="Convencional"/>
    <s v="B2"/>
    <s v="Rural"/>
    <s v="Aquicultura"/>
    <s v="IRRIG./AQUIC. PR"/>
    <s v="Não se aplica"/>
    <s v="Não se aplica"/>
    <s v="CATIVO"/>
    <x v="9"/>
    <n v="0"/>
    <n v="0"/>
    <n v="57.749000000000002"/>
    <n v="23.099599999999999"/>
    <n v="57.749000000000002"/>
    <n v="23.099599999999999"/>
    <m/>
    <n v="239.69"/>
    <n v="171.61"/>
    <m/>
    <n v="23752.163700000005"/>
    <n v="23752.163700000005"/>
    <n v="23664.96271"/>
    <n v="0"/>
    <n v="3491.3485780745418"/>
    <n v="0"/>
    <n v="0"/>
    <n v="0"/>
    <n v="3080.1002613879996"/>
    <n v="5117.4118260907799"/>
    <n v="9550.1962755472068"/>
    <n v="360.08562831126852"/>
    <n v="0"/>
    <n v="0"/>
    <n v="0"/>
    <n v="0"/>
    <n v="539.84404928468075"/>
    <m/>
    <n v="22.871586528984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4.55646137022461"/>
    <n v="0"/>
    <n v="0"/>
    <n v="0"/>
    <n v="0"/>
    <n v="0"/>
    <m/>
    <m/>
    <m/>
    <m/>
    <m/>
    <m/>
    <n v="15534.134506"/>
    <m/>
    <m/>
    <n v="10474.752736917431"/>
    <m/>
    <m/>
    <m/>
    <m/>
    <m/>
    <m/>
    <m/>
    <m/>
    <m/>
    <m/>
    <m/>
    <m/>
    <n v="8130.969000000001"/>
    <n v="-8.4360560000004625"/>
    <m/>
    <m/>
    <m/>
    <m/>
    <n v="-1387.1309800000006"/>
    <n v="1299.9299899999996"/>
    <n v="30"/>
    <n v="1019.4802365292817"/>
    <n v="0"/>
    <n v="0"/>
    <n v="0"/>
    <n v="0"/>
    <n v="0"/>
    <n v="0"/>
    <n v="0"/>
    <n v="138.70500030324047"/>
    <n v="0"/>
    <n v="0"/>
    <n v="1300.2387537166051"/>
    <n v="0"/>
    <n v="0"/>
    <n v="0"/>
    <n v="125.87638058818527"/>
    <n v="0"/>
    <n v="-479.54634070903512"/>
    <m/>
    <n v="0"/>
    <n v="0"/>
    <n v="0"/>
    <n v="0"/>
    <n v="-62.213577765709374"/>
    <n v="-3.5799796040032632"/>
    <n v="0"/>
    <n v="0"/>
    <m/>
    <m/>
    <m/>
    <n v="5117.4118260907799"/>
    <n v="0"/>
    <n v="0"/>
    <n v="-1387.1309800000017"/>
    <n v="1299.9299899999987"/>
    <n v="0"/>
    <n v="0"/>
    <n v="-1106.356825387556"/>
    <n v="0"/>
    <n v="0"/>
    <n v="0"/>
    <n v="0"/>
    <n v="0"/>
    <n v="0"/>
    <n v="0"/>
    <n v="0"/>
    <n v="0"/>
    <n v="0"/>
    <n v="0"/>
    <n v="0"/>
    <n v="665.788024447178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76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0.89400000000000002"/>
    <n v="0.89400000000000002"/>
    <n v="0.89400000000000002"/>
    <n v="0.89400000000000002"/>
    <m/>
    <n v="239.69"/>
    <n v="171.61"/>
    <m/>
    <n v="367.7022"/>
    <n v="367.7022"/>
    <n v="366.35226"/>
    <n v="0"/>
    <n v="54.0488255865667"/>
    <n v="0"/>
    <n v="0"/>
    <n v="0"/>
    <n v="47.682377767249157"/>
    <n v="79.221565265635022"/>
    <n v="147.84455956534663"/>
    <n v="5.5744091102923701"/>
    <n v="0"/>
    <n v="0"/>
    <n v="0"/>
    <n v="0"/>
    <n v="8.3572110350050153"/>
    <m/>
    <n v="0.354070171897555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312862152850798"/>
    <n v="0"/>
    <n v="0"/>
    <n v="0"/>
    <n v="0"/>
    <n v="0"/>
    <m/>
    <m/>
    <m/>
    <m/>
    <m/>
    <n v="51.67319999999998"/>
    <m/>
    <m/>
    <m/>
    <n v="162.15742171819744"/>
    <m/>
    <m/>
    <m/>
    <m/>
    <m/>
    <m/>
    <m/>
    <m/>
    <m/>
    <m/>
    <m/>
    <m/>
    <n v="313.27110000000005"/>
    <n v="-1.7687399999999798"/>
    <m/>
    <m/>
    <m/>
    <m/>
    <n v="-21.473880000000008"/>
    <n v="20.123939999999994"/>
    <n v="30"/>
    <n v="15.78235694916242"/>
    <n v="0"/>
    <n v="0"/>
    <n v="0"/>
    <n v="0"/>
    <n v="0"/>
    <n v="0"/>
    <n v="0"/>
    <n v="2.1472626412768534"/>
    <n v="0"/>
    <n v="0"/>
    <n v="20.128719905498713"/>
    <n v="0"/>
    <n v="0"/>
    <n v="0"/>
    <n v="1.9486655049583135"/>
    <n v="0"/>
    <n v="-7.423755019028512"/>
    <m/>
    <n v="0"/>
    <n v="0"/>
    <n v="0"/>
    <n v="0"/>
    <n v="-0.96311517987401007"/>
    <n v="-5.5420903668962518E-2"/>
    <n v="0"/>
    <n v="0"/>
    <m/>
    <m/>
    <m/>
    <n v="79.221565265635022"/>
    <n v="0"/>
    <n v="0"/>
    <n v="-21.473880000000008"/>
    <n v="20.123940000000005"/>
    <n v="0"/>
    <n v="0"/>
    <n v="-17.127274964007597"/>
    <n v="0"/>
    <n v="0"/>
    <n v="0"/>
    <n v="0"/>
    <n v="0"/>
    <n v="0"/>
    <n v="0"/>
    <n v="0"/>
    <n v="0"/>
    <n v="0"/>
    <n v="0"/>
    <n v="0"/>
    <n v="10.30692295720752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77"/>
    <s v="Regular"/>
    <s v="Convencional"/>
    <s v="B1"/>
    <s v="Residencial"/>
    <s v="Residencial"/>
    <s v="Não se aplica"/>
    <s v="Não se aplica"/>
    <s v="Não se aplica"/>
    <s v="CATIVO"/>
    <x v="10"/>
    <n v="0"/>
    <n v="0"/>
    <n v="1235.433"/>
    <n v="1235.433"/>
    <n v="1235.433"/>
    <n v="1235.433"/>
    <m/>
    <n v="239.69"/>
    <n v="171.61"/>
    <m/>
    <n v="508133.59289999999"/>
    <n v="508133.59289999999"/>
    <n v="506268.08906999999"/>
    <n v="0"/>
    <n v="74690.942663186637"/>
    <n v="0"/>
    <n v="0"/>
    <n v="0"/>
    <n v="65893.045874861215"/>
    <n v="109477.55709263901"/>
    <n v="204308.77825223139"/>
    <n v="7703.3657386530576"/>
    <n v="0"/>
    <n v="0"/>
    <n v="0"/>
    <n v="0"/>
    <n v="11548.964542068625"/>
    <m/>
    <n v="489.29527368893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79.174751770603"/>
    <n v="0"/>
    <n v="0"/>
    <n v="0"/>
    <n v="86177.88"/>
    <n v="4683"/>
    <m/>
    <m/>
    <m/>
    <m/>
    <m/>
    <m/>
    <m/>
    <m/>
    <m/>
    <n v="224087.95300400199"/>
    <m/>
    <m/>
    <m/>
    <m/>
    <m/>
    <m/>
    <m/>
    <m/>
    <m/>
    <m/>
    <m/>
    <m/>
    <n v="506266.85970000003"/>
    <n v="-1866.7631999999867"/>
    <m/>
    <m/>
    <m/>
    <m/>
    <n v="-29675.100660000011"/>
    <n v="27809.596829999988"/>
    <n v="31"/>
    <n v="21809.893280508579"/>
    <n v="0"/>
    <n v="0"/>
    <n v="0"/>
    <n v="0"/>
    <n v="0"/>
    <n v="0"/>
    <n v="0"/>
    <n v="2967.3368307612836"/>
    <n v="0"/>
    <n v="0"/>
    <n v="27816.202258400444"/>
    <n v="0"/>
    <n v="0"/>
    <n v="0"/>
    <n v="2692.8922492026468"/>
    <n v="0"/>
    <n v="-10259.006638057544"/>
    <m/>
    <n v="0"/>
    <n v="0"/>
    <n v="0"/>
    <n v="0"/>
    <n v="-1330.9443803325357"/>
    <n v="-76.587039465835971"/>
    <n v="0"/>
    <n v="0"/>
    <m/>
    <m/>
    <m/>
    <n v="109477.55709263901"/>
    <n v="0"/>
    <n v="0"/>
    <n v="-29675.100659999996"/>
    <n v="27809.596829999995"/>
    <n v="0"/>
    <n v="0"/>
    <n v="-23668.457148331989"/>
    <n v="0"/>
    <n v="0"/>
    <n v="0"/>
    <n v="0"/>
    <n v="0"/>
    <n v="0"/>
    <n v="0"/>
    <n v="0"/>
    <n v="0"/>
    <n v="0"/>
    <n v="0"/>
    <n v="0"/>
    <n v="14243.30285211606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78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4.4400000000000004"/>
    <n v="4.4400000000000004"/>
    <n v="4.4400000000000004"/>
    <n v="4.4400000000000004"/>
    <m/>
    <n v="239.69"/>
    <n v="171.61"/>
    <m/>
    <n v="1826.172"/>
    <n v="1826.172"/>
    <n v="1819.4675999999999"/>
    <n v="0"/>
    <n v="268.43040895341852"/>
    <n v="0"/>
    <n v="0"/>
    <n v="0"/>
    <n v="236.81180904539852"/>
    <n v="393.4493845407377"/>
    <n v="734.26157099568127"/>
    <n v="27.684984843062779"/>
    <n v="0"/>
    <n v="0"/>
    <n v="0"/>
    <n v="0"/>
    <n v="41.50561185170276"/>
    <m/>
    <n v="1.7584693100952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084013376574447"/>
    <n v="0"/>
    <n v="0"/>
    <n v="0"/>
    <n v="662.44"/>
    <n v="23"/>
    <m/>
    <m/>
    <m/>
    <m/>
    <m/>
    <m/>
    <m/>
    <m/>
    <m/>
    <n v="805.34558437225576"/>
    <m/>
    <m/>
    <m/>
    <m/>
    <m/>
    <m/>
    <m/>
    <m/>
    <m/>
    <m/>
    <m/>
    <m/>
    <n v="1819.4675999999999"/>
    <n v="-6.7344000000000506"/>
    <m/>
    <m/>
    <m/>
    <m/>
    <n v="-106.64880000000005"/>
    <n v="99.944399999999973"/>
    <n v="31"/>
    <n v="78.382175452216188"/>
    <n v="0"/>
    <n v="0"/>
    <n v="0"/>
    <n v="0"/>
    <n v="0"/>
    <n v="0"/>
    <n v="0"/>
    <n v="10.664257413052809"/>
    <n v="0"/>
    <n v="0"/>
    <n v="99.968139127980294"/>
    <n v="0"/>
    <n v="0"/>
    <n v="0"/>
    <n v="9.677936064893629"/>
    <n v="0"/>
    <n v="-36.869655799201979"/>
    <m/>
    <n v="0"/>
    <n v="0"/>
    <n v="0"/>
    <n v="0"/>
    <n v="-4.7832565980319899"/>
    <n v="-0.27524475647672664"/>
    <n v="0"/>
    <n v="0"/>
    <m/>
    <m/>
    <m/>
    <n v="393.4493845407377"/>
    <n v="0"/>
    <n v="0"/>
    <n v="-106.64880000000005"/>
    <n v="99.944399999999973"/>
    <n v="0"/>
    <n v="0"/>
    <n v="-85.061634049433678"/>
    <n v="0"/>
    <n v="0"/>
    <n v="0"/>
    <n v="0"/>
    <n v="0"/>
    <n v="0"/>
    <n v="0"/>
    <n v="0"/>
    <n v="0"/>
    <n v="0"/>
    <n v="0"/>
    <n v="0"/>
    <n v="51.18874488814476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79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11.34"/>
    <n v="11.34"/>
    <n v="11.34"/>
    <n v="11.34"/>
    <m/>
    <n v="158.36000000000001"/>
    <n v="171.61"/>
    <m/>
    <n v="3741.8598000000002"/>
    <n v="3741.8598000000002"/>
    <n v="3831.1055999999999"/>
    <n v="0"/>
    <n v="0"/>
    <n v="0"/>
    <n v="0"/>
    <n v="0"/>
    <n v="604.83016094027448"/>
    <n v="1004.8909956513436"/>
    <n v="1875.3437421376182"/>
    <n v="70.70894777484952"/>
    <n v="0"/>
    <n v="0"/>
    <n v="0"/>
    <n v="0"/>
    <n v="0"/>
    <m/>
    <n v="4.4912256703783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55241254287253"/>
    <n v="0"/>
    <n v="0"/>
    <n v="0"/>
    <n v="181.59"/>
    <n v="5"/>
    <m/>
    <m/>
    <m/>
    <m/>
    <m/>
    <m/>
    <m/>
    <n v="2490.2640000000001"/>
    <m/>
    <n v="2056.8961546804908"/>
    <m/>
    <m/>
    <m/>
    <m/>
    <m/>
    <m/>
    <m/>
    <m/>
    <m/>
    <m/>
    <m/>
    <m/>
    <n v="1340.8415999999997"/>
    <n v="31.268399999999701"/>
    <m/>
    <m/>
    <m/>
    <m/>
    <n v="-166.01760000000016"/>
    <n v="255.2633999999999"/>
    <n v="31"/>
    <n v="306.57610275062189"/>
    <n v="0"/>
    <n v="0"/>
    <n v="0"/>
    <n v="0"/>
    <n v="0"/>
    <n v="0"/>
    <n v="0"/>
    <n v="27.237089879283531"/>
    <n v="0"/>
    <n v="0"/>
    <n v="255.32403101605746"/>
    <n v="0"/>
    <n v="0"/>
    <n v="0"/>
    <n v="24.717971841417551"/>
    <n v="0"/>
    <n v="0"/>
    <m/>
    <n v="0"/>
    <n v="0"/>
    <n v="0"/>
    <n v="0"/>
    <n v="0"/>
    <n v="-0.7029899861365041"/>
    <n v="0"/>
    <n v="0"/>
    <m/>
    <m/>
    <m/>
    <n v="1004.8909956513436"/>
    <n v="0"/>
    <n v="0"/>
    <n v="-166.01760000000013"/>
    <n v="255.26339999999982"/>
    <n v="0"/>
    <n v="0"/>
    <n v="-217.25201128841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0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24.963000000000001"/>
    <n v="24.963000000000001"/>
    <n v="24.963000000000001"/>
    <n v="24.963000000000001"/>
    <m/>
    <n v="158.36000000000001"/>
    <n v="171.61"/>
    <m/>
    <n v="8237.0411100000019"/>
    <n v="8237.0411100000019"/>
    <n v="8433.4999200000002"/>
    <n v="0"/>
    <n v="0"/>
    <n v="0"/>
    <n v="0"/>
    <n v="0"/>
    <n v="1331.4263939640277"/>
    <n v="2212.0894113266745"/>
    <n v="4128.2368461182859"/>
    <n v="155.65321545886849"/>
    <n v="0"/>
    <n v="0"/>
    <n v="0"/>
    <n v="0"/>
    <n v="0"/>
    <m/>
    <n v="9.8866372495287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9.65545628815937"/>
    <n v="0"/>
    <n v="0"/>
    <n v="0"/>
    <n v="686.61"/>
    <n v="42"/>
    <m/>
    <m/>
    <m/>
    <m/>
    <m/>
    <m/>
    <m/>
    <n v="3373.49982"/>
    <m/>
    <n v="4527.8923024064452"/>
    <m/>
    <m/>
    <m/>
    <m/>
    <m/>
    <m/>
    <m/>
    <m/>
    <m/>
    <m/>
    <m/>
    <m/>
    <n v="5059.3919999999998"/>
    <n v="117.18725999999879"/>
    <m/>
    <m/>
    <m/>
    <m/>
    <n v="-365.45832000000036"/>
    <n v="561.91712999999982"/>
    <n v="31"/>
    <n v="674.87294999680671"/>
    <n v="0"/>
    <n v="0"/>
    <n v="0"/>
    <n v="0"/>
    <n v="0"/>
    <n v="0"/>
    <n v="0"/>
    <n v="59.957625631089513"/>
    <n v="0"/>
    <n v="0"/>
    <n v="562.05059843508388"/>
    <n v="0"/>
    <n v="0"/>
    <n v="0"/>
    <n v="54.412233781067584"/>
    <n v="0"/>
    <n v="0"/>
    <m/>
    <n v="0"/>
    <n v="0"/>
    <n v="0"/>
    <n v="0"/>
    <n v="0"/>
    <n v="-1.5475078504343536"/>
    <n v="0"/>
    <n v="0"/>
    <m/>
    <m/>
    <m/>
    <n v="2212.0894113266745"/>
    <n v="0"/>
    <n v="0"/>
    <n v="-365.45832000000019"/>
    <n v="561.91712999999982"/>
    <n v="0"/>
    <n v="0"/>
    <n v="-478.2417952198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1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31.488"/>
    <n v="31.488"/>
    <n v="31.488"/>
    <n v="31.488"/>
    <m/>
    <n v="158.36000000000001"/>
    <n v="171.61"/>
    <m/>
    <n v="10390.095360000001"/>
    <n v="10390.095360000001"/>
    <n v="10637.905920000001"/>
    <n v="0"/>
    <n v="0"/>
    <n v="0"/>
    <n v="0"/>
    <n v="0"/>
    <n v="1679.4437484733126"/>
    <n v="2790.3005000943126"/>
    <n v="5207.3036818720748"/>
    <n v="196.33891953566683"/>
    <n v="0"/>
    <n v="0"/>
    <n v="0"/>
    <n v="0"/>
    <n v="0"/>
    <m/>
    <n v="12.4708742424051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4.12013810846304"/>
    <n v="0"/>
    <n v="0"/>
    <n v="0"/>
    <n v="1690.74"/>
    <n v="122"/>
    <m/>
    <m/>
    <m/>
    <m/>
    <m/>
    <m/>
    <m/>
    <n v="1063.66464"/>
    <m/>
    <n v="5711.4238199805377"/>
    <m/>
    <m/>
    <m/>
    <m/>
    <m/>
    <m/>
    <m/>
    <m/>
    <m/>
    <m/>
    <m/>
    <m/>
    <n v="9574.8493999999992"/>
    <n v="223.82803999999851"/>
    <m/>
    <m/>
    <m/>
    <m/>
    <n v="-460.98432000000048"/>
    <n v="708.79487999999969"/>
    <n v="31"/>
    <n v="851.27586626204265"/>
    <n v="0"/>
    <n v="0"/>
    <n v="0"/>
    <n v="0"/>
    <n v="0"/>
    <n v="0"/>
    <n v="0"/>
    <n v="75.629760680677236"/>
    <n v="0"/>
    <n v="0"/>
    <n v="708.96323532924271"/>
    <n v="0"/>
    <n v="0"/>
    <n v="0"/>
    <n v="68.634876308867319"/>
    <n v="0"/>
    <n v="0"/>
    <m/>
    <n v="0"/>
    <n v="0"/>
    <n v="0"/>
    <n v="0"/>
    <n v="0"/>
    <n v="-1.9520060567430555"/>
    <n v="0"/>
    <n v="0"/>
    <m/>
    <m/>
    <m/>
    <n v="2790.3005000943126"/>
    <n v="0"/>
    <n v="0"/>
    <n v="-460.98432000000048"/>
    <n v="708.79487999999947"/>
    <n v="0"/>
    <n v="0"/>
    <n v="-603.24791282625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2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28.616"/>
    <n v="28.616"/>
    <n v="28.616"/>
    <n v="28.616"/>
    <m/>
    <n v="158.36000000000001"/>
    <n v="171.61"/>
    <m/>
    <n v="9442.4215199999999"/>
    <n v="9442.4215199999999"/>
    <n v="9667.6294400000006"/>
    <n v="0"/>
    <n v="0"/>
    <n v="0"/>
    <n v="0"/>
    <n v="0"/>
    <n v="1526.262776496199"/>
    <n v="2535.7990063103039"/>
    <n v="4732.3488999127057"/>
    <n v="178.4309743849289"/>
    <n v="0"/>
    <n v="0"/>
    <n v="0"/>
    <n v="0"/>
    <n v="0"/>
    <m/>
    <n v="11.3334139138931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8.13966819460677"/>
    <n v="0"/>
    <n v="0"/>
    <n v="0"/>
    <n v="1980.08"/>
    <n v="191"/>
    <m/>
    <m/>
    <m/>
    <m/>
    <m/>
    <m/>
    <m/>
    <m/>
    <m/>
    <n v="5190.4885681073129"/>
    <m/>
    <m/>
    <m/>
    <m/>
    <m/>
    <m/>
    <m/>
    <m/>
    <m/>
    <m/>
    <m/>
    <m/>
    <n v="9668.9808000000012"/>
    <n v="226.52928000000065"/>
    <m/>
    <m/>
    <m/>
    <m/>
    <n v="-418.93824000000041"/>
    <n v="644.14615999999978"/>
    <n v="31"/>
    <n v="773.63154817564373"/>
    <n v="0"/>
    <n v="0"/>
    <n v="0"/>
    <n v="0"/>
    <n v="0"/>
    <n v="0"/>
    <n v="0"/>
    <n v="68.731619399080955"/>
    <n v="0"/>
    <n v="0"/>
    <n v="644.29915974916275"/>
    <n v="0"/>
    <n v="0"/>
    <n v="0"/>
    <n v="62.374733881305474"/>
    <n v="0"/>
    <n v="0"/>
    <m/>
    <n v="0"/>
    <n v="0"/>
    <n v="0"/>
    <n v="0"/>
    <n v="0"/>
    <n v="-1.7739648539049568"/>
    <n v="0"/>
    <n v="0"/>
    <m/>
    <m/>
    <m/>
    <n v="2535.7990063103039"/>
    <n v="0"/>
    <n v="0"/>
    <n v="-418.93824000000041"/>
    <n v="644.14616000000024"/>
    <n v="0"/>
    <n v="0"/>
    <n v="-548.22606305373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3"/>
    <s v="Regular"/>
    <s v="Convencional"/>
    <s v="B3"/>
    <s v="Industrial"/>
    <s v="Não se aplica"/>
    <s v="Não se aplica"/>
    <s v="Não se aplica"/>
    <s v="Não se aplica"/>
    <s v="CATIVO"/>
    <x v="10"/>
    <n v="0"/>
    <n v="0"/>
    <n v="205.81399999999999"/>
    <n v="205.81399999999999"/>
    <n v="205.81399999999999"/>
    <n v="205.81399999999999"/>
    <m/>
    <n v="239.69"/>
    <n v="171.61"/>
    <m/>
    <n v="84651.29819999999"/>
    <n v="84651.29819999999"/>
    <n v="84340.519059999991"/>
    <n v="0"/>
    <n v="12442.958600977225"/>
    <n v="0"/>
    <n v="0"/>
    <n v="0"/>
    <n v="10977.294069114785"/>
    <n v="18238.151267988149"/>
    <n v="34036.331300203856"/>
    <n v="1283.3237546148923"/>
    <n v="0"/>
    <n v="0"/>
    <n v="0"/>
    <n v="0"/>
    <n v="1923.972071541971"/>
    <m/>
    <n v="81.512973555842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5.064218262678"/>
    <n v="0"/>
    <n v="0"/>
    <n v="0"/>
    <n v="17274.54"/>
    <n v="77"/>
    <m/>
    <m/>
    <m/>
    <m/>
    <m/>
    <m/>
    <m/>
    <m/>
    <m/>
    <n v="37331.395518466532"/>
    <m/>
    <m/>
    <m/>
    <m/>
    <m/>
    <m/>
    <m/>
    <m/>
    <m/>
    <m/>
    <m/>
    <m/>
    <n v="84338.8799"/>
    <n v="-312.44830000000366"/>
    <m/>
    <m/>
    <m/>
    <m/>
    <n v="-4943.6522800000021"/>
    <n v="4632.8731399999979"/>
    <n v="31"/>
    <n v="3633.3669050726312"/>
    <n v="0"/>
    <n v="0"/>
    <n v="0"/>
    <n v="0"/>
    <n v="0"/>
    <n v="0"/>
    <n v="0"/>
    <n v="494.33636829055104"/>
    <n v="0"/>
    <n v="0"/>
    <n v="4633.9735555148945"/>
    <n v="0"/>
    <n v="0"/>
    <n v="0"/>
    <n v="448.61593091441864"/>
    <n v="0"/>
    <n v="-1709.0746258236395"/>
    <m/>
    <n v="0"/>
    <n v="0"/>
    <n v="0"/>
    <n v="0"/>
    <n v="-221.72548951967497"/>
    <n v="-12.758834303941669"/>
    <n v="0"/>
    <n v="0"/>
    <m/>
    <m/>
    <m/>
    <n v="18238.151267988149"/>
    <n v="0"/>
    <n v="0"/>
    <n v="-4943.6522800000021"/>
    <n v="4632.8731400000033"/>
    <n v="0"/>
    <n v="0"/>
    <n v="-3942.9898987049892"/>
    <n v="0"/>
    <n v="0"/>
    <n v="0"/>
    <n v="0"/>
    <n v="0"/>
    <n v="0"/>
    <n v="0"/>
    <n v="0"/>
    <n v="0"/>
    <n v="0"/>
    <n v="0"/>
    <n v="0"/>
    <n v="2372.8289054974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4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16.103000000000002"/>
    <n v="16.103000000000002"/>
    <n v="16.103000000000002"/>
    <n v="16.103000000000002"/>
    <m/>
    <n v="239.69"/>
    <n v="171.61"/>
    <m/>
    <n v="6623.1639000000005"/>
    <n v="6623.1639000000005"/>
    <n v="6598.8483699999997"/>
    <n v="0"/>
    <n v="973.54389085065282"/>
    <n v="0"/>
    <n v="0"/>
    <n v="0"/>
    <n v="858.86949573379559"/>
    <n v="1426.9629367701575"/>
    <n v="2663.0211886809584"/>
    <n v="100.40795291167566"/>
    <n v="0"/>
    <n v="0"/>
    <n v="0"/>
    <n v="0"/>
    <n v="150.53262784864179"/>
    <m/>
    <n v="6.377619662266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7.80762779346355"/>
    <n v="0"/>
    <n v="0"/>
    <n v="0"/>
    <n v="1621.92"/>
    <n v="7"/>
    <m/>
    <m/>
    <m/>
    <m/>
    <m/>
    <m/>
    <m/>
    <m/>
    <m/>
    <n v="2920.8288164744217"/>
    <m/>
    <m/>
    <m/>
    <m/>
    <m/>
    <m/>
    <m/>
    <m/>
    <m/>
    <m/>
    <m/>
    <m/>
    <n v="6597.6190000000006"/>
    <n v="-25.574900000000525"/>
    <m/>
    <m/>
    <m/>
    <m/>
    <n v="-386.79406000000023"/>
    <n v="362.47852999999986"/>
    <n v="31"/>
    <n v="284.27661515924228"/>
    <n v="0"/>
    <n v="0"/>
    <n v="0"/>
    <n v="0"/>
    <n v="0"/>
    <n v="0"/>
    <n v="0"/>
    <n v="38.677148000538182"/>
    <n v="0"/>
    <n v="0"/>
    <n v="362.5646271121318"/>
    <n v="0"/>
    <n v="0"/>
    <n v="0"/>
    <n v="35.099955957878876"/>
    <n v="0"/>
    <n v="-133.71893408435801"/>
    <m/>
    <n v="0"/>
    <n v="0"/>
    <n v="0"/>
    <n v="0"/>
    <n v="-17.347923648222803"/>
    <n v="-0.99825817872629052"/>
    <n v="0"/>
    <n v="0"/>
    <m/>
    <m/>
    <m/>
    <n v="1426.9629367701575"/>
    <n v="0"/>
    <n v="0"/>
    <n v="-386.79406000000017"/>
    <n v="362.47852999999986"/>
    <n v="0"/>
    <n v="0"/>
    <n v="-308.50168763469173"/>
    <n v="0"/>
    <n v="0"/>
    <n v="0"/>
    <n v="0"/>
    <n v="0"/>
    <n v="0"/>
    <n v="0"/>
    <n v="0"/>
    <n v="0"/>
    <n v="0"/>
    <n v="0"/>
    <n v="0"/>
    <n v="185.651432192296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5"/>
    <s v="Regular"/>
    <s v="Azul"/>
    <s v="A4"/>
    <s v="Industrial"/>
    <s v="Não se aplica"/>
    <s v="Não se aplica"/>
    <s v="Não se aplica"/>
    <s v="Ponta"/>
    <s v="CATIVO"/>
    <x v="10"/>
    <n v="18696"/>
    <n v="18696"/>
    <n v="906.95600000000002"/>
    <n v="906.95600000000002"/>
    <n v="906.95600000000002"/>
    <n v="906.95600000000002"/>
    <n v="37.64"/>
    <n v="78.42"/>
    <n v="171.61"/>
    <n v="703717.44000000006"/>
    <n v="226766.20868000001"/>
    <n v="930483.64867999998"/>
    <n v="871743.53824000014"/>
    <n v="0"/>
    <n v="47703.936010134741"/>
    <n v="0"/>
    <n v="0"/>
    <n v="0"/>
    <n v="305569.57880204322"/>
    <n v="398084.1954455619"/>
    <n v="149987.14805945024"/>
    <n v="5655.1943948929829"/>
    <n v="0"/>
    <n v="0"/>
    <n v="0"/>
    <n v="0"/>
    <n v="8478.3251582371449"/>
    <m/>
    <n v="239.49123204405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06.1569332548561"/>
    <n v="0"/>
    <n v="0"/>
    <n v="0"/>
    <n v="0"/>
    <n v="0"/>
    <m/>
    <m/>
    <m/>
    <m/>
    <m/>
    <m/>
    <m/>
    <m/>
    <m/>
    <n v="155593.30499270509"/>
    <m/>
    <m/>
    <m/>
    <m/>
    <m/>
    <m/>
    <m/>
    <m/>
    <m/>
    <m/>
    <m/>
    <m/>
    <n v="871744.59840000002"/>
    <n v="-58739.080279999995"/>
    <m/>
    <m/>
    <m/>
    <m/>
    <n v="-79155.689999999944"/>
    <n v="20415.579559999991"/>
    <n v="31"/>
    <n v="27377.46908152895"/>
    <n v="0"/>
    <n v="0"/>
    <n v="0"/>
    <n v="0"/>
    <n v="0"/>
    <n v="0"/>
    <n v="0"/>
    <n v="13760.600280361774"/>
    <n v="0"/>
    <n v="0"/>
    <n v="20420.428736701899"/>
    <n v="0"/>
    <n v="0"/>
    <n v="0"/>
    <n v="763.266250631812"/>
    <n v="0"/>
    <n v="-6552.2669649027157"/>
    <m/>
    <n v="0"/>
    <n v="0"/>
    <n v="0"/>
    <n v="0"/>
    <n v="-977.07280881186944"/>
    <n v="-37.486412451923201"/>
    <n v="0"/>
    <n v="0"/>
    <m/>
    <m/>
    <n v="398084.1954455619"/>
    <n v="0"/>
    <n v="0"/>
    <n v="0"/>
    <n v="-79155.689999999944"/>
    <n v="20415.579560000013"/>
    <n v="0"/>
    <n v="0"/>
    <n v="-86063.655159554793"/>
    <n v="0"/>
    <n v="0"/>
    <n v="0"/>
    <n v="0"/>
    <n v="0"/>
    <n v="0"/>
    <n v="0"/>
    <n v="0"/>
    <n v="0"/>
    <n v="0"/>
    <n v="0"/>
    <n v="0"/>
    <n v="9096.974594286421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6"/>
    <s v="Sistema de Compensação"/>
    <s v="Azul"/>
    <s v="A4"/>
    <s v="Industrial"/>
    <s v="Não se aplica"/>
    <s v="Não se aplica"/>
    <s v="Não se aplica"/>
    <s v="Ponta"/>
    <s v="CATIVO"/>
    <x v="10"/>
    <n v="1609"/>
    <n v="1609"/>
    <n v="86.203000000000003"/>
    <n v="86.203000000000003"/>
    <n v="86.203000000000003"/>
    <n v="86.203000000000003"/>
    <n v="37.64"/>
    <n v="78.42"/>
    <n v="171.61"/>
    <n v="60562.76"/>
    <n v="21553.336090000001"/>
    <n v="82116.096090000006"/>
    <n v="77183.173120000007"/>
    <n v="0"/>
    <n v="4534.0924982928"/>
    <n v="0"/>
    <n v="0"/>
    <n v="0"/>
    <n v="26297.681444827107"/>
    <n v="34259.599404787608"/>
    <n v="14255.754550572232"/>
    <n v="537.50647487084245"/>
    <n v="0"/>
    <n v="0"/>
    <n v="0"/>
    <n v="0"/>
    <n v="805.83519334512005"/>
    <m/>
    <n v="22.762805115015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2.84563541932391"/>
    <n v="0"/>
    <n v="0"/>
    <n v="0"/>
    <n v="0"/>
    <n v="0"/>
    <m/>
    <m/>
    <m/>
    <m/>
    <m/>
    <m/>
    <m/>
    <m/>
    <m/>
    <n v="14788.600185991556"/>
    <m/>
    <m/>
    <m/>
    <m/>
    <m/>
    <m/>
    <m/>
    <m/>
    <m/>
    <m/>
    <m/>
    <m/>
    <n v="77182.378000000012"/>
    <n v="-4933.7480899999937"/>
    <m/>
    <m/>
    <m/>
    <m/>
    <n v="-6873.3524999999963"/>
    <n v="1940.4295299999992"/>
    <n v="31"/>
    <n v="2478.4894479680515"/>
    <n v="0"/>
    <n v="0"/>
    <n v="0"/>
    <n v="0"/>
    <n v="0"/>
    <n v="0"/>
    <n v="0"/>
    <n v="1184.2536291774741"/>
    <n v="0"/>
    <n v="0"/>
    <n v="1940.8904273083954"/>
    <n v="0"/>
    <n v="0"/>
    <n v="0"/>
    <n v="72.545791199588621"/>
    <n v="0"/>
    <n v="-622.77008937093751"/>
    <m/>
    <n v="0"/>
    <n v="0"/>
    <n v="0"/>
    <n v="0"/>
    <n v="-92.867357774809079"/>
    <n v="-3.5629525716717616"/>
    <n v="0"/>
    <n v="0"/>
    <m/>
    <m/>
    <n v="34259.599404787608"/>
    <n v="0"/>
    <n v="0"/>
    <n v="0"/>
    <n v="-6873.3524999999936"/>
    <n v="1940.4295299999994"/>
    <n v="0"/>
    <n v="0"/>
    <n v="-7406.7405408495761"/>
    <n v="0"/>
    <n v="0"/>
    <n v="0"/>
    <n v="0"/>
    <n v="0"/>
    <n v="0"/>
    <n v="0"/>
    <n v="0"/>
    <n v="0"/>
    <n v="0"/>
    <n v="0"/>
    <n v="0"/>
    <n v="864.6356614337105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7"/>
    <s v="Regular"/>
    <s v="Azul"/>
    <s v="A4"/>
    <s v="Industrial"/>
    <s v="Não se aplica"/>
    <s v="Não se aplica"/>
    <s v="Não se aplica"/>
    <s v="Fora ponta"/>
    <s v="CATIVO"/>
    <x v="10"/>
    <n v="21567"/>
    <n v="21567"/>
    <n v="8276.634"/>
    <n v="8276.634"/>
    <n v="8276.634"/>
    <n v="8276.634"/>
    <n v="12.58"/>
    <n v="78.42"/>
    <n v="171.61"/>
    <n v="271312.86"/>
    <n v="2069406.7990200003"/>
    <n v="2340719.6590200001"/>
    <n v="2443600.6053599999"/>
    <n v="0"/>
    <n v="435333.15697267069"/>
    <n v="0"/>
    <n v="0"/>
    <n v="0"/>
    <n v="142933.98602487461"/>
    <n v="128317.37455097887"/>
    <n v="1368741.9557198805"/>
    <n v="51607.767306661721"/>
    <n v="0"/>
    <n v="0"/>
    <n v="0"/>
    <n v="0"/>
    <n v="77370.891496082433"/>
    <m/>
    <n v="2185.5319043456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160.264757179917"/>
    <n v="0"/>
    <n v="0"/>
    <n v="0"/>
    <n v="0"/>
    <n v="0"/>
    <m/>
    <m/>
    <m/>
    <m/>
    <m/>
    <m/>
    <m/>
    <m/>
    <m/>
    <n v="1419902.2204770604"/>
    <m/>
    <m/>
    <m/>
    <m/>
    <m/>
    <m/>
    <m/>
    <m/>
    <m/>
    <m/>
    <m/>
    <m/>
    <n v="2443599.5452000001"/>
    <n v="102879.85618000012"/>
    <m/>
    <m/>
    <m/>
    <m/>
    <n v="-83426.085000000006"/>
    <n v="186307.03133999993"/>
    <n v="31"/>
    <n v="130700.53703980986"/>
    <n v="0"/>
    <n v="0"/>
    <n v="0"/>
    <n v="0"/>
    <n v="0"/>
    <n v="0"/>
    <n v="0"/>
    <n v="6436.6926049313915"/>
    <n v="0"/>
    <n v="0"/>
    <n v="186351.28360886732"/>
    <n v="0"/>
    <n v="0"/>
    <n v="0"/>
    <n v="6965.3603934830171"/>
    <n v="0"/>
    <n v="-59794.207810291322"/>
    <m/>
    <n v="0"/>
    <n v="0"/>
    <n v="0"/>
    <n v="0"/>
    <n v="-8916.5009436927794"/>
    <n v="-342.09081348776681"/>
    <n v="0"/>
    <n v="0"/>
    <m/>
    <m/>
    <n v="128317.37455097887"/>
    <n v="0"/>
    <n v="0"/>
    <n v="0"/>
    <n v="-83426.084999999963"/>
    <n v="186307.03133999975"/>
    <n v="0"/>
    <n v="0"/>
    <n v="-27741.524031051973"/>
    <n v="0"/>
    <n v="0"/>
    <n v="0"/>
    <n v="0"/>
    <n v="0"/>
    <n v="0"/>
    <n v="0"/>
    <n v="0"/>
    <n v="0"/>
    <n v="0"/>
    <n v="0"/>
    <n v="0"/>
    <n v="83016.51813782278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8"/>
    <s v="Sistema de Compensação"/>
    <s v="Azul"/>
    <s v="A4"/>
    <s v="Industrial"/>
    <s v="Não se aplica"/>
    <s v="Não se aplica"/>
    <s v="Não se aplica"/>
    <s v="Fora ponta"/>
    <s v="CATIVO"/>
    <x v="10"/>
    <n v="2029"/>
    <n v="2029"/>
    <n v="771.14400000000001"/>
    <n v="771.14400000000001"/>
    <n v="771.14400000000001"/>
    <n v="771.14400000000001"/>
    <n v="12.58"/>
    <n v="78.42"/>
    <n v="171.61"/>
    <n v="25524.82"/>
    <n v="192809.13432000001"/>
    <n v="218333.95432000002"/>
    <n v="227900.11576000002"/>
    <n v="0"/>
    <n v="40560.516751197792"/>
    <n v="0"/>
    <n v="0"/>
    <n v="0"/>
    <n v="13447.074588235293"/>
    <n v="12071.959612553259"/>
    <n v="127527.34344682288"/>
    <n v="4808.3580972564869"/>
    <n v="0"/>
    <n v="0"/>
    <n v="0"/>
    <n v="0"/>
    <n v="7208.7395373354666"/>
    <m/>
    <n v="203.62865083133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66.6637434868753"/>
    <n v="0"/>
    <n v="0"/>
    <n v="0"/>
    <n v="0"/>
    <n v="0"/>
    <m/>
    <m/>
    <m/>
    <m/>
    <m/>
    <m/>
    <m/>
    <m/>
    <m/>
    <n v="132294.00719030976"/>
    <m/>
    <m/>
    <m/>
    <m/>
    <m/>
    <m/>
    <m/>
    <m/>
    <m/>
    <m/>
    <m/>
    <m/>
    <n v="227899.05560000002"/>
    <n v="9565.0712800000329"/>
    <m/>
    <m/>
    <m/>
    <m/>
    <n v="-7792.2900000000009"/>
    <n v="17358.451439999993"/>
    <n v="31"/>
    <n v="12183.36974603674"/>
    <n v="0"/>
    <n v="0"/>
    <n v="0"/>
    <n v="0"/>
    <n v="0"/>
    <n v="0"/>
    <n v="0"/>
    <n v="605.55706845670829"/>
    <n v="0"/>
    <n v="0"/>
    <n v="17362.57447741153"/>
    <n v="0"/>
    <n v="0"/>
    <n v="0"/>
    <n v="648.97105215381816"/>
    <n v="0"/>
    <n v="-5571.0986601146433"/>
    <m/>
    <n v="0"/>
    <n v="0"/>
    <n v="0"/>
    <n v="0"/>
    <n v="-830.76117703441105"/>
    <n v="-31.873014836249922"/>
    <n v="0"/>
    <n v="0"/>
    <m/>
    <m/>
    <n v="12071.959612553259"/>
    <n v="0"/>
    <n v="0"/>
    <n v="0"/>
    <n v="-7792.2899999999936"/>
    <n v="17358.451440000004"/>
    <n v="0"/>
    <n v="0"/>
    <n v="-2609.8925329904232"/>
    <n v="0"/>
    <n v="0"/>
    <n v="0"/>
    <n v="0"/>
    <n v="0"/>
    <n v="0"/>
    <n v="0"/>
    <n v="0"/>
    <n v="0"/>
    <n v="0"/>
    <n v="0"/>
    <n v="0"/>
    <n v="7734.749399680257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89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70340.66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90"/>
    <s v="Sistema de Compensação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450.69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491"/>
    <s v="Regular"/>
    <s v="Verde"/>
    <s v="A4"/>
    <s v="Industrial"/>
    <s v="Não se aplica"/>
    <s v="Não se aplica"/>
    <s v="Não se aplica"/>
    <s v="Ponta"/>
    <s v="CATIVO"/>
    <x v="10"/>
    <n v="0"/>
    <n v="0"/>
    <n v="171.72499999999999"/>
    <n v="171.72499999999999"/>
    <n v="171.72499999999999"/>
    <n v="171.72499999999999"/>
    <m/>
    <n v="984.21"/>
    <n v="171.61"/>
    <m/>
    <n v="198483.18950000001"/>
    <n v="198483.18950000001"/>
    <n v="185093.79125000001"/>
    <n v="0"/>
    <n v="9032.3658604611337"/>
    <n v="0"/>
    <n v="0"/>
    <n v="0"/>
    <n v="67609.620565788719"/>
    <n v="87937.302195766839"/>
    <n v="28398.889252079585"/>
    <n v="1070.7666716610258"/>
    <n v="0"/>
    <n v="0"/>
    <n v="0"/>
    <n v="0"/>
    <n v="1605.3043232508232"/>
    <m/>
    <n v="45.345785046646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1.4818131896036"/>
    <n v="0"/>
    <n v="0"/>
    <n v="0"/>
    <n v="0"/>
    <n v="0"/>
    <m/>
    <m/>
    <m/>
    <m/>
    <m/>
    <m/>
    <m/>
    <m/>
    <m/>
    <n v="29460.371065269188"/>
    <m/>
    <m/>
    <m/>
    <m/>
    <m/>
    <m/>
    <m/>
    <m/>
    <m/>
    <m/>
    <m/>
    <m/>
    <n v="185099.18050000002"/>
    <n v="-13384.039000000019"/>
    <m/>
    <m/>
    <m/>
    <m/>
    <n v="-17254.928000000004"/>
    <n v="3865.5297499999983"/>
    <n v="31"/>
    <n v="5622.8859254165436"/>
    <n v="0"/>
    <n v="0"/>
    <n v="0"/>
    <n v="0"/>
    <n v="0"/>
    <n v="0"/>
    <n v="0"/>
    <n v="3044.6386952527537"/>
    <n v="0"/>
    <n v="0"/>
    <n v="3866.4479035478362"/>
    <n v="0"/>
    <n v="0"/>
    <n v="0"/>
    <n v="144.51847376250657"/>
    <n v="0"/>
    <n v="-1240.620321766346"/>
    <m/>
    <n v="0"/>
    <n v="0"/>
    <n v="0"/>
    <n v="0"/>
    <n v="-185.00106740924411"/>
    <n v="-7.0977579709561525"/>
    <n v="0"/>
    <n v="0"/>
    <m/>
    <m/>
    <m/>
    <n v="87937.302195766839"/>
    <n v="0"/>
    <n v="0"/>
    <n v="-17254.928000000014"/>
    <n v="3865.5297499999979"/>
    <n v="0"/>
    <n v="0"/>
    <n v="-19011.570261831948"/>
    <n v="0"/>
    <n v="0"/>
    <n v="0"/>
    <n v="0"/>
    <n v="0"/>
    <n v="0"/>
    <n v="0"/>
    <n v="0"/>
    <n v="0"/>
    <n v="0"/>
    <n v="0"/>
    <n v="0"/>
    <n v="1722.440738253934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92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1.196"/>
    <n v="1.196"/>
    <n v="1.196"/>
    <n v="1.196"/>
    <m/>
    <n v="984.21"/>
    <n v="171.61"/>
    <m/>
    <n v="1382.3607200000001"/>
    <n v="1382.3607200000001"/>
    <n v="1289.1086"/>
    <n v="0"/>
    <n v="62.907029082029496"/>
    <n v="0"/>
    <n v="0"/>
    <n v="0"/>
    <n v="470.87556381821702"/>
    <n v="612.45021648645877"/>
    <n v="197.78757633126909"/>
    <n v="7.4574869081763691"/>
    <n v="0"/>
    <n v="0"/>
    <n v="0"/>
    <n v="0"/>
    <n v="11.180340489782994"/>
    <m/>
    <n v="0.31581632794170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928213630791424"/>
    <n v="0"/>
    <n v="0"/>
    <n v="0"/>
    <n v="0"/>
    <n v="0"/>
    <m/>
    <m/>
    <m/>
    <m/>
    <m/>
    <m/>
    <m/>
    <m/>
    <m/>
    <n v="205.18039769434824"/>
    <m/>
    <m/>
    <m/>
    <m/>
    <m/>
    <m/>
    <m/>
    <m/>
    <m/>
    <m/>
    <m/>
    <m/>
    <n v="1293.4199999999998"/>
    <n v="-88.970720000000256"/>
    <m/>
    <m/>
    <m/>
    <m/>
    <n v="-120.17408000000002"/>
    <n v="26.921959999999988"/>
    <n v="31"/>
    <n v="39.161284418682158"/>
    <n v="0"/>
    <n v="0"/>
    <n v="0"/>
    <n v="0"/>
    <n v="0"/>
    <n v="0"/>
    <n v="0"/>
    <n v="21.204762728328888"/>
    <n v="0"/>
    <n v="0"/>
    <n v="26.928354593933392"/>
    <n v="0"/>
    <n v="0"/>
    <n v="0"/>
    <n v="1.0065167833452202"/>
    <n v="0"/>
    <n v="-8.6404536604020947"/>
    <m/>
    <n v="0"/>
    <n v="0"/>
    <n v="0"/>
    <n v="0"/>
    <n v="-1.2884628133437523"/>
    <n v="-4.9433213179581048E-2"/>
    <n v="0"/>
    <n v="0"/>
    <m/>
    <m/>
    <m/>
    <n v="612.45021648645877"/>
    <n v="0"/>
    <n v="0"/>
    <n v="-120.17408"/>
    <n v="26.921959999999984"/>
    <n v="0"/>
    <n v="0"/>
    <n v="-132.40843227923136"/>
    <n v="0"/>
    <n v="0"/>
    <n v="0"/>
    <n v="0"/>
    <n v="0"/>
    <n v="0"/>
    <n v="0"/>
    <n v="0"/>
    <n v="0"/>
    <n v="0"/>
    <n v="0"/>
    <n v="0"/>
    <n v="11.99615153851626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93"/>
    <s v="Regular"/>
    <s v="Verde"/>
    <s v="A4"/>
    <s v="Industrial"/>
    <s v="Não se aplica"/>
    <s v="Não se aplica"/>
    <s v="Não se aplica"/>
    <s v="Fora ponta"/>
    <s v="CATIVO"/>
    <x v="10"/>
    <n v="0"/>
    <n v="0"/>
    <n v="2059.5949999999998"/>
    <n v="2059.5949999999998"/>
    <n v="2059.5949999999998"/>
    <n v="2059.5949999999998"/>
    <m/>
    <n v="78.42"/>
    <n v="171.61"/>
    <m/>
    <n v="514960.53784999996"/>
    <n v="514960.53784999996"/>
    <n v="545875.0588"/>
    <n v="0"/>
    <n v="108330.26970083824"/>
    <n v="0"/>
    <n v="0"/>
    <n v="0"/>
    <n v="0"/>
    <n v="0"/>
    <n v="340603.93250334461"/>
    <n v="12842.309990506277"/>
    <n v="0"/>
    <n v="0"/>
    <n v="0"/>
    <n v="0"/>
    <n v="19253.322216600842"/>
    <m/>
    <n v="543.85763373502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30.951434189788"/>
    <n v="0"/>
    <n v="0"/>
    <n v="0"/>
    <n v="0"/>
    <n v="0"/>
    <m/>
    <m/>
    <m/>
    <m/>
    <m/>
    <m/>
    <m/>
    <m/>
    <m/>
    <n v="353334.88393753441"/>
    <m/>
    <m/>
    <m/>
    <m/>
    <m/>
    <m/>
    <m/>
    <m/>
    <m/>
    <m/>
    <m/>
    <m/>
    <n v="545876.38399999996"/>
    <n v="30915.81614999997"/>
    <m/>
    <m/>
    <m/>
    <m/>
    <n v="-15446.962499999998"/>
    <n v="46361.483449999978"/>
    <n v="31"/>
    <n v="30922.376497360237"/>
    <n v="0"/>
    <n v="0"/>
    <n v="0"/>
    <n v="0"/>
    <n v="0"/>
    <n v="0"/>
    <n v="0"/>
    <n v="0"/>
    <n v="0"/>
    <n v="0"/>
    <n v="46372.495384525275"/>
    <n v="0"/>
    <n v="0"/>
    <n v="0"/>
    <n v="1733.2917511654668"/>
    <n v="0"/>
    <n v="-14879.460833357734"/>
    <m/>
    <n v="0"/>
    <n v="0"/>
    <n v="0"/>
    <n v="0"/>
    <n v="-2218.8223813116456"/>
    <n v="-85.127423661036175"/>
    <n v="0"/>
    <n v="0"/>
    <m/>
    <m/>
    <m/>
    <n v="0"/>
    <n v="0"/>
    <n v="0"/>
    <n v="-15446.962499999994"/>
    <n v="46361.48345"/>
    <n v="0"/>
    <n v="0"/>
    <n v="0"/>
    <n v="0"/>
    <n v="0"/>
    <n v="0"/>
    <n v="0"/>
    <n v="0"/>
    <n v="0"/>
    <n v="0"/>
    <n v="0"/>
    <n v="0"/>
    <n v="0"/>
    <n v="0"/>
    <n v="0"/>
    <n v="20658.20545816923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94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10.162000000000001"/>
    <n v="10.162000000000001"/>
    <n v="10.162000000000001"/>
    <n v="10.162000000000001"/>
    <m/>
    <n v="78.42"/>
    <n v="171.61"/>
    <m/>
    <n v="2540.8048600000002"/>
    <n v="2540.8048600000002"/>
    <n v="2693.3364800000004"/>
    <n v="0"/>
    <n v="534.49935579563862"/>
    <n v="0"/>
    <n v="0"/>
    <n v="0"/>
    <n v="0"/>
    <n v="0"/>
    <n v="1680.5329019049805"/>
    <n v="63.363697291712604"/>
    <n v="0"/>
    <n v="0"/>
    <n v="0"/>
    <n v="0"/>
    <n v="94.995501720045823"/>
    <m/>
    <n v="2.6833825456050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814256431112256"/>
    <n v="0"/>
    <n v="0"/>
    <n v="0"/>
    <n v="0"/>
    <n v="0"/>
    <m/>
    <m/>
    <m/>
    <m/>
    <m/>
    <m/>
    <m/>
    <m/>
    <m/>
    <n v="1743.3471583360927"/>
    <m/>
    <m/>
    <m/>
    <m/>
    <m/>
    <m/>
    <m/>
    <m/>
    <m/>
    <m/>
    <m/>
    <m/>
    <n v="2692.8063999999999"/>
    <n v="151.9715399999991"/>
    <m/>
    <m/>
    <m/>
    <m/>
    <n v="-76.215000000000003"/>
    <n v="228.74661999999992"/>
    <n v="31"/>
    <n v="152.57037911151201"/>
    <n v="0"/>
    <n v="0"/>
    <n v="0"/>
    <n v="0"/>
    <n v="0"/>
    <n v="0"/>
    <n v="0"/>
    <n v="0"/>
    <n v="0"/>
    <n v="0"/>
    <n v="228.80095266183207"/>
    <n v="0"/>
    <n v="0"/>
    <n v="0"/>
    <n v="8.5520263815670035"/>
    <n v="0"/>
    <n v="-73.414958275088679"/>
    <m/>
    <n v="0"/>
    <n v="0"/>
    <n v="0"/>
    <n v="0"/>
    <n v="-10.947624673243496"/>
    <n v="-0.42001698355426687"/>
    <n v="0"/>
    <n v="0"/>
    <m/>
    <m/>
    <m/>
    <n v="0"/>
    <n v="0"/>
    <n v="0"/>
    <n v="-76.215000000000032"/>
    <n v="228.74661999999989"/>
    <n v="0"/>
    <n v="0"/>
    <n v="0"/>
    <n v="0"/>
    <n v="0"/>
    <n v="0"/>
    <n v="0"/>
    <n v="0"/>
    <n v="0"/>
    <n v="0"/>
    <n v="0"/>
    <n v="0"/>
    <n v="0"/>
    <n v="0"/>
    <n v="0"/>
    <n v="101.927167169232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95"/>
    <s v="Regular"/>
    <s v="Verde"/>
    <s v="A4"/>
    <s v="Industrial"/>
    <s v="Não se aplica"/>
    <s v="Não se aplica"/>
    <s v="Não se aplica"/>
    <s v="Não se aplica"/>
    <s v="CATIVO"/>
    <x v="10"/>
    <n v="9994"/>
    <n v="9994"/>
    <n v="0"/>
    <n v="0"/>
    <n v="0"/>
    <n v="0"/>
    <n v="12.58"/>
    <m/>
    <m/>
    <n v="125724.52"/>
    <m/>
    <n v="125724.52"/>
    <n v="115830.45999999999"/>
    <n v="0"/>
    <n v="0"/>
    <n v="0"/>
    <n v="0"/>
    <n v="0"/>
    <n v="66234.629588380252"/>
    <n v="59461.3919999296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3198.74"/>
    <n v="52"/>
    <m/>
    <m/>
    <m/>
    <m/>
    <m/>
    <m/>
    <m/>
    <m/>
    <m/>
    <n v="0"/>
    <m/>
    <m/>
    <m/>
    <m/>
    <m/>
    <m/>
    <m/>
    <m/>
    <m/>
    <m/>
    <m/>
    <m/>
    <n v="115830.45999999999"/>
    <n v="-9894.0899999999965"/>
    <m/>
    <m/>
    <m/>
    <m/>
    <n v="-9894.0600000000013"/>
    <n v="0"/>
    <n v="31"/>
    <n v="2982.7192420681677"/>
    <n v="0"/>
    <n v="0"/>
    <n v="0"/>
    <n v="0"/>
    <m/>
    <m/>
    <m/>
    <n v="2982.71924206816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461.391999929649"/>
    <m/>
    <n v="0"/>
    <n v="0"/>
    <n v="-9894.0600000000122"/>
    <m/>
    <n v="0"/>
    <m/>
    <n v="-12855.232121590081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96"/>
    <s v="Sistema de Compensação"/>
    <s v="Verde"/>
    <s v="A4"/>
    <s v="Industrial"/>
    <s v="Não se aplica"/>
    <s v="Não se aplica"/>
    <s v="Não se aplica"/>
    <s v="Não se aplica"/>
    <s v="CATIVO"/>
    <x v="10"/>
    <n v="821"/>
    <n v="821"/>
    <n v="0"/>
    <n v="0"/>
    <n v="0"/>
    <n v="0"/>
    <n v="12.58"/>
    <m/>
    <m/>
    <n v="10328.18"/>
    <m/>
    <n v="10328.18"/>
    <n v="9515.39"/>
    <n v="0"/>
    <n v="0"/>
    <n v="0"/>
    <n v="0"/>
    <n v="0"/>
    <n v="5441.1277658655381"/>
    <n v="4884.7111098601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20.46"/>
    <n v="3"/>
    <m/>
    <m/>
    <m/>
    <m/>
    <m/>
    <m/>
    <m/>
    <m/>
    <m/>
    <n v="0"/>
    <m/>
    <m/>
    <m/>
    <m/>
    <m/>
    <m/>
    <m/>
    <m/>
    <m/>
    <m/>
    <m/>
    <m/>
    <n v="9515.39"/>
    <n v="-812.82000000000153"/>
    <m/>
    <m/>
    <m/>
    <m/>
    <n v="-812.79000000000019"/>
    <n v="0"/>
    <n v="31"/>
    <n v="245.02826673383697"/>
    <n v="0"/>
    <n v="0"/>
    <n v="0"/>
    <n v="0"/>
    <m/>
    <m/>
    <m/>
    <n v="245.028266733836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4.7111098601408"/>
    <m/>
    <n v="0"/>
    <n v="0"/>
    <n v="-812.79000000000087"/>
    <m/>
    <n v="0"/>
    <m/>
    <n v="-1056.04818609420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497"/>
    <s v="Regular"/>
    <s v="Convencional"/>
    <s v="B3"/>
    <s v="Comercial"/>
    <s v="Não se aplica"/>
    <s v="Não se aplica"/>
    <s v="Não se aplica"/>
    <s v="Não se aplica"/>
    <s v="CATIVO"/>
    <x v="10"/>
    <n v="0"/>
    <n v="0"/>
    <n v="499.46899999999999"/>
    <n v="499.46899999999999"/>
    <n v="499.46899999999999"/>
    <n v="499.46899999999999"/>
    <m/>
    <n v="239.69"/>
    <n v="171.61"/>
    <m/>
    <n v="205431.59969999999"/>
    <n v="205431.59969999999"/>
    <n v="204677.40151"/>
    <n v="0"/>
    <n v="30196.546830980853"/>
    <n v="0"/>
    <n v="0"/>
    <n v="0"/>
    <n v="26639.675101823454"/>
    <n v="44260.308704319301"/>
    <n v="82599.300135955389"/>
    <n v="3114.3674987792165"/>
    <n v="0"/>
    <n v="0"/>
    <n v="0"/>
    <n v="0"/>
    <n v="4669.0915418824607"/>
    <m/>
    <n v="197.81551978467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96.4551975640215"/>
    <n v="0"/>
    <n v="0"/>
    <n v="0"/>
    <n v="41876.86"/>
    <n v="568"/>
    <m/>
    <m/>
    <m/>
    <m/>
    <m/>
    <m/>
    <m/>
    <m/>
    <m/>
    <n v="90595.75533351941"/>
    <m/>
    <m/>
    <m/>
    <m/>
    <m/>
    <m/>
    <m/>
    <m/>
    <m/>
    <m/>
    <m/>
    <m/>
    <n v="204677.8113"/>
    <n v="-753.8183999999892"/>
    <m/>
    <m/>
    <m/>
    <m/>
    <n v="-11997.245380000006"/>
    <n v="11243.047189999996"/>
    <n v="31"/>
    <n v="8817.4474754375697"/>
    <n v="0"/>
    <n v="0"/>
    <n v="0"/>
    <n v="0"/>
    <n v="0"/>
    <n v="0"/>
    <n v="0"/>
    <n v="1199.6545013153336"/>
    <n v="0"/>
    <n v="0"/>
    <n v="11245.717676151602"/>
    <n v="0"/>
    <n v="0"/>
    <n v="0"/>
    <n v="1088.7002361253062"/>
    <n v="0"/>
    <n v="-4147.5788541377515"/>
    <m/>
    <n v="0"/>
    <n v="0"/>
    <n v="0"/>
    <n v="0"/>
    <n v="-538.08297066721661"/>
    <n v="-30.963113349701388"/>
    <n v="0"/>
    <n v="0"/>
    <m/>
    <m/>
    <m/>
    <n v="44260.308704319301"/>
    <n v="0"/>
    <n v="0"/>
    <n v="-11997.245379999993"/>
    <n v="11243.047189999997"/>
    <n v="0"/>
    <n v="0"/>
    <n v="-9568.8399317649964"/>
    <n v="0"/>
    <n v="0"/>
    <n v="0"/>
    <n v="0"/>
    <n v="0"/>
    <n v="0"/>
    <n v="0"/>
    <n v="0"/>
    <n v="0"/>
    <n v="0"/>
    <n v="0"/>
    <n v="0"/>
    <n v="5758.376401021795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98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9.2210000000000001"/>
    <n v="9.2210000000000001"/>
    <n v="9.2210000000000001"/>
    <n v="9.2210000000000001"/>
    <m/>
    <n v="239.69"/>
    <n v="171.61"/>
    <m/>
    <n v="3792.5973000000004"/>
    <n v="3792.5973000000004"/>
    <n v="3778.6735899999999"/>
    <n v="0"/>
    <n v="557.4767569728541"/>
    <n v="0"/>
    <n v="0"/>
    <n v="0"/>
    <n v="491.81119171342783"/>
    <n v="817.116390732014"/>
    <n v="1524.9157536376524"/>
    <n v="57.496226404928343"/>
    <n v="0"/>
    <n v="0"/>
    <n v="0"/>
    <n v="0"/>
    <n v="86.198929478502507"/>
    <m/>
    <n v="3.6519922316189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62740705977316"/>
    <n v="0"/>
    <n v="0"/>
    <n v="0"/>
    <n v="1358.07"/>
    <n v="10"/>
    <m/>
    <m/>
    <m/>
    <m/>
    <m/>
    <m/>
    <m/>
    <m/>
    <m/>
    <n v="1672.5431606974255"/>
    <m/>
    <m/>
    <m/>
    <m/>
    <m/>
    <m/>
    <m/>
    <m/>
    <m/>
    <m/>
    <m/>
    <m/>
    <n v="3778.2638000000002"/>
    <n v="-14.36350000000084"/>
    <m/>
    <m/>
    <m/>
    <m/>
    <n v="-221.4884200000001"/>
    <n v="207.56470999999991"/>
    <n v="31"/>
    <n v="162.78424320830663"/>
    <n v="0"/>
    <n v="0"/>
    <n v="0"/>
    <n v="0"/>
    <n v="0"/>
    <n v="0"/>
    <n v="0"/>
    <n v="22.14754901030625"/>
    <n v="0"/>
    <n v="0"/>
    <n v="207.61401146376238"/>
    <n v="0"/>
    <n v="0"/>
    <n v="0"/>
    <n v="20.099155057293757"/>
    <n v="0"/>
    <n v="-76.570967595594993"/>
    <m/>
    <n v="0"/>
    <n v="0"/>
    <n v="0"/>
    <n v="0"/>
    <n v="-9.9338759212731986"/>
    <n v="-0.571628806187364"/>
    <n v="0"/>
    <n v="0"/>
    <m/>
    <m/>
    <m/>
    <n v="817.116390732014"/>
    <n v="0"/>
    <n v="0"/>
    <n v="-221.48842000000013"/>
    <n v="207.56470999999988"/>
    <n v="0"/>
    <n v="0"/>
    <n v="-176.65615485806939"/>
    <n v="0"/>
    <n v="0"/>
    <n v="0"/>
    <n v="0"/>
    <n v="0"/>
    <n v="0"/>
    <n v="0"/>
    <n v="0"/>
    <n v="0"/>
    <n v="0"/>
    <n v="0"/>
    <n v="0"/>
    <n v="106.308877615671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499"/>
    <s v="Regular"/>
    <s v="Verde"/>
    <s v="A4"/>
    <s v="Comercial"/>
    <s v="Não se aplica"/>
    <s v="Não se aplica"/>
    <s v="Não se aplica"/>
    <s v="Ponta"/>
    <s v="CATIVO"/>
    <x v="10"/>
    <n v="0"/>
    <n v="0"/>
    <n v="9.0619999999999994"/>
    <n v="9.0619999999999994"/>
    <n v="9.0619999999999994"/>
    <n v="9.0619999999999994"/>
    <m/>
    <n v="984.21"/>
    <n v="171.61"/>
    <m/>
    <n v="10474.04084"/>
    <n v="10474.04084"/>
    <n v="9767.4766999999993"/>
    <n v="0"/>
    <n v="476.64172035230041"/>
    <n v="0"/>
    <n v="0"/>
    <n v="0"/>
    <n v="3567.7879258534135"/>
    <n v="4640.4881787627837"/>
    <n v="1498.6212514330773"/>
    <n v="56.504804650413256"/>
    <n v="0"/>
    <n v="0"/>
    <n v="0"/>
    <n v="0"/>
    <n v="84.712579864894224"/>
    <m/>
    <n v="2.3929160232505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014838789484273"/>
    <n v="0"/>
    <n v="0"/>
    <n v="0"/>
    <n v="0"/>
    <n v="0"/>
    <m/>
    <m/>
    <m/>
    <m/>
    <m/>
    <m/>
    <m/>
    <m/>
    <m/>
    <n v="1554.6360902225615"/>
    <m/>
    <m/>
    <m/>
    <m/>
    <m/>
    <m/>
    <m/>
    <m/>
    <m/>
    <m/>
    <m/>
    <m/>
    <n v="9765.3209999999999"/>
    <n v="-708.7498400000004"/>
    <m/>
    <m/>
    <m/>
    <m/>
    <n v="-910.54976000000011"/>
    <n v="203.9856199999999"/>
    <n v="31"/>
    <n v="296.72203963385982"/>
    <n v="0"/>
    <n v="0"/>
    <n v="0"/>
    <n v="0"/>
    <n v="0"/>
    <n v="0"/>
    <n v="0"/>
    <n v="160.66685605695329"/>
    <n v="0"/>
    <n v="0"/>
    <n v="204.03407134634153"/>
    <n v="0"/>
    <n v="0"/>
    <n v="0"/>
    <n v="7.6263002430387843"/>
    <n v="0"/>
    <n v="-65.468052734585115"/>
    <m/>
    <n v="0"/>
    <n v="0"/>
    <n v="0"/>
    <n v="0"/>
    <n v="-9.7625836241815165"/>
    <n v="-0.37455165370682586"/>
    <n v="0"/>
    <n v="0"/>
    <m/>
    <m/>
    <m/>
    <n v="4640.4881787627837"/>
    <n v="0"/>
    <n v="0"/>
    <n v="-910.54975999999988"/>
    <n v="203.98561999999993"/>
    <n v="0"/>
    <n v="0"/>
    <n v="-1003.2485061157149"/>
    <n v="0"/>
    <n v="0"/>
    <n v="0"/>
    <n v="0"/>
    <n v="0"/>
    <n v="0"/>
    <n v="0"/>
    <n v="0"/>
    <n v="0"/>
    <n v="0"/>
    <n v="0"/>
    <n v="0"/>
    <n v="90.89391742645017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00"/>
    <s v="Regular"/>
    <s v="Verde"/>
    <s v="A4"/>
    <s v="Comercial"/>
    <s v="Não se aplica"/>
    <s v="Não se aplica"/>
    <s v="Não se aplica"/>
    <s v="Fora ponta"/>
    <s v="CATIVO"/>
    <x v="10"/>
    <n v="0"/>
    <n v="0"/>
    <n v="102.93600000000001"/>
    <n v="102.93600000000001"/>
    <n v="102.93600000000001"/>
    <n v="102.93600000000001"/>
    <m/>
    <n v="78.42"/>
    <n v="171.61"/>
    <m/>
    <n v="25737.088080000001"/>
    <n v="25737.088080000001"/>
    <n v="27282.157440000003"/>
    <n v="0"/>
    <n v="5414.2123290867803"/>
    <n v="0"/>
    <n v="0"/>
    <n v="0"/>
    <n v="0"/>
    <n v="0"/>
    <n v="17022.961502705282"/>
    <n v="641.8427026588987"/>
    <n v="0"/>
    <n v="0"/>
    <n v="0"/>
    <n v="0"/>
    <n v="962.25713098353049"/>
    <m/>
    <n v="27.1813290409759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6.27714032601568"/>
    <n v="0"/>
    <n v="0"/>
    <n v="0"/>
    <n v="0"/>
    <n v="0"/>
    <m/>
    <m/>
    <m/>
    <m/>
    <m/>
    <m/>
    <m/>
    <m/>
    <m/>
    <n v="17659.238643031298"/>
    <m/>
    <m/>
    <m/>
    <m/>
    <m/>
    <m/>
    <m/>
    <m/>
    <m/>
    <m/>
    <m/>
    <m/>
    <n v="27283.2176"/>
    <n v="1546.0995199999961"/>
    <m/>
    <m/>
    <m/>
    <m/>
    <n v="-772.0200000000001"/>
    <n v="2317.089359999999"/>
    <n v="31"/>
    <n v="1545.4619705001642"/>
    <n v="0"/>
    <n v="0"/>
    <n v="0"/>
    <n v="0"/>
    <n v="0"/>
    <n v="0"/>
    <n v="0"/>
    <n v="0"/>
    <n v="0"/>
    <n v="0"/>
    <n v="2317.6397228103087"/>
    <n v="0"/>
    <n v="0"/>
    <n v="0"/>
    <n v="86.627768905036419"/>
    <n v="0"/>
    <n v="-743.65697156116221"/>
    <m/>
    <n v="0"/>
    <n v="0"/>
    <n v="0"/>
    <n v="0"/>
    <n v="-110.89398675113091"/>
    <n v="-4.2545629028874252"/>
    <n v="0"/>
    <n v="0"/>
    <m/>
    <m/>
    <m/>
    <n v="0"/>
    <n v="0"/>
    <n v="0"/>
    <n v="-772.01999999999953"/>
    <n v="2317.0893599999981"/>
    <n v="0"/>
    <n v="0"/>
    <n v="0"/>
    <n v="0"/>
    <n v="0"/>
    <n v="0"/>
    <n v="0"/>
    <n v="0"/>
    <n v="0"/>
    <n v="0"/>
    <n v="0"/>
    <n v="0"/>
    <n v="0"/>
    <n v="0"/>
    <n v="0"/>
    <n v="1032.471450475510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01"/>
    <s v="Regular"/>
    <s v="Verde"/>
    <s v="A4"/>
    <s v="Comercial"/>
    <s v="Não se aplica"/>
    <s v="Não se aplica"/>
    <s v="Não se aplica"/>
    <s v="Não se aplica"/>
    <s v="CATIVO"/>
    <x v="10"/>
    <n v="631"/>
    <n v="631"/>
    <n v="0"/>
    <n v="0"/>
    <n v="0"/>
    <n v="0"/>
    <n v="12.58"/>
    <m/>
    <m/>
    <n v="7937.9800000000005"/>
    <m/>
    <n v="7937.9800000000005"/>
    <n v="7313.29"/>
    <n v="0"/>
    <n v="0"/>
    <n v="0"/>
    <n v="0"/>
    <n v="0"/>
    <n v="4181.9142755921494"/>
    <n v="3754.266395032580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002.91"/>
    <n v="6"/>
    <m/>
    <m/>
    <m/>
    <m/>
    <m/>
    <m/>
    <m/>
    <m/>
    <m/>
    <n v="0"/>
    <m/>
    <m/>
    <m/>
    <m/>
    <m/>
    <m/>
    <m/>
    <m/>
    <m/>
    <m/>
    <m/>
    <m/>
    <n v="7313.29"/>
    <n v="-624.72000000000116"/>
    <m/>
    <m/>
    <m/>
    <m/>
    <n v="-624.69000000000017"/>
    <n v="0"/>
    <n v="31"/>
    <n v="188.32257772113462"/>
    <n v="0"/>
    <n v="0"/>
    <n v="0"/>
    <n v="0"/>
    <m/>
    <m/>
    <m/>
    <n v="188.322577721134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54.2663950325805"/>
    <m/>
    <n v="0"/>
    <n v="0"/>
    <n v="-624.69000000000051"/>
    <m/>
    <n v="0"/>
    <m/>
    <n v="-811.6521381552274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02"/>
    <s v="Regular"/>
    <s v="Convencional"/>
    <s v="B2"/>
    <s v="Rural"/>
    <s v="Não se aplica"/>
    <s v="Não se aplica"/>
    <s v="Não se aplica"/>
    <s v="Não se aplica"/>
    <s v="CATIVO"/>
    <x v="10"/>
    <n v="0"/>
    <n v="0"/>
    <n v="505.26299999999998"/>
    <n v="505.26299999999998"/>
    <n v="505.26299999999998"/>
    <n v="505.26299999999998"/>
    <m/>
    <n v="239.69"/>
    <n v="171.61"/>
    <m/>
    <n v="207814.67190000002"/>
    <n v="207814.67190000002"/>
    <n v="207051.72476999997"/>
    <n v="0"/>
    <n v="30546.836423205201"/>
    <n v="0"/>
    <n v="0"/>
    <n v="0"/>
    <n v="26948.703845429092"/>
    <n v="44773.742428199716"/>
    <n v="83557.478411259202"/>
    <n v="3150.4951569280242"/>
    <n v="0"/>
    <n v="0"/>
    <n v="0"/>
    <n v="0"/>
    <n v="4723.2544957267764"/>
    <m/>
    <n v="200.11024302402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89.2166330378668"/>
    <n v="0"/>
    <n v="0"/>
    <n v="0"/>
    <n v="35477.25"/>
    <n v="702"/>
    <m/>
    <m/>
    <m/>
    <m/>
    <m/>
    <n v="24843.781709999992"/>
    <m/>
    <m/>
    <m/>
    <n v="91646.69504429707"/>
    <m/>
    <m/>
    <m/>
    <m/>
    <m/>
    <m/>
    <m/>
    <m/>
    <m/>
    <m/>
    <m/>
    <m/>
    <n v="182206.86119999998"/>
    <n v="-673.11165000000619"/>
    <m/>
    <m/>
    <m/>
    <m/>
    <n v="-12136.417260000004"/>
    <n v="11373.470129999994"/>
    <n v="31"/>
    <n v="8919.7326836741122"/>
    <n v="0"/>
    <n v="0"/>
    <n v="0"/>
    <n v="0"/>
    <n v="0"/>
    <n v="0"/>
    <n v="0"/>
    <n v="1213.5708768674122"/>
    <n v="0"/>
    <n v="0"/>
    <n v="11376.1715946443"/>
    <n v="0"/>
    <n v="0"/>
    <n v="0"/>
    <n v="1101.3295067469271"/>
    <n v="0"/>
    <n v="-4195.6920941604039"/>
    <m/>
    <n v="0"/>
    <n v="0"/>
    <n v="0"/>
    <n v="0"/>
    <n v="-544.32490506563863"/>
    <n v="-31.322295358491061"/>
    <n v="0"/>
    <n v="0"/>
    <m/>
    <m/>
    <m/>
    <n v="44773.742428199716"/>
    <n v="0"/>
    <n v="0"/>
    <n v="-12136.417260000002"/>
    <n v="11373.470129999987"/>
    <n v="0"/>
    <n v="0"/>
    <n v="-9679.8415325943788"/>
    <n v="0"/>
    <n v="0"/>
    <n v="0"/>
    <n v="0"/>
    <n v="0"/>
    <n v="0"/>
    <n v="0"/>
    <n v="0"/>
    <n v="0"/>
    <n v="0"/>
    <n v="0"/>
    <n v="0"/>
    <n v="5825.175407301505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03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7.8949999999999996"/>
    <n v="7.8949999999999996"/>
    <n v="7.8949999999999996"/>
    <n v="7.8949999999999996"/>
    <m/>
    <n v="239.69"/>
    <n v="171.61"/>
    <m/>
    <n v="3247.2134999999998"/>
    <n v="3247.2134999999998"/>
    <n v="3235.29205"/>
    <n v="0"/>
    <n v="477.31037808271151"/>
    <n v="0"/>
    <n v="0"/>
    <n v="0"/>
    <n v="421.08766495797772"/>
    <n v="699.61326372728013"/>
    <n v="1305.6295277051584"/>
    <n v="49.228143093689326"/>
    <n v="0"/>
    <n v="0"/>
    <n v="0"/>
    <n v="0"/>
    <n v="73.803334587656138"/>
    <m/>
    <n v="3.126827748468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.39826252433674"/>
    <n v="0"/>
    <n v="0"/>
    <n v="0"/>
    <n v="2415.9899999999998"/>
    <n v="18"/>
    <m/>
    <m/>
    <m/>
    <m/>
    <m/>
    <n v="388.19714999999985"/>
    <m/>
    <m/>
    <m/>
    <n v="1432.0277902294952"/>
    <m/>
    <m/>
    <m/>
    <m/>
    <m/>
    <m/>
    <m/>
    <m/>
    <m/>
    <m/>
    <m/>
    <m/>
    <n v="2848.8980000000001"/>
    <n v="-8.7272499999999127"/>
    <m/>
    <m/>
    <m/>
    <m/>
    <n v="-189.63790000000006"/>
    <n v="177.71644999999992"/>
    <n v="31"/>
    <n v="139.37551243136159"/>
    <n v="0"/>
    <n v="0"/>
    <n v="0"/>
    <n v="0"/>
    <n v="0"/>
    <n v="0"/>
    <n v="0"/>
    <n v="18.962682945056713"/>
    <n v="0"/>
    <n v="0"/>
    <n v="177.758661805271"/>
    <n v="0"/>
    <n v="0"/>
    <n v="0"/>
    <n v="17.208852529805242"/>
    <n v="0"/>
    <n v="-65.559894715022494"/>
    <m/>
    <n v="0"/>
    <n v="0"/>
    <n v="0"/>
    <n v="0"/>
    <n v="-8.5053628021312164"/>
    <n v="-0.48942733161796337"/>
    <n v="0"/>
    <n v="0"/>
    <m/>
    <m/>
    <m/>
    <n v="699.61326372728013"/>
    <n v="0"/>
    <n v="0"/>
    <n v="-189.63789999999995"/>
    <n v="177.7164499999999"/>
    <n v="0"/>
    <n v="0"/>
    <n v="-151.25261279736014"/>
    <n v="0"/>
    <n v="0"/>
    <n v="0"/>
    <n v="0"/>
    <n v="0"/>
    <n v="0"/>
    <n v="0"/>
    <n v="0"/>
    <n v="0"/>
    <n v="0"/>
    <n v="0"/>
    <n v="0"/>
    <n v="91.02142812880694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04"/>
    <s v="Regular"/>
    <s v="Verde"/>
    <s v="A4"/>
    <s v="Rural"/>
    <s v="Não se aplica"/>
    <s v="Não se aplica"/>
    <s v="Não se aplica"/>
    <s v="Ponta"/>
    <s v="CATIVO"/>
    <x v="10"/>
    <n v="0"/>
    <n v="0"/>
    <n v="7.5860000000000003"/>
    <n v="7.2825600000000001"/>
    <n v="7.5860000000000003"/>
    <n v="7.2825600000000001"/>
    <m/>
    <n v="984.21"/>
    <n v="171.61"/>
    <m/>
    <n v="8768.0505200000007"/>
    <n v="8768.0505200000007"/>
    <n v="8176.5701000000008"/>
    <n v="0"/>
    <n v="399.00729315742126"/>
    <n v="0"/>
    <n v="0"/>
    <n v="0"/>
    <n v="2986.6739357232395"/>
    <n v="3884.6549684500642"/>
    <n v="1254.5288913453239"/>
    <n v="47.301417797178878"/>
    <n v="0"/>
    <n v="0"/>
    <n v="0"/>
    <n v="0"/>
    <n v="70.914768357436287"/>
    <m/>
    <n v="2.0031627623459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891256572172558"/>
    <n v="0"/>
    <n v="0"/>
    <n v="0"/>
    <n v="0"/>
    <n v="0"/>
    <m/>
    <m/>
    <m/>
    <m/>
    <m/>
    <n v="327.06280400000014"/>
    <m/>
    <m/>
    <m/>
    <n v="1301.4201479174965"/>
    <m/>
    <m/>
    <m/>
    <m/>
    <m/>
    <m/>
    <m/>
    <m/>
    <m/>
    <m/>
    <m/>
    <m/>
    <n v="7846.7479999999996"/>
    <n v="-570.61049920000187"/>
    <m/>
    <m/>
    <m/>
    <m/>
    <n v="-762.24128000000019"/>
    <n v="170.76085999999995"/>
    <n v="31"/>
    <n v="248.39256153856422"/>
    <n v="0"/>
    <n v="0"/>
    <n v="0"/>
    <n v="0"/>
    <n v="0"/>
    <n v="0"/>
    <n v="0"/>
    <n v="134.49776760627356"/>
    <n v="0"/>
    <n v="0"/>
    <n v="170.80141969028318"/>
    <n v="0"/>
    <n v="0"/>
    <n v="0"/>
    <n v="6.3841440789772932"/>
    <n v="0"/>
    <n v="-54.804750391145717"/>
    <m/>
    <n v="0"/>
    <n v="0"/>
    <n v="0"/>
    <n v="0"/>
    <n v="-8.172473998349254"/>
    <n v="-0.31354544747516888"/>
    <n v="0"/>
    <n v="0"/>
    <m/>
    <m/>
    <m/>
    <n v="3884.6549684500642"/>
    <n v="0"/>
    <n v="0"/>
    <n v="-762.24128000000019"/>
    <n v="170.76086000000009"/>
    <n v="0"/>
    <n v="0"/>
    <n v="-839.84144420589428"/>
    <n v="0"/>
    <n v="0"/>
    <n v="0"/>
    <n v="0"/>
    <n v="0"/>
    <n v="0"/>
    <n v="0"/>
    <n v="0"/>
    <n v="0"/>
    <n v="0"/>
    <n v="0"/>
    <n v="0"/>
    <n v="76.08930231704381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05"/>
    <s v="Sistema de Compensação"/>
    <s v="Verde"/>
    <s v="A4"/>
    <s v="Rural"/>
    <s v="Não se aplica"/>
    <s v="Não se aplica"/>
    <s v="Não se aplica"/>
    <s v="Ponta"/>
    <s v="CATIVO"/>
    <x v="10"/>
    <n v="0"/>
    <n v="0"/>
    <n v="1.4550000000000001"/>
    <n v="1.3968"/>
    <n v="1.4550000000000001"/>
    <n v="1.3968"/>
    <m/>
    <n v="984.21"/>
    <n v="171.61"/>
    <m/>
    <n v="1681.7181"/>
    <n v="1681.7181"/>
    <n v="1568.2717500000001"/>
    <n v="0"/>
    <n v="76.529872336415494"/>
    <n v="0"/>
    <n v="0"/>
    <n v="0"/>
    <n v="572.8461081567774"/>
    <n v="745.07948577575053"/>
    <n v="240.61950130601718"/>
    <n v="9.0724443573550317"/>
    <n v="0"/>
    <n v="0"/>
    <n v="0"/>
    <n v="0"/>
    <n v="13.601501181132322"/>
    <m/>
    <n v="0.38420799093242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937751532442753"/>
    <n v="0"/>
    <n v="0"/>
    <n v="0"/>
    <n v="0"/>
    <n v="0"/>
    <m/>
    <m/>
    <m/>
    <m/>
    <m/>
    <n v="62.730870000000031"/>
    <m/>
    <m/>
    <m/>
    <n v="249.61327645926147"/>
    <m/>
    <m/>
    <m/>
    <m/>
    <m/>
    <m/>
    <m/>
    <m/>
    <m/>
    <m/>
    <m/>
    <m/>
    <n v="1508.99"/>
    <n v="-105.48937600000022"/>
    <m/>
    <m/>
    <m/>
    <m/>
    <n v="-146.19840000000002"/>
    <n v="32.75204999999999"/>
    <n v="31"/>
    <n v="47.641863569550651"/>
    <n v="0"/>
    <n v="0"/>
    <n v="0"/>
    <n v="0"/>
    <n v="0"/>
    <n v="0"/>
    <n v="0"/>
    <n v="25.796764021503805"/>
    <n v="0"/>
    <n v="0"/>
    <n v="32.759829376398898"/>
    <n v="0"/>
    <n v="0"/>
    <n v="0"/>
    <n v="1.2244832105077723"/>
    <n v="0"/>
    <n v="-10.511588692211575"/>
    <m/>
    <n v="0"/>
    <n v="0"/>
    <n v="0"/>
    <n v="0"/>
    <n v="-1.567486114895619"/>
    <n v="-6.0138231752751237E-2"/>
    <n v="0"/>
    <n v="0"/>
    <m/>
    <m/>
    <m/>
    <n v="745.07948577575053"/>
    <n v="0"/>
    <n v="0"/>
    <n v="-146.19839999999999"/>
    <n v="32.752049999999997"/>
    <n v="0"/>
    <n v="0"/>
    <n v="-161.08216468752653"/>
    <n v="0"/>
    <n v="0"/>
    <n v="0"/>
    <n v="0"/>
    <n v="0"/>
    <n v="0"/>
    <n v="0"/>
    <n v="0"/>
    <n v="0"/>
    <n v="0"/>
    <n v="0"/>
    <n v="0"/>
    <n v="14.59398034158960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06"/>
    <s v="Regular"/>
    <s v="Verde"/>
    <s v="A4"/>
    <s v="Rural"/>
    <s v="Não se aplica"/>
    <s v="Não se aplica"/>
    <s v="Não se aplica"/>
    <s v="Fora ponta"/>
    <s v="CATIVO"/>
    <x v="10"/>
    <n v="0"/>
    <n v="0"/>
    <n v="140.107"/>
    <n v="134.50272000000001"/>
    <n v="140.107"/>
    <n v="134.50272000000001"/>
    <m/>
    <n v="78.42"/>
    <n v="171.61"/>
    <m/>
    <n v="35030.953210000007"/>
    <n v="35030.953210000007"/>
    <n v="37133.959280000003"/>
    <n v="0"/>
    <n v="7369.3270264179828"/>
    <n v="0"/>
    <n v="0"/>
    <n v="0"/>
    <n v="0"/>
    <n v="0"/>
    <n v="23170.086920606285"/>
    <n v="873.6171557222965"/>
    <n v="0"/>
    <n v="0"/>
    <n v="0"/>
    <n v="0"/>
    <n v="1309.7357566906571"/>
    <m/>
    <n v="36.996720952281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6.04182501415505"/>
    <n v="0"/>
    <n v="0"/>
    <n v="0"/>
    <n v="0"/>
    <n v="0"/>
    <m/>
    <m/>
    <m/>
    <m/>
    <m/>
    <n v="1485.358371199997"/>
    <m/>
    <m/>
    <m/>
    <n v="24036.128745620441"/>
    <m/>
    <m/>
    <m/>
    <m/>
    <m/>
    <m/>
    <m/>
    <m/>
    <m/>
    <m/>
    <m/>
    <m/>
    <n v="35647.879999999997"/>
    <n v="2018.1349183999919"/>
    <m/>
    <m/>
    <m/>
    <m/>
    <n v="-1050.8025"/>
    <n v="3153.8085699999988"/>
    <n v="31"/>
    <n v="2103.5404552427426"/>
    <n v="0"/>
    <n v="0"/>
    <n v="0"/>
    <n v="0"/>
    <n v="0"/>
    <n v="0"/>
    <n v="0"/>
    <n v="0"/>
    <n v="0"/>
    <n v="0"/>
    <n v="3154.5576731540386"/>
    <n v="0"/>
    <n v="0"/>
    <n v="0"/>
    <n v="117.90973826433856"/>
    <n v="0"/>
    <n v="-1012.1973586939439"/>
    <m/>
    <n v="0"/>
    <n v="0"/>
    <n v="0"/>
    <n v="0"/>
    <n v="-150.93867841902443"/>
    <n v="-5.7909190626685358"/>
    <n v="0"/>
    <n v="0"/>
    <m/>
    <m/>
    <m/>
    <n v="0"/>
    <n v="0"/>
    <n v="0"/>
    <n v="-1050.8024999999998"/>
    <n v="3153.8085699999974"/>
    <n v="0"/>
    <n v="0"/>
    <n v="0"/>
    <n v="0"/>
    <n v="0"/>
    <n v="0"/>
    <n v="0"/>
    <n v="0"/>
    <n v="0"/>
    <n v="0"/>
    <n v="0"/>
    <n v="0"/>
    <n v="0"/>
    <n v="0"/>
    <n v="0"/>
    <n v="1405.305019738209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07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16.100000000000001"/>
    <n v="15.456000000000001"/>
    <n v="16.100000000000001"/>
    <n v="15.456000000000001"/>
    <m/>
    <n v="78.42"/>
    <n v="171.61"/>
    <m/>
    <n v="4025.4830000000002"/>
    <n v="4025.4830000000002"/>
    <n v="4267.1440000000002"/>
    <n v="0"/>
    <n v="846.82539148885871"/>
    <n v="0"/>
    <n v="0"/>
    <n v="0"/>
    <n v="0"/>
    <n v="0"/>
    <n v="2662.5250659978533"/>
    <n v="100.38924684083575"/>
    <n v="0"/>
    <n v="0"/>
    <n v="0"/>
    <n v="0"/>
    <n v="150.50458351630957"/>
    <m/>
    <n v="4.2513736453690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518749118373094"/>
    <n v="0"/>
    <n v="0"/>
    <n v="0"/>
    <n v="0"/>
    <n v="0"/>
    <m/>
    <m/>
    <m/>
    <m/>
    <m/>
    <n v="170.68576000000002"/>
    <m/>
    <m/>
    <m/>
    <n v="2762.0438151162266"/>
    <m/>
    <m/>
    <m/>
    <m/>
    <m/>
    <m/>
    <m/>
    <m/>
    <m/>
    <m/>
    <m/>
    <m/>
    <n v="4097.5184000000008"/>
    <n v="233.02472000000034"/>
    <m/>
    <m/>
    <m/>
    <m/>
    <n v="-120.75000000000001"/>
    <n v="362.41099999999989"/>
    <n v="31"/>
    <n v="241.72240737013954"/>
    <n v="0"/>
    <n v="0"/>
    <n v="0"/>
    <n v="0"/>
    <n v="0"/>
    <n v="0"/>
    <n v="0"/>
    <n v="0"/>
    <n v="0"/>
    <n v="0"/>
    <n v="362.49708107218066"/>
    <n v="0"/>
    <n v="0"/>
    <n v="0"/>
    <n v="13.549264391185659"/>
    <n v="0"/>
    <n v="-116.31379927464354"/>
    <m/>
    <n v="0"/>
    <n v="0"/>
    <n v="0"/>
    <n v="0"/>
    <n v="-17.344691718088995"/>
    <n v="-0.66544710049436029"/>
    <n v="0"/>
    <n v="0"/>
    <m/>
    <m/>
    <m/>
    <n v="0"/>
    <n v="0"/>
    <n v="0"/>
    <n v="-120.75"/>
    <n v="362.41100000000006"/>
    <n v="0"/>
    <n v="0"/>
    <n v="0"/>
    <n v="0"/>
    <n v="0"/>
    <n v="0"/>
    <n v="0"/>
    <n v="0"/>
    <n v="0"/>
    <n v="0"/>
    <n v="0"/>
    <n v="0"/>
    <n v="0"/>
    <n v="0"/>
    <n v="0"/>
    <n v="161.4866553261805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08"/>
    <s v="Regular"/>
    <s v="Verde"/>
    <s v="A4"/>
    <s v="Rural"/>
    <s v="Não se aplica"/>
    <s v="Não se aplica"/>
    <s v="Não se aplica"/>
    <s v="Não se aplica"/>
    <s v="CATIVO"/>
    <x v="10"/>
    <n v="941"/>
    <n v="903.36"/>
    <n v="0"/>
    <n v="0"/>
    <n v="0"/>
    <n v="0"/>
    <n v="12.58"/>
    <m/>
    <m/>
    <n v="11837.78"/>
    <m/>
    <n v="11837.78"/>
    <n v="10906.19"/>
    <n v="0"/>
    <n v="0"/>
    <n v="0"/>
    <n v="0"/>
    <n v="0"/>
    <n v="6236.4204965645204"/>
    <n v="5598.676192909125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485.26"/>
    <n v="10"/>
    <m/>
    <m/>
    <m/>
    <m/>
    <m/>
    <n v="436.24759999999986"/>
    <m/>
    <m/>
    <m/>
    <n v="0"/>
    <m/>
    <m/>
    <m/>
    <m/>
    <m/>
    <m/>
    <m/>
    <m/>
    <m/>
    <m/>
    <m/>
    <m/>
    <n v="10469.9424"/>
    <n v="-894.35640000000058"/>
    <m/>
    <m/>
    <m/>
    <m/>
    <n v="-931.59000000000015"/>
    <n v="0"/>
    <n v="31"/>
    <n v="280.84238611028104"/>
    <n v="0"/>
    <n v="0"/>
    <n v="0"/>
    <n v="0"/>
    <m/>
    <m/>
    <m/>
    <n v="280.842386110281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98.6761929091253"/>
    <m/>
    <n v="0"/>
    <n v="0"/>
    <n v="-931.59000000000015"/>
    <m/>
    <n v="0"/>
    <m/>
    <n v="-1210.4035847925024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09"/>
    <s v="Sistema de Compensação"/>
    <s v="Verde"/>
    <s v="A4"/>
    <s v="Rural"/>
    <s v="Não se aplica"/>
    <s v="Não se aplica"/>
    <s v="Não se aplica"/>
    <s v="Não se aplica"/>
    <s v="CATIVO"/>
    <x v="10"/>
    <n v="136"/>
    <n v="130.56"/>
    <n v="0"/>
    <n v="0"/>
    <n v="0"/>
    <n v="0"/>
    <n v="12.58"/>
    <m/>
    <m/>
    <n v="1710.88"/>
    <m/>
    <n v="1710.88"/>
    <n v="1576.24"/>
    <n v="0"/>
    <n v="0"/>
    <n v="0"/>
    <n v="0"/>
    <n v="0"/>
    <n v="901.3317614588467"/>
    <n v="809.160427455516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47.71"/>
    <n v="1"/>
    <m/>
    <m/>
    <m/>
    <m/>
    <m/>
    <n v="63.04959999999997"/>
    <m/>
    <m/>
    <m/>
    <n v="0"/>
    <m/>
    <m/>
    <m/>
    <m/>
    <m/>
    <m/>
    <m/>
    <m/>
    <m/>
    <m/>
    <m/>
    <m/>
    <n v="1513.1904"/>
    <n v="-129.28440000000001"/>
    <m/>
    <m/>
    <m/>
    <m/>
    <n v="-134.64000000000004"/>
    <n v="0"/>
    <n v="31"/>
    <n v="40.589335293303179"/>
    <n v="0"/>
    <n v="0"/>
    <n v="0"/>
    <n v="0"/>
    <m/>
    <m/>
    <m/>
    <n v="40.5893352933031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809.16042745551658"/>
    <m/>
    <n v="0"/>
    <n v="0"/>
    <n v="-134.6400000000001"/>
    <m/>
    <n v="0"/>
    <m/>
    <n v="-174.9361185247399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10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35.94"/>
    <n v="35.94"/>
    <n v="35.94"/>
    <n v="35.94"/>
    <m/>
    <n v="239.69"/>
    <n v="171.61"/>
    <m/>
    <n v="14782.121999999999"/>
    <n v="14782.121999999999"/>
    <n v="14727.852599999998"/>
    <n v="0"/>
    <n v="2172.8353373391578"/>
    <n v="0"/>
    <n v="0"/>
    <n v="0"/>
    <n v="1916.8955894350497"/>
    <n v="3184.8132613500252"/>
    <n v="5943.549743600176"/>
    <n v="224.0987286620892"/>
    <n v="0"/>
    <n v="0"/>
    <n v="0"/>
    <n v="0"/>
    <n v="335.97110134013445"/>
    <m/>
    <n v="14.23409617225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5.39627044010922"/>
    <n v="0"/>
    <n v="0"/>
    <n v="0"/>
    <n v="2835.01"/>
    <n v="44"/>
    <m/>
    <m/>
    <m/>
    <m/>
    <m/>
    <m/>
    <m/>
    <m/>
    <m/>
    <n v="6518.9460140402853"/>
    <m/>
    <m/>
    <m/>
    <m/>
    <m/>
    <m/>
    <m/>
    <m/>
    <m/>
    <m/>
    <m/>
    <m/>
    <n v="14727.852599999998"/>
    <n v="-54.299400000001697"/>
    <m/>
    <m/>
    <m/>
    <m/>
    <n v="-863.27880000000027"/>
    <n v="809.00939999999957"/>
    <n v="31"/>
    <n v="634.47193372807487"/>
    <n v="0"/>
    <n v="0"/>
    <n v="0"/>
    <n v="0"/>
    <n v="0"/>
    <n v="0"/>
    <n v="0"/>
    <n v="86.322840411062771"/>
    <n v="0"/>
    <n v="0"/>
    <n v="809.20155861702915"/>
    <n v="0"/>
    <n v="0"/>
    <n v="0"/>
    <n v="78.338968957720112"/>
    <n v="0"/>
    <n v="-298.44491653678369"/>
    <m/>
    <n v="0"/>
    <n v="0"/>
    <n v="0"/>
    <n v="0"/>
    <n v="-38.718523002988718"/>
    <n v="-2.2279947179670163"/>
    <n v="0"/>
    <n v="0"/>
    <m/>
    <m/>
    <m/>
    <n v="3184.8132613500252"/>
    <n v="0"/>
    <n v="0"/>
    <n v="-863.27880000000096"/>
    <n v="809.009399999999"/>
    <n v="0"/>
    <n v="0"/>
    <n v="-688.53944318392951"/>
    <n v="0"/>
    <n v="0"/>
    <n v="0"/>
    <n v="0"/>
    <n v="0"/>
    <n v="0"/>
    <n v="0"/>
    <n v="0"/>
    <n v="0"/>
    <n v="0"/>
    <n v="0"/>
    <n v="0"/>
    <n v="414.3521376756582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11"/>
    <s v="Regular"/>
    <s v="Verde"/>
    <s v="A4"/>
    <s v="Poder público"/>
    <s v="Não se aplica"/>
    <s v="Não se aplica"/>
    <s v="Não se aplica"/>
    <s v="Ponta"/>
    <s v="CATIVO"/>
    <x v="10"/>
    <n v="0"/>
    <n v="0"/>
    <n v="0.88"/>
    <n v="0.88"/>
    <n v="0.88"/>
    <n v="0.88"/>
    <m/>
    <n v="984.21"/>
    <n v="171.61"/>
    <m/>
    <n v="1017.1216000000001"/>
    <n v="1017.1216000000001"/>
    <n v="948.50800000000004"/>
    <n v="0"/>
    <n v="46.286108354670532"/>
    <n v="0"/>
    <n v="0"/>
    <n v="0"/>
    <n v="346.46362555186539"/>
    <n v="450.63226631110683"/>
    <n v="145.5293203775224"/>
    <n v="5.4871141130394694"/>
    <n v="0"/>
    <n v="0"/>
    <n v="0"/>
    <n v="0"/>
    <n v="8.2263374841212666"/>
    <m/>
    <n v="0.232373217883527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3953411330238"/>
    <n v="0"/>
    <n v="0"/>
    <n v="0"/>
    <n v="0"/>
    <n v="0"/>
    <m/>
    <m/>
    <m/>
    <m/>
    <m/>
    <m/>
    <m/>
    <m/>
    <m/>
    <n v="150.96885449082478"/>
    <m/>
    <m/>
    <m/>
    <m/>
    <m/>
    <m/>
    <m/>
    <m/>
    <m/>
    <m/>
    <m/>
    <m/>
    <n v="948.50800000000004"/>
    <n v="-68.643599999999992"/>
    <m/>
    <m/>
    <m/>
    <m/>
    <n v="-88.42240000000001"/>
    <n v="19.808799999999991"/>
    <n v="31"/>
    <n v="28.814322983645866"/>
    <n v="0"/>
    <n v="0"/>
    <n v="0"/>
    <n v="0"/>
    <n v="0"/>
    <n v="0"/>
    <n v="0"/>
    <n v="15.602166555961048"/>
    <n v="0"/>
    <n v="0"/>
    <n v="19.813505052392486"/>
    <n v="0"/>
    <n v="0"/>
    <n v="0"/>
    <n v="0.74058091082256983"/>
    <n v="0"/>
    <n v="-6.3575244324028759"/>
    <m/>
    <n v="0"/>
    <n v="0"/>
    <n v="0"/>
    <n v="0"/>
    <n v="-0.94803283924958404"/>
    <n v="-3.6372263877952643E-2"/>
    <n v="0"/>
    <n v="0"/>
    <m/>
    <m/>
    <m/>
    <n v="450.63226631110683"/>
    <n v="0"/>
    <n v="0"/>
    <n v="-88.422400000000039"/>
    <n v="19.808799999999991"/>
    <n v="0"/>
    <n v="0"/>
    <n v="-97.424264553280636"/>
    <n v="0"/>
    <n v="0"/>
    <n v="0"/>
    <n v="0"/>
    <n v="0"/>
    <n v="0"/>
    <n v="0"/>
    <n v="0"/>
    <n v="0"/>
    <n v="0"/>
    <n v="0"/>
    <n v="0"/>
    <n v="8.826599794226016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12"/>
    <s v="Regular"/>
    <s v="Verde"/>
    <s v="A4"/>
    <s v="Poder público"/>
    <s v="Não se aplica"/>
    <s v="Não se aplica"/>
    <s v="Não se aplica"/>
    <s v="Fora ponta"/>
    <s v="CATIVO"/>
    <x v="10"/>
    <n v="0"/>
    <n v="0"/>
    <n v="7.1269999999999998"/>
    <n v="7.1269999999999998"/>
    <n v="7.1269999999999998"/>
    <n v="7.1269999999999998"/>
    <m/>
    <n v="78.42"/>
    <n v="171.61"/>
    <m/>
    <n v="1781.96381"/>
    <n v="1781.96381"/>
    <n v="1888.9400800000001"/>
    <n v="0"/>
    <n v="374.86487982242829"/>
    <n v="0"/>
    <n v="0"/>
    <n v="0"/>
    <n v="0"/>
    <n v="0"/>
    <n v="1178.6221208302297"/>
    <n v="44.439388958673064"/>
    <n v="0"/>
    <n v="0"/>
    <n v="0"/>
    <n v="0"/>
    <n v="66.623985510604854"/>
    <m/>
    <n v="1.88195900438170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054045028984156"/>
    <n v="0"/>
    <n v="0"/>
    <n v="0"/>
    <n v="0"/>
    <n v="0"/>
    <m/>
    <m/>
    <m/>
    <m/>
    <m/>
    <m/>
    <m/>
    <m/>
    <m/>
    <n v="1222.6761658592138"/>
    <m/>
    <m/>
    <m/>
    <m/>
    <m/>
    <m/>
    <m/>
    <m/>
    <m/>
    <m/>
    <m/>
    <m/>
    <n v="1889.7352000000001"/>
    <n v="107.74139000000014"/>
    <m/>
    <m/>
    <m/>
    <m/>
    <n v="-53.452500000000001"/>
    <n v="160.42876999999993"/>
    <n v="31"/>
    <n v="107.00345325012313"/>
    <n v="0"/>
    <n v="0"/>
    <n v="0"/>
    <n v="0"/>
    <n v="0"/>
    <n v="0"/>
    <n v="0"/>
    <n v="0"/>
    <n v="0"/>
    <n v="0"/>
    <n v="160.46687557772862"/>
    <n v="0"/>
    <n v="0"/>
    <n v="0"/>
    <n v="5.9978638084459774"/>
    <n v="0"/>
    <n v="-51.488723442881053"/>
    <m/>
    <n v="0"/>
    <n v="0"/>
    <n v="0"/>
    <n v="0"/>
    <n v="-7.6779886878770327"/>
    <n v="-0.29457400529337319"/>
    <n v="0"/>
    <n v="0"/>
    <m/>
    <m/>
    <m/>
    <n v="0"/>
    <n v="0"/>
    <n v="0"/>
    <n v="-53.45249999999993"/>
    <n v="160.42876999999999"/>
    <n v="0"/>
    <n v="0"/>
    <n v="0"/>
    <n v="0"/>
    <n v="0"/>
    <n v="0"/>
    <n v="0"/>
    <n v="0"/>
    <n v="0"/>
    <n v="0"/>
    <n v="0"/>
    <n v="0"/>
    <n v="0"/>
    <n v="0"/>
    <n v="0"/>
    <n v="71.48542810619183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13"/>
    <s v="Regular"/>
    <s v="Verde"/>
    <s v="A4"/>
    <s v="Poder público"/>
    <s v="Não se aplica"/>
    <s v="Não se aplica"/>
    <s v="Não se aplica"/>
    <s v="Não se aplica"/>
    <s v="CATIVO"/>
    <x v="10"/>
    <n v="155"/>
    <n v="155"/>
    <n v="0"/>
    <n v="0"/>
    <n v="0"/>
    <n v="0"/>
    <n v="12.58"/>
    <m/>
    <m/>
    <n v="1949.9"/>
    <m/>
    <n v="1949.9"/>
    <n v="1796.45"/>
    <n v="0"/>
    <n v="0"/>
    <n v="0"/>
    <n v="0"/>
    <n v="0"/>
    <n v="1027.2531104861855"/>
    <n v="922.20489893827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6.15"/>
    <n v="3"/>
    <m/>
    <m/>
    <m/>
    <m/>
    <m/>
    <m/>
    <m/>
    <m/>
    <m/>
    <n v="0"/>
    <m/>
    <m/>
    <m/>
    <m/>
    <m/>
    <m/>
    <m/>
    <m/>
    <m/>
    <m/>
    <m/>
    <m/>
    <n v="1796.45"/>
    <n v="-153.48000000000002"/>
    <m/>
    <m/>
    <m/>
    <m/>
    <n v="-153.45000000000005"/>
    <n v="0"/>
    <n v="31"/>
    <n v="46.259904194573437"/>
    <n v="0"/>
    <n v="0"/>
    <n v="0"/>
    <n v="0"/>
    <m/>
    <m/>
    <m/>
    <n v="46.2599041945734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2.20489893827255"/>
    <m/>
    <n v="0"/>
    <n v="0"/>
    <n v="-153.45000000000005"/>
    <m/>
    <n v="0"/>
    <m/>
    <n v="-199.3757233186374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14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105.77200000000001"/>
    <n v="105.77200000000001"/>
    <n v="105.77200000000001"/>
    <n v="105.77200000000001"/>
    <m/>
    <n v="131.83000000000001"/>
    <n v="94.39"/>
    <m/>
    <n v="23927.741840000002"/>
    <n v="23927.741840000002"/>
    <n v="23839.951079999999"/>
    <n v="0"/>
    <n v="3517.0792046625147"/>
    <n v="0"/>
    <n v="0"/>
    <n v="0"/>
    <n v="3102.8000600208202"/>
    <n v="5155.1262535818869"/>
    <n v="9620.5795468570723"/>
    <n v="362.73939622775691"/>
    <n v="0"/>
    <n v="0"/>
    <n v="0"/>
    <n v="0"/>
    <n v="543.8226052315465"/>
    <m/>
    <n v="23.0401461096996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1.37028031010368"/>
    <n v="0"/>
    <n v="0"/>
    <n v="0"/>
    <n v="4882.88"/>
    <n v="7"/>
    <m/>
    <m/>
    <m/>
    <m/>
    <m/>
    <m/>
    <m/>
    <m/>
    <m/>
    <n v="10551.949827167176"/>
    <m/>
    <m/>
    <m/>
    <m/>
    <m/>
    <m/>
    <m/>
    <m/>
    <m/>
    <m/>
    <m/>
    <m/>
    <n v="23839.5003"/>
    <n v="-88.271540000001551"/>
    <m/>
    <m/>
    <m/>
    <m/>
    <n v="-1397.2481200000009"/>
    <n v="1309.4573599999997"/>
    <n v="31"/>
    <n v="1026.993627041109"/>
    <n v="0"/>
    <n v="0"/>
    <n v="0"/>
    <n v="0"/>
    <n v="0"/>
    <n v="0"/>
    <n v="0"/>
    <n v="139.72723182463278"/>
    <n v="0"/>
    <n v="0"/>
    <n v="1309.8212852510478"/>
    <n v="0"/>
    <n v="0"/>
    <n v="0"/>
    <n v="126.80406743260596"/>
    <n v="0"/>
    <n v="-483.08051312077941"/>
    <m/>
    <n v="0"/>
    <n v="0"/>
    <n v="0"/>
    <n v="0"/>
    <n v="-62.672080920691883"/>
    <n v="-3.6063634257051582"/>
    <n v="0"/>
    <n v="0"/>
    <m/>
    <m/>
    <m/>
    <n v="5155.1262535818869"/>
    <n v="0"/>
    <n v="0"/>
    <n v="-1397.2481200000002"/>
    <n v="1309.4573599999985"/>
    <n v="0"/>
    <n v="0"/>
    <n v="-1114.5104811198544"/>
    <n v="0"/>
    <n v="0"/>
    <n v="0"/>
    <n v="0"/>
    <n v="0"/>
    <n v="0"/>
    <n v="0"/>
    <n v="0"/>
    <n v="0"/>
    <n v="0"/>
    <n v="0"/>
    <n v="0"/>
    <n v="670.6947653986164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15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32.04"/>
    <n v="30.117599999999999"/>
    <n v="32.04"/>
    <n v="30.117599999999999"/>
    <m/>
    <n v="239.69"/>
    <n v="171.61"/>
    <m/>
    <n v="13178.052"/>
    <n v="13178.052"/>
    <n v="13129.6716"/>
    <n v="0"/>
    <n v="1937.0518700152093"/>
    <n v="0"/>
    <n v="0"/>
    <n v="0"/>
    <n v="1708.8852166249026"/>
    <n v="2839.2158289831609"/>
    <n v="5298.5902555634293"/>
    <n v="199.78083657020974"/>
    <n v="0"/>
    <n v="0"/>
    <n v="0"/>
    <n v="0"/>
    <n v="299.51346930823343"/>
    <m/>
    <n v="12.689494751227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2.95761004176688"/>
    <n v="0"/>
    <n v="0"/>
    <n v="0"/>
    <n v="2689.2"/>
    <n v="40"/>
    <m/>
    <m/>
    <m/>
    <m/>
    <n v="787.78029599999991"/>
    <m/>
    <m/>
    <m/>
    <m/>
    <n v="5811.5478656051964"/>
    <m/>
    <m/>
    <m/>
    <m/>
    <m/>
    <m/>
    <m/>
    <m/>
    <m/>
    <m/>
    <m/>
    <m/>
    <n v="12342.8748"/>
    <n v="-44.524080000002868"/>
    <m/>
    <m/>
    <m/>
    <m/>
    <n v="-769.60080000000028"/>
    <n v="721.2203999999997"/>
    <n v="31"/>
    <n v="565.62272556058451"/>
    <n v="0"/>
    <n v="0"/>
    <n v="0"/>
    <n v="0"/>
    <n v="0"/>
    <n v="0"/>
    <n v="0"/>
    <n v="76.955587277975837"/>
    <n v="0"/>
    <n v="0"/>
    <n v="721.39170668028964"/>
    <n v="0"/>
    <n v="0"/>
    <n v="0"/>
    <n v="69.838079170989204"/>
    <n v="0"/>
    <n v="-266.05940806451167"/>
    <m/>
    <n v="0"/>
    <n v="0"/>
    <n v="0"/>
    <n v="0"/>
    <n v="-34.51701382904173"/>
    <n v="-1.986225675115838"/>
    <n v="0"/>
    <n v="0"/>
    <m/>
    <m/>
    <m/>
    <n v="2839.2158289831609"/>
    <n v="0"/>
    <n v="0"/>
    <n v="-769.60080000000016"/>
    <n v="721.22040000000015"/>
    <n v="0"/>
    <n v="0"/>
    <n v="-613.82314300537291"/>
    <n v="0"/>
    <n v="0"/>
    <n v="0"/>
    <n v="0"/>
    <n v="0"/>
    <n v="0"/>
    <n v="0"/>
    <n v="0"/>
    <n v="0"/>
    <n v="0"/>
    <n v="0"/>
    <n v="0"/>
    <n v="369.3890509495851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16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9.8490000000000002"/>
    <n v="9.8490000000000002"/>
    <n v="9.8490000000000002"/>
    <n v="9.8490000000000002"/>
    <m/>
    <n v="239.69"/>
    <n v="171.61"/>
    <m/>
    <n v="4050.8937000000005"/>
    <n v="4050.8937000000005"/>
    <n v="4036.02171"/>
    <n v="0"/>
    <n v="595.44394094194115"/>
    <n v="0"/>
    <n v="0"/>
    <n v="0"/>
    <n v="525.30619533516438"/>
    <n v="872.76643881570396"/>
    <n v="1628.7707686343388"/>
    <n v="61.412030567415606"/>
    <n v="0"/>
    <n v="0"/>
    <n v="0"/>
    <n v="0"/>
    <n v="92.069543046716319"/>
    <m/>
    <n v="3.9007126655693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68163237519857"/>
    <n v="0"/>
    <n v="0"/>
    <n v="0"/>
    <n v="826.66"/>
    <n v="4"/>
    <m/>
    <m/>
    <m/>
    <m/>
    <m/>
    <m/>
    <m/>
    <m/>
    <m/>
    <n v="1786.4524010095374"/>
    <m/>
    <m/>
    <m/>
    <m/>
    <m/>
    <m/>
    <m/>
    <m/>
    <m/>
    <m/>
    <m/>
    <m/>
    <n v="4036.4314999999997"/>
    <n v="-14.492200000001503"/>
    <m/>
    <m/>
    <m/>
    <m/>
    <n v="-236.57298000000011"/>
    <n v="221.7009899999999"/>
    <n v="31"/>
    <n v="173.87073108758432"/>
    <n v="0"/>
    <n v="0"/>
    <n v="0"/>
    <n v="0"/>
    <n v="0"/>
    <n v="0"/>
    <n v="0"/>
    <n v="23.655916950711116"/>
    <n v="0"/>
    <n v="0"/>
    <n v="221.75364916024273"/>
    <n v="0"/>
    <n v="0"/>
    <n v="0"/>
    <n v="21.468016284490403"/>
    <n v="0"/>
    <n v="-81.785864857283855"/>
    <m/>
    <n v="0"/>
    <n v="0"/>
    <n v="0"/>
    <n v="0"/>
    <n v="-10.610426629283126"/>
    <n v="-0.61055982129263064"/>
    <n v="0"/>
    <n v="0"/>
    <m/>
    <m/>
    <m/>
    <n v="872.76643881570396"/>
    <n v="0"/>
    <n v="0"/>
    <n v="-236.57298000000037"/>
    <n v="221.70098999999982"/>
    <n v="0"/>
    <n v="0"/>
    <n v="-188.68739498938578"/>
    <n v="0"/>
    <n v="0"/>
    <n v="0"/>
    <n v="0"/>
    <n v="0"/>
    <n v="0"/>
    <n v="0"/>
    <n v="0"/>
    <n v="0"/>
    <n v="0"/>
    <n v="0"/>
    <n v="0"/>
    <n v="113.5490874782292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17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291.3"/>
    <n v="2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518"/>
    <s v="Sistema de Compensaçã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4.0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519"/>
    <s v="Regular"/>
    <s v="Convencional"/>
    <s v="B2"/>
    <s v="Rural"/>
    <s v="Aquicultura"/>
    <s v="IRRIG./AQUIC."/>
    <s v="Não se aplica"/>
    <s v="Não se aplica"/>
    <s v="CATIVO"/>
    <x v="10"/>
    <n v="0"/>
    <n v="0"/>
    <n v="23.988"/>
    <n v="23.988"/>
    <n v="23.988"/>
    <n v="23.988"/>
    <m/>
    <n v="239.69"/>
    <n v="171.61"/>
    <m/>
    <n v="9866.2644"/>
    <n v="9866.2644"/>
    <n v="9830.0425199999991"/>
    <n v="0"/>
    <n v="1450.2496959402258"/>
    <n v="0"/>
    <n v="0"/>
    <n v="0"/>
    <n v="1279.4238007614908"/>
    <n v="2125.6900532349582"/>
    <n v="3966.9969741090995"/>
    <n v="149.57374243589862"/>
    <n v="0"/>
    <n v="0"/>
    <n v="0"/>
    <n v="0"/>
    <n v="224.24248132852381"/>
    <m/>
    <n v="9.50048689427131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4.04579118857379"/>
    <n v="0"/>
    <n v="0"/>
    <n v="0"/>
    <n v="0"/>
    <n v="0"/>
    <m/>
    <m/>
    <m/>
    <m/>
    <m/>
    <n v="1386.5063999999995"/>
    <m/>
    <m/>
    <m/>
    <n v="4351.0427652976732"/>
    <m/>
    <m/>
    <m/>
    <m/>
    <m/>
    <m/>
    <m/>
    <m/>
    <m/>
    <m/>
    <m/>
    <m/>
    <n v="8444.2400999999991"/>
    <n v="-8.2015800000026502"/>
    <m/>
    <m/>
    <m/>
    <m/>
    <n v="-576.19176000000027"/>
    <n v="539.96987999999976"/>
    <n v="31"/>
    <n v="423.47559115940203"/>
    <n v="0"/>
    <n v="0"/>
    <n v="0"/>
    <n v="0"/>
    <n v="0"/>
    <n v="0"/>
    <n v="0"/>
    <n v="57.615812347817609"/>
    <n v="0"/>
    <n v="0"/>
    <n v="540.0981354508981"/>
    <n v="0"/>
    <n v="0"/>
    <n v="0"/>
    <n v="52.287011334384772"/>
    <n v="0"/>
    <n v="-199.19578903406682"/>
    <m/>
    <n v="0"/>
    <n v="0"/>
    <n v="0"/>
    <n v="0"/>
    <n v="-25.842513349907989"/>
    <n v="-1.4870655897215581"/>
    <n v="0"/>
    <n v="0"/>
    <m/>
    <m/>
    <m/>
    <n v="2125.6900532349582"/>
    <n v="0"/>
    <n v="0"/>
    <n v="-576.19176000000061"/>
    <n v="539.96987999999965"/>
    <n v="0"/>
    <n v="0"/>
    <n v="-459.56272017518359"/>
    <n v="0"/>
    <n v="0"/>
    <n v="0"/>
    <n v="0"/>
    <n v="0"/>
    <n v="0"/>
    <n v="0"/>
    <n v="0"/>
    <n v="0"/>
    <n v="0"/>
    <n v="0"/>
    <n v="0"/>
    <n v="276.5575703551388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0"/>
    <s v="Sistema de Compensação"/>
    <s v="Convencional"/>
    <s v="B2"/>
    <s v="Rural"/>
    <s v="Aquicultura"/>
    <s v="IRRIG./AQUIC."/>
    <s v="Não se aplica"/>
    <s v="Não se aplica"/>
    <s v="CATIVO"/>
    <x v="10"/>
    <n v="0"/>
    <n v="0"/>
    <n v="0.1"/>
    <n v="0.1"/>
    <n v="0.1"/>
    <n v="0.1"/>
    <m/>
    <n v="239.69"/>
    <n v="171.61"/>
    <m/>
    <n v="41.13"/>
    <n v="41.13"/>
    <n v="40.978999999999999"/>
    <n v="0"/>
    <n v="6.0457299313832999"/>
    <n v="0"/>
    <n v="0"/>
    <n v="0"/>
    <n v="5.3335993028242905"/>
    <n v="8.8614726247913893"/>
    <n v="16.537422770173002"/>
    <n v="0.62353569466357606"/>
    <n v="0"/>
    <n v="0"/>
    <n v="0"/>
    <n v="0"/>
    <n v="0.9348110777410531"/>
    <m/>
    <n v="3.960516464178470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09912922651901"/>
    <n v="0"/>
    <n v="0"/>
    <n v="0"/>
    <n v="0"/>
    <n v="0"/>
    <m/>
    <m/>
    <m/>
    <m/>
    <m/>
    <n v="5.7799999999999985"/>
    <m/>
    <m/>
    <m/>
    <n v="18.138414062438191"/>
    <m/>
    <m/>
    <m/>
    <m/>
    <m/>
    <m/>
    <m/>
    <m/>
    <m/>
    <m/>
    <m/>
    <m/>
    <n v="35.198999999999998"/>
    <n v="-6.7000000000007276E-2"/>
    <m/>
    <m/>
    <m/>
    <m/>
    <n v="-2.402000000000001"/>
    <n v="2.250999999999999"/>
    <n v="31"/>
    <n v="1.7653643119868505"/>
    <n v="0"/>
    <n v="0"/>
    <n v="0"/>
    <n v="0"/>
    <n v="0"/>
    <n v="0"/>
    <n v="0"/>
    <n v="0.24018597777145967"/>
    <n v="0"/>
    <n v="0"/>
    <n v="2.2515346650445984"/>
    <n v="0"/>
    <n v="0"/>
    <n v="0"/>
    <n v="0.21797153299310001"/>
    <n v="0"/>
    <n v="-0.83039765313518021"/>
    <m/>
    <n v="0"/>
    <n v="0"/>
    <n v="0"/>
    <n v="0"/>
    <n v="-0.10773100446018002"/>
    <n v="-6.1992062269533091E-3"/>
    <n v="0"/>
    <n v="0"/>
    <m/>
    <m/>
    <m/>
    <n v="8.8614726247913893"/>
    <n v="0"/>
    <n v="0"/>
    <n v="-2.402000000000001"/>
    <n v="2.2510000000000012"/>
    <n v="0"/>
    <n v="0"/>
    <n v="-1.915802568680939"/>
    <n v="0"/>
    <n v="0"/>
    <n v="0"/>
    <n v="0"/>
    <n v="0"/>
    <n v="0"/>
    <n v="0"/>
    <n v="0"/>
    <n v="0"/>
    <n v="0"/>
    <n v="0"/>
    <n v="0"/>
    <n v="1.15289965964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1"/>
    <s v="Regular"/>
    <s v="Convencional"/>
    <s v="B2"/>
    <s v="Rural"/>
    <s v="Aquicultura"/>
    <s v="IRRIG./AQUIC. PR"/>
    <s v="Não se aplica"/>
    <s v="Não se aplica"/>
    <s v="CATIVO"/>
    <x v="10"/>
    <n v="0"/>
    <n v="0"/>
    <n v="41.313000000000002"/>
    <n v="16.525200000000002"/>
    <n v="41.313000000000002"/>
    <n v="16.525200000000002"/>
    <m/>
    <n v="239.69"/>
    <n v="171.61"/>
    <m/>
    <n v="16992.036900000003"/>
    <n v="16992.036900000003"/>
    <n v="16929.654269999999"/>
    <n v="0"/>
    <n v="2497.6724065523827"/>
    <n v="0"/>
    <n v="0"/>
    <n v="0"/>
    <n v="2203.4698799757994"/>
    <n v="3660.9401854800667"/>
    <n v="6832.1054690415722"/>
    <n v="257.60130153636317"/>
    <n v="0"/>
    <n v="0"/>
    <n v="0"/>
    <n v="0"/>
    <n v="386.1985005471613"/>
    <m/>
    <n v="16.362081668460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.41753257351797"/>
    <n v="0"/>
    <n v="0"/>
    <n v="0"/>
    <n v="0"/>
    <n v="0"/>
    <m/>
    <m/>
    <m/>
    <m/>
    <m/>
    <m/>
    <n v="11112.949122000002"/>
    <m/>
    <m/>
    <n v="7493.5230016150899"/>
    <m/>
    <m/>
    <m/>
    <m/>
    <m/>
    <m/>
    <m/>
    <m/>
    <m/>
    <m/>
    <m/>
    <m/>
    <n v="5818.3947000000007"/>
    <n v="-4.4547720000009576"/>
    <m/>
    <m/>
    <m/>
    <m/>
    <n v="-992.33826000000045"/>
    <n v="929.9556299999997"/>
    <n v="31"/>
    <n v="729.32495821112752"/>
    <n v="0"/>
    <n v="0"/>
    <n v="0"/>
    <n v="0"/>
    <n v="0"/>
    <n v="0"/>
    <n v="0"/>
    <n v="99.228032996722959"/>
    <n v="0"/>
    <n v="0"/>
    <n v="930.17651616987496"/>
    <n v="0"/>
    <n v="0"/>
    <n v="0"/>
    <n v="90.050579425439423"/>
    <n v="0"/>
    <n v="-343.06218243973672"/>
    <m/>
    <n v="0"/>
    <n v="0"/>
    <n v="0"/>
    <n v="0"/>
    <n v="-44.506909872634196"/>
    <n v="-2.5610780685412191"/>
    <n v="0"/>
    <n v="0"/>
    <m/>
    <m/>
    <m/>
    <n v="3660.9401854800667"/>
    <n v="0"/>
    <n v="0"/>
    <n v="-992.33826000000045"/>
    <n v="929.95562999999947"/>
    <n v="0"/>
    <n v="0"/>
    <n v="-791.47551519915623"/>
    <n v="0"/>
    <n v="0"/>
    <n v="0"/>
    <n v="0"/>
    <n v="0"/>
    <n v="0"/>
    <n v="0"/>
    <n v="0"/>
    <n v="0"/>
    <n v="0"/>
    <n v="0"/>
    <n v="0"/>
    <n v="476.2974363882713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2"/>
    <s v="Regular"/>
    <s v="Convencional"/>
    <s v="B1"/>
    <s v="Residencial"/>
    <s v="Residencial"/>
    <s v="Não se aplica"/>
    <s v="Não se aplica"/>
    <s v="Não se aplica"/>
    <s v="CATIVO"/>
    <x v="11"/>
    <n v="0"/>
    <n v="0"/>
    <n v="1287.624"/>
    <n v="1287.624"/>
    <n v="1287.624"/>
    <n v="1287.624"/>
    <m/>
    <n v="239.69"/>
    <n v="171.61"/>
    <m/>
    <n v="529599.75120000006"/>
    <n v="529599.75120000006"/>
    <n v="527655.43895999994"/>
    <n v="0"/>
    <n v="77846.2695716749"/>
    <n v="0"/>
    <n v="0"/>
    <n v="0"/>
    <n v="68676.704686998244"/>
    <n v="114102.44827024388"/>
    <n v="212939.8245702124"/>
    <n v="8028.7952530549246"/>
    <n v="0"/>
    <n v="0"/>
    <n v="0"/>
    <n v="0"/>
    <n v="12036.851791652458"/>
    <m/>
    <n v="509.965605167133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614.748117116731"/>
    <n v="0"/>
    <n v="0"/>
    <n v="0"/>
    <n v="90499.68"/>
    <n v="4681"/>
    <m/>
    <m/>
    <m/>
    <m/>
    <m/>
    <m/>
    <m/>
    <m/>
    <m/>
    <n v="233554.57268732914"/>
    <m/>
    <m/>
    <m/>
    <m/>
    <m/>
    <m/>
    <m/>
    <m/>
    <m/>
    <m/>
    <m/>
    <m/>
    <n v="527653.79979999992"/>
    <n v="-1945.9814000001643"/>
    <m/>
    <m/>
    <m/>
    <m/>
    <n v="-30928.728480000012"/>
    <n v="28984.416239999988"/>
    <n v="31"/>
    <n v="22731.254568577511"/>
    <n v="0"/>
    <n v="0"/>
    <n v="0"/>
    <n v="0"/>
    <n v="0"/>
    <n v="0"/>
    <n v="0"/>
    <n v="3092.692294419976"/>
    <n v="0"/>
    <n v="0"/>
    <n v="28991.30071543387"/>
    <n v="0"/>
    <n v="0"/>
    <n v="0"/>
    <n v="2806.6537719870721"/>
    <n v="0"/>
    <n v="-10692.399477205327"/>
    <m/>
    <n v="0"/>
    <n v="0"/>
    <n v="0"/>
    <n v="0"/>
    <n v="-1387.1702688703481"/>
    <n v="-79.82246718774519"/>
    <n v="0"/>
    <n v="0"/>
    <m/>
    <m/>
    <m/>
    <n v="114102.44827024388"/>
    <n v="0"/>
    <n v="0"/>
    <n v="-30928.728479999991"/>
    <n v="28984.416239999991"/>
    <n v="0"/>
    <n v="0"/>
    <n v="-24668.333666952269"/>
    <n v="0"/>
    <n v="0"/>
    <n v="0"/>
    <n v="0"/>
    <n v="0"/>
    <n v="0"/>
    <n v="0"/>
    <n v="0"/>
    <n v="0"/>
    <n v="0"/>
    <n v="0"/>
    <n v="0"/>
    <n v="14845.01271348029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3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0.26200000000000001"/>
    <n v="-0.26200000000000001"/>
    <n v="-0.26200000000000001"/>
    <n v="-0.26200000000000001"/>
    <m/>
    <n v="239.69"/>
    <n v="171.61"/>
    <m/>
    <n v="-107.76060000000001"/>
    <n v="-107.76060000000001"/>
    <n v="-107.36498"/>
    <n v="0"/>
    <n v="-15.839812420224247"/>
    <n v="0"/>
    <n v="0"/>
    <n v="0"/>
    <n v="-13.97403017339964"/>
    <n v="-23.217058276953441"/>
    <n v="-43.328047657853261"/>
    <n v="-1.6336635200185692"/>
    <n v="0"/>
    <n v="0"/>
    <n v="0"/>
    <n v="0"/>
    <n v="-2.449205023681559"/>
    <m/>
    <n v="-0.10376553136147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1945971857347981"/>
    <n v="0"/>
    <n v="0"/>
    <n v="0"/>
    <n v="-20.329999999999998"/>
    <n v="0"/>
    <m/>
    <m/>
    <m/>
    <m/>
    <m/>
    <m/>
    <m/>
    <m/>
    <m/>
    <n v="-47.522644843588061"/>
    <m/>
    <m/>
    <m/>
    <m/>
    <m/>
    <m/>
    <m/>
    <m/>
    <m/>
    <m/>
    <m/>
    <m/>
    <n v="-106.5454"/>
    <n v="1.1851999999999947"/>
    <m/>
    <m/>
    <m/>
    <m/>
    <n v="6.2932400000000026"/>
    <n v="-5.8976199999999981"/>
    <n v="31"/>
    <n v="-4.6252544974055354"/>
    <n v="0"/>
    <n v="0"/>
    <n v="0"/>
    <n v="0"/>
    <n v="0"/>
    <n v="0"/>
    <n v="0"/>
    <n v="-0.62928726176122574"/>
    <n v="0"/>
    <n v="0"/>
    <n v="-5.8990208224168512"/>
    <n v="0"/>
    <n v="0"/>
    <n v="0"/>
    <n v="-0.5710854164419219"/>
    <n v="0"/>
    <n v="2.1756418512141718"/>
    <m/>
    <n v="0"/>
    <n v="0"/>
    <n v="0"/>
    <n v="0"/>
    <n v="0.28225523168567168"/>
    <n v="1.6241920314617658E-2"/>
    <n v="0"/>
    <n v="0"/>
    <m/>
    <m/>
    <m/>
    <n v="-23.217058276953441"/>
    <n v="0"/>
    <n v="0"/>
    <n v="6.2932400000000044"/>
    <n v="-5.8976200000000034"/>
    <n v="0"/>
    <n v="0"/>
    <n v="5.019402729944062"/>
    <n v="0"/>
    <n v="0"/>
    <n v="0"/>
    <n v="0"/>
    <n v="0"/>
    <n v="0"/>
    <n v="0"/>
    <n v="0"/>
    <n v="0"/>
    <n v="0"/>
    <n v="0"/>
    <n v="0"/>
    <n v="-3.020597108264397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4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4.6950000000000003"/>
    <n v="4.6950000000000003"/>
    <n v="4.6950000000000003"/>
    <n v="4.6950000000000003"/>
    <m/>
    <n v="239.69"/>
    <n v="171.61"/>
    <m/>
    <n v="1931.0535"/>
    <n v="1931.0535"/>
    <n v="1923.96405"/>
    <n v="0"/>
    <n v="283.84702027844594"/>
    <n v="0"/>
    <n v="0"/>
    <n v="0"/>
    <n v="250.41248726760045"/>
    <n v="416.04613973395573"/>
    <n v="776.4319990596224"/>
    <n v="29.275000864454896"/>
    <n v="0"/>
    <n v="0"/>
    <n v="0"/>
    <n v="0"/>
    <n v="43.889380099942443"/>
    <m/>
    <n v="1.8594624799317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166541171850668"/>
    <n v="0"/>
    <n v="0"/>
    <n v="0"/>
    <n v="913.43"/>
    <n v="25"/>
    <m/>
    <m/>
    <m/>
    <m/>
    <m/>
    <m/>
    <m/>
    <m/>
    <m/>
    <n v="851.59854023147307"/>
    <m/>
    <m/>
    <m/>
    <m/>
    <m/>
    <m/>
    <m/>
    <m/>
    <m/>
    <m/>
    <m/>
    <m/>
    <n v="1926.0129999999999"/>
    <n v="-5.0705000000000382"/>
    <m/>
    <m/>
    <m/>
    <m/>
    <n v="-112.77390000000005"/>
    <n v="105.68444999999997"/>
    <n v="31"/>
    <n v="82.883854447782596"/>
    <n v="0"/>
    <n v="0"/>
    <n v="0"/>
    <n v="0"/>
    <n v="0"/>
    <n v="0"/>
    <n v="0"/>
    <n v="11.276731656370032"/>
    <n v="0"/>
    <n v="0"/>
    <n v="105.70955252384397"/>
    <n v="0"/>
    <n v="0"/>
    <n v="0"/>
    <n v="10.233763474026048"/>
    <n v="0"/>
    <n v="-38.987169814696699"/>
    <m/>
    <n v="0"/>
    <n v="0"/>
    <n v="0"/>
    <n v="0"/>
    <n v="-5.0579706594054485"/>
    <n v="-0.29105273235545748"/>
    <n v="0"/>
    <n v="0"/>
    <m/>
    <m/>
    <m/>
    <n v="416.04613973395573"/>
    <n v="0"/>
    <n v="0"/>
    <n v="-112.77390000000003"/>
    <n v="105.68444999999997"/>
    <n v="0"/>
    <n v="0"/>
    <n v="-89.946930599570067"/>
    <n v="0"/>
    <n v="0"/>
    <n v="0"/>
    <n v="0"/>
    <n v="0"/>
    <n v="0"/>
    <n v="0"/>
    <n v="0"/>
    <n v="0"/>
    <n v="0"/>
    <n v="0"/>
    <n v="0"/>
    <n v="54.12863902023415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5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-0.38700000000000001"/>
    <n v="-0.38700000000000001"/>
    <n v="-0.38700000000000001"/>
    <n v="-0.38700000000000001"/>
    <m/>
    <n v="239.69"/>
    <n v="171.61"/>
    <m/>
    <n v="-159.17310000000001"/>
    <n v="-159.17310000000001"/>
    <n v="-158.58873"/>
    <n v="0"/>
    <n v="-23.396974834453371"/>
    <n v="0"/>
    <n v="0"/>
    <n v="0"/>
    <n v="-20.641029301930004"/>
    <n v="-34.293899057942674"/>
    <n v="-63.999826120569516"/>
    <n v="-2.4130831383480391"/>
    <n v="0"/>
    <n v="0"/>
    <n v="0"/>
    <n v="0"/>
    <n v="-3.6177188708578756"/>
    <m/>
    <n v="-0.15327198716370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1958363010662856"/>
    <n v="0"/>
    <n v="0"/>
    <n v="0"/>
    <n v="-41.45"/>
    <n v="2"/>
    <m/>
    <m/>
    <m/>
    <m/>
    <m/>
    <m/>
    <m/>
    <m/>
    <m/>
    <n v="-70.195662421635802"/>
    <m/>
    <m/>
    <m/>
    <m/>
    <m/>
    <m/>
    <m/>
    <m/>
    <m/>
    <m/>
    <m/>
    <m/>
    <n v="-159.81810000000002"/>
    <n v="-0.67500000000001137"/>
    <m/>
    <m/>
    <m/>
    <m/>
    <n v="9.2957400000000039"/>
    <n v="-8.7113699999999969"/>
    <n v="31"/>
    <n v="-6.8319598873891039"/>
    <n v="0"/>
    <n v="0"/>
    <n v="0"/>
    <n v="0"/>
    <n v="0"/>
    <n v="0"/>
    <n v="0"/>
    <n v="-0.92951973397554966"/>
    <n v="0"/>
    <n v="0"/>
    <n v="-8.7134391537225966"/>
    <n v="0"/>
    <n v="0"/>
    <n v="0"/>
    <n v="-0.84354983268329686"/>
    <n v="0"/>
    <n v="3.2136389176331477"/>
    <m/>
    <n v="0"/>
    <n v="0"/>
    <n v="0"/>
    <n v="0"/>
    <n v="0.41691898726089693"/>
    <n v="2.3990928098309272E-2"/>
    <n v="0"/>
    <n v="0"/>
    <m/>
    <m/>
    <m/>
    <n v="-34.293899057942674"/>
    <n v="0"/>
    <n v="0"/>
    <n v="9.2957400000000092"/>
    <n v="-8.7113700000000023"/>
    <n v="0"/>
    <n v="0"/>
    <n v="7.4141559407952329"/>
    <n v="0"/>
    <n v="0"/>
    <n v="0"/>
    <n v="0"/>
    <n v="0"/>
    <n v="0"/>
    <n v="0"/>
    <n v="0"/>
    <n v="0"/>
    <n v="0"/>
    <n v="0"/>
    <n v="0"/>
    <n v="-4.461721682818023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6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11.73"/>
    <n v="11.73"/>
    <n v="11.73"/>
    <n v="11.73"/>
    <m/>
    <n v="158.36000000000001"/>
    <n v="171.61"/>
    <m/>
    <n v="3870.5481000000004"/>
    <n v="3870.5481000000004"/>
    <n v="3962.8632000000007"/>
    <n v="0"/>
    <n v="0"/>
    <n v="0"/>
    <n v="0"/>
    <n v="0"/>
    <n v="625.63119822128931"/>
    <n v="1039.4507388880299"/>
    <n v="1939.8396909412932"/>
    <n v="73.140736984037474"/>
    <n v="0"/>
    <n v="0"/>
    <n v="0"/>
    <n v="0"/>
    <n v="0"/>
    <m/>
    <n v="4.6456858124813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.79627858270678"/>
    <n v="0"/>
    <n v="0"/>
    <n v="0"/>
    <n v="187.86"/>
    <n v="5"/>
    <m/>
    <m/>
    <m/>
    <m/>
    <m/>
    <m/>
    <m/>
    <n v="2575.9080000000004"/>
    <m/>
    <n v="2127.6359695239998"/>
    <m/>
    <m/>
    <m/>
    <m/>
    <m/>
    <m/>
    <m/>
    <m/>
    <m/>
    <m/>
    <m/>
    <m/>
    <n v="1386.9551999999999"/>
    <n v="32.344799999999623"/>
    <m/>
    <m/>
    <m/>
    <m/>
    <n v="-171.72720000000018"/>
    <n v="264.0422999999999"/>
    <n v="31"/>
    <n v="317.11972533199287"/>
    <n v="0"/>
    <n v="0"/>
    <n v="0"/>
    <n v="0"/>
    <n v="0"/>
    <n v="0"/>
    <n v="0"/>
    <n v="28.173815192592201"/>
    <n v="0"/>
    <n v="0"/>
    <n v="264.10501620973128"/>
    <n v="0"/>
    <n v="0"/>
    <n v="0"/>
    <n v="25.568060820090636"/>
    <n v="0"/>
    <n v="0"/>
    <m/>
    <n v="0"/>
    <n v="0"/>
    <n v="0"/>
    <n v="0"/>
    <n v="0"/>
    <n v="-0.72716689042162219"/>
    <n v="0"/>
    <n v="0"/>
    <m/>
    <m/>
    <m/>
    <n v="1039.4507388880299"/>
    <n v="0"/>
    <n v="0"/>
    <n v="-171.72720000000004"/>
    <n v="264.04230000000007"/>
    <n v="0"/>
    <n v="0"/>
    <n v="-224.7236413062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7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25.701000000000001"/>
    <n v="25.701000000000001"/>
    <n v="25.701000000000001"/>
    <n v="25.701000000000001"/>
    <m/>
    <n v="158.36000000000001"/>
    <n v="171.61"/>
    <m/>
    <n v="8480.5589700000019"/>
    <n v="8480.5589700000019"/>
    <n v="8682.8258399999995"/>
    <n v="0"/>
    <n v="0"/>
    <n v="0"/>
    <n v="0"/>
    <n v="0"/>
    <n v="1370.7883568188709"/>
    <n v="2277.4870792976349"/>
    <n v="4250.283026162163"/>
    <n v="160.25490888548569"/>
    <n v="0"/>
    <n v="0"/>
    <n v="0"/>
    <n v="0"/>
    <n v="0"/>
    <m/>
    <n v="10.178923364585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1.47077202507649"/>
    <n v="0"/>
    <n v="0"/>
    <n v="0"/>
    <n v="703.32"/>
    <n v="42"/>
    <m/>
    <m/>
    <m/>
    <m/>
    <m/>
    <m/>
    <m/>
    <n v="3473.2331400000003"/>
    <m/>
    <n v="4661.7537981872392"/>
    <m/>
    <m/>
    <m/>
    <m/>
    <m/>
    <m/>
    <m/>
    <m/>
    <m/>
    <m/>
    <m/>
    <m/>
    <n v="5209.3899999999994"/>
    <n v="121.07601999999861"/>
    <m/>
    <m/>
    <m/>
    <m/>
    <n v="-376.26264000000037"/>
    <n v="578.52950999999973"/>
    <n v="31"/>
    <n v="694.8247281123231"/>
    <n v="0"/>
    <n v="0"/>
    <n v="0"/>
    <n v="0"/>
    <n v="0"/>
    <n v="0"/>
    <n v="0"/>
    <n v="61.730198147042984"/>
    <n v="0"/>
    <n v="0"/>
    <n v="578.66692426311238"/>
    <n v="0"/>
    <n v="0"/>
    <n v="0"/>
    <n v="56.020863694556624"/>
    <n v="0"/>
    <n v="0"/>
    <m/>
    <n v="0"/>
    <n v="0"/>
    <n v="0"/>
    <n v="0"/>
    <n v="0"/>
    <n v="-1.5932579923892689"/>
    <n v="0"/>
    <n v="0"/>
    <m/>
    <m/>
    <m/>
    <n v="2277.4870792976349"/>
    <n v="0"/>
    <n v="0"/>
    <n v="-376.26264000000037"/>
    <n v="578.52950999999939"/>
    <n v="0"/>
    <n v="0"/>
    <n v="-492.38041817668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8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32.505000000000003"/>
    <n v="32.505000000000003"/>
    <n v="32.505000000000003"/>
    <n v="32.505000000000003"/>
    <m/>
    <n v="158.36000000000001"/>
    <n v="171.61"/>
    <m/>
    <n v="10725.674850000001"/>
    <n v="10725.674850000001"/>
    <n v="10981.4892"/>
    <n v="0"/>
    <n v="0"/>
    <n v="0"/>
    <n v="0"/>
    <n v="0"/>
    <n v="1733.6864533830358"/>
    <n v="2880.4216766884415"/>
    <n v="5375.4892714447342"/>
    <n v="202.6802775503954"/>
    <n v="0"/>
    <n v="0"/>
    <n v="0"/>
    <n v="0"/>
    <n v="0"/>
    <m/>
    <n v="12.8736587668121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.40221955080006"/>
    <n v="0"/>
    <n v="0"/>
    <n v="0"/>
    <n v="1750.02"/>
    <n v="124"/>
    <m/>
    <m/>
    <m/>
    <m/>
    <m/>
    <m/>
    <m/>
    <n v="1098.0189"/>
    <m/>
    <n v="5895.8914909955347"/>
    <m/>
    <m/>
    <m/>
    <m/>
    <m/>
    <m/>
    <m/>
    <m/>
    <m/>
    <m/>
    <m/>
    <m/>
    <n v="9884.990600000001"/>
    <n v="231.95074999999997"/>
    <m/>
    <m/>
    <m/>
    <m/>
    <n v="-475.87320000000051"/>
    <n v="731.68754999999976"/>
    <n v="31"/>
    <n v="878.77038976269523"/>
    <n v="0"/>
    <n v="0"/>
    <n v="0"/>
    <n v="0"/>
    <n v="0"/>
    <n v="0"/>
    <n v="0"/>
    <n v="78.072452074613011"/>
    <n v="0"/>
    <n v="0"/>
    <n v="731.86134287274672"/>
    <n v="0"/>
    <n v="0"/>
    <n v="0"/>
    <n v="70.851646799407149"/>
    <n v="0"/>
    <n v="0"/>
    <m/>
    <n v="0"/>
    <n v="0"/>
    <n v="0"/>
    <n v="0"/>
    <n v="0"/>
    <n v="-2.0150519840711709"/>
    <n v="0"/>
    <n v="0"/>
    <m/>
    <m/>
    <m/>
    <n v="2880.4216766884415"/>
    <n v="0"/>
    <n v="0"/>
    <n v="-475.8732"/>
    <n v="731.68754999999965"/>
    <n v="0"/>
    <n v="0"/>
    <n v="-622.7316249497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29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31.167000000000002"/>
    <n v="31.167000000000002"/>
    <n v="31.167000000000002"/>
    <n v="31.167000000000002"/>
    <m/>
    <n v="158.36000000000001"/>
    <n v="171.61"/>
    <m/>
    <n v="10284.174990000001"/>
    <n v="10284.174990000001"/>
    <n v="10529.459280000001"/>
    <n v="0"/>
    <n v="0"/>
    <n v="0"/>
    <n v="0"/>
    <n v="0"/>
    <n v="1662.3228947112466"/>
    <n v="2761.8551729687324"/>
    <n v="5154.218554779819"/>
    <n v="194.33736995579676"/>
    <n v="0"/>
    <n v="0"/>
    <n v="0"/>
    <n v="0"/>
    <n v="0"/>
    <m/>
    <n v="12.343741663905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8.98095606029176"/>
    <n v="0"/>
    <n v="0"/>
    <n v="0"/>
    <n v="2156.61"/>
    <n v="198"/>
    <m/>
    <m/>
    <m/>
    <m/>
    <m/>
    <m/>
    <m/>
    <m/>
    <m/>
    <n v="5653.1995108401106"/>
    <m/>
    <m/>
    <m/>
    <m/>
    <m/>
    <m/>
    <m/>
    <m/>
    <m/>
    <m/>
    <m/>
    <m/>
    <n v="10530.4728"/>
    <n v="246.26780999999755"/>
    <m/>
    <m/>
    <m/>
    <m/>
    <n v="-456.2848800000005"/>
    <n v="701.56916999999976"/>
    <n v="31"/>
    <n v="842.59765382968544"/>
    <n v="0"/>
    <n v="0"/>
    <n v="0"/>
    <n v="0"/>
    <n v="0"/>
    <n v="0"/>
    <n v="0"/>
    <n v="74.858763692031062"/>
    <n v="0"/>
    <n v="0"/>
    <n v="701.73580905445033"/>
    <n v="0"/>
    <n v="0"/>
    <n v="0"/>
    <n v="67.935187687959456"/>
    <n v="0"/>
    <n v="0"/>
    <m/>
    <n v="0"/>
    <n v="0"/>
    <n v="0"/>
    <n v="0"/>
    <n v="0"/>
    <n v="-1.9321066047545354"/>
    <n v="0"/>
    <n v="0"/>
    <m/>
    <m/>
    <m/>
    <n v="2761.8551729687324"/>
    <n v="0"/>
    <n v="0"/>
    <n v="-456.28488000000016"/>
    <n v="701.56916999999976"/>
    <n v="0"/>
    <n v="0"/>
    <n v="-597.0981865807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30"/>
    <s v="Regular"/>
    <s v="Convencional"/>
    <s v="B3"/>
    <s v="Industrial"/>
    <s v="Não se aplica"/>
    <s v="Não se aplica"/>
    <s v="Não se aplica"/>
    <s v="Não se aplica"/>
    <s v="CATIVO"/>
    <x v="11"/>
    <n v="0"/>
    <n v="0"/>
    <n v="215.86"/>
    <n v="215.86"/>
    <n v="215.86"/>
    <n v="215.86"/>
    <m/>
    <n v="239.69"/>
    <n v="171.61"/>
    <m/>
    <n v="88783.218000000008"/>
    <n v="88783.218000000008"/>
    <n v="88457.269400000005"/>
    <n v="0"/>
    <n v="13050.312629883992"/>
    <n v="0"/>
    <n v="0"/>
    <n v="0"/>
    <n v="11513.107455076513"/>
    <n v="19128.374807874694"/>
    <n v="35697.680791695442"/>
    <n v="1345.9641505007953"/>
    <n v="0"/>
    <n v="0"/>
    <n v="0"/>
    <n v="0"/>
    <n v="2017.8831924118374"/>
    <m/>
    <n v="85.4917083957564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55.8998034836391"/>
    <n v="0"/>
    <n v="0"/>
    <n v="0"/>
    <n v="18117.72"/>
    <n v="76"/>
    <m/>
    <m/>
    <m/>
    <m/>
    <m/>
    <m/>
    <m/>
    <m/>
    <m/>
    <n v="39153.580595179083"/>
    <m/>
    <m/>
    <m/>
    <m/>
    <m/>
    <m/>
    <m/>
    <m/>
    <m/>
    <m/>
    <m/>
    <m/>
    <n v="88457.269400000005"/>
    <n v="-325.97860000000219"/>
    <m/>
    <m/>
    <m/>
    <m/>
    <n v="-5184.9572000000026"/>
    <n v="4859.0085999999983"/>
    <n v="31"/>
    <n v="3810.7154038548033"/>
    <n v="0"/>
    <n v="0"/>
    <n v="0"/>
    <n v="0"/>
    <n v="0"/>
    <n v="0"/>
    <n v="0"/>
    <n v="518.46545161747417"/>
    <n v="0"/>
    <n v="0"/>
    <n v="4860.1627279652748"/>
    <n v="0"/>
    <n v="0"/>
    <n v="0"/>
    <n v="470.51335111890603"/>
    <n v="0"/>
    <n v="-1792.4963740576004"/>
    <m/>
    <n v="0"/>
    <n v="0"/>
    <n v="0"/>
    <n v="0"/>
    <n v="-232.54814622774461"/>
    <n v="-13.3816065615014"/>
    <n v="0"/>
    <n v="0"/>
    <m/>
    <m/>
    <m/>
    <n v="19128.374807874694"/>
    <n v="0"/>
    <n v="0"/>
    <n v="-5184.9572000000044"/>
    <n v="4859.008600000001"/>
    <n v="0"/>
    <n v="0"/>
    <n v="-4135.4514247546758"/>
    <n v="0"/>
    <n v="0"/>
    <n v="0"/>
    <n v="0"/>
    <n v="0"/>
    <n v="0"/>
    <n v="0"/>
    <n v="0"/>
    <n v="0"/>
    <n v="0"/>
    <n v="0"/>
    <n v="0"/>
    <n v="2488.64920530516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31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8.7349999999999994"/>
    <n v="8.7349999999999994"/>
    <n v="8.7349999999999994"/>
    <n v="8.7349999999999994"/>
    <m/>
    <n v="239.69"/>
    <n v="171.61"/>
    <m/>
    <n v="3592.7055"/>
    <n v="3592.7055"/>
    <n v="3579.5156499999994"/>
    <n v="0"/>
    <n v="528.09450950633118"/>
    <n v="0"/>
    <n v="0"/>
    <n v="0"/>
    <n v="465.88989910170176"/>
    <n v="774.04963377552781"/>
    <n v="1444.5438789746115"/>
    <n v="54.46584292886336"/>
    <n v="0"/>
    <n v="0"/>
    <n v="0"/>
    <n v="0"/>
    <n v="81.655747640680985"/>
    <m/>
    <n v="3.45951113145989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84658937936433"/>
    <n v="0"/>
    <n v="0"/>
    <n v="0"/>
    <n v="1589.53"/>
    <n v="7"/>
    <m/>
    <m/>
    <m/>
    <m/>
    <m/>
    <m/>
    <m/>
    <m/>
    <m/>
    <n v="1584.3904683539758"/>
    <m/>
    <m/>
    <m/>
    <m/>
    <m/>
    <m/>
    <m/>
    <m/>
    <m/>
    <m/>
    <m/>
    <m/>
    <n v="3581.5645999999997"/>
    <n v="-11.170900000000984"/>
    <m/>
    <m/>
    <m/>
    <m/>
    <n v="-209.81470000000007"/>
    <n v="196.6248499999999"/>
    <n v="31"/>
    <n v="154.2045726520505"/>
    <n v="0"/>
    <n v="0"/>
    <n v="0"/>
    <n v="0"/>
    <n v="0"/>
    <n v="0"/>
    <n v="0"/>
    <n v="20.98024515833697"/>
    <n v="0"/>
    <n v="0"/>
    <n v="196.67155299164574"/>
    <n v="0"/>
    <n v="0"/>
    <n v="0"/>
    <n v="19.039813406947275"/>
    <n v="0"/>
    <n v="-72.535235001357933"/>
    <m/>
    <n v="0"/>
    <n v="0"/>
    <n v="0"/>
    <n v="0"/>
    <n v="-9.410303239596729"/>
    <n v="-0.54150066392437113"/>
    <n v="0"/>
    <n v="0"/>
    <m/>
    <m/>
    <m/>
    <n v="774.04963377552781"/>
    <n v="0"/>
    <n v="0"/>
    <n v="-209.81470000000013"/>
    <n v="196.62484999999992"/>
    <n v="0"/>
    <n v="0"/>
    <n v="-167.34535437428008"/>
    <n v="0"/>
    <n v="0"/>
    <n v="0"/>
    <n v="0"/>
    <n v="0"/>
    <n v="0"/>
    <n v="0"/>
    <n v="0"/>
    <n v="0"/>
    <n v="0"/>
    <n v="0"/>
    <n v="0"/>
    <n v="100.7057852698073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32"/>
    <s v="Regular"/>
    <s v="Azul"/>
    <s v="A4"/>
    <s v="Industrial"/>
    <s v="Não se aplica"/>
    <s v="Não se aplica"/>
    <s v="Não se aplica"/>
    <s v="Ponta"/>
    <s v="CATIVO"/>
    <x v="11"/>
    <n v="19231"/>
    <n v="19231"/>
    <n v="1008.914"/>
    <n v="1008.914"/>
    <n v="1008.914"/>
    <n v="1008.914"/>
    <n v="37.64"/>
    <n v="78.42"/>
    <n v="171.61"/>
    <n v="723854.84"/>
    <n v="252258.76741999999"/>
    <n v="976113.60742000001"/>
    <n v="916833.43656000006"/>
    <n v="0"/>
    <n v="53066.707641527348"/>
    <n v="0"/>
    <n v="0"/>
    <n v="0"/>
    <n v="314313.68046331266"/>
    <n v="409475.67194124951"/>
    <n v="166848.37356746322"/>
    <n v="6290.9389184580714"/>
    <n v="0"/>
    <n v="0"/>
    <n v="0"/>
    <n v="0"/>
    <n v="9431.4398368803686"/>
    <m/>
    <n v="266.41430994061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36.3887731685872"/>
    <n v="0"/>
    <n v="0"/>
    <n v="0"/>
    <n v="0"/>
    <n v="0"/>
    <m/>
    <m/>
    <m/>
    <m/>
    <m/>
    <m/>
    <m/>
    <m/>
    <m/>
    <n v="173084.7623406318"/>
    <m/>
    <m/>
    <m/>
    <m/>
    <m/>
    <m/>
    <m/>
    <m/>
    <m/>
    <m/>
    <m/>
    <m/>
    <n v="916832.37640000018"/>
    <n v="-59281.26101999986"/>
    <m/>
    <m/>
    <m/>
    <m/>
    <n v="-81990.824999999953"/>
    <n v="22710.654139999991"/>
    <n v="31"/>
    <n v="29302.017393657123"/>
    <n v="0"/>
    <n v="0"/>
    <n v="0"/>
    <n v="0"/>
    <n v="0"/>
    <n v="0"/>
    <n v="0"/>
    <n v="14154.370132201409"/>
    <n v="0"/>
    <n v="0"/>
    <n v="22716.048450488073"/>
    <n v="0"/>
    <n v="0"/>
    <n v="0"/>
    <n v="849.07096484277554"/>
    <n v="0"/>
    <n v="-7288.8584149924063"/>
    <m/>
    <n v="0"/>
    <n v="0"/>
    <n v="0"/>
    <n v="0"/>
    <n v="-1086.9131863393814"/>
    <n v="-41.700552543364438"/>
    <n v="0"/>
    <n v="0"/>
    <m/>
    <m/>
    <n v="409475.67194124951"/>
    <n v="0"/>
    <n v="0"/>
    <n v="0"/>
    <n v="-81990.824999999837"/>
    <n v="22710.654139999999"/>
    <n v="0"/>
    <n v="0"/>
    <n v="-88526.430914281053"/>
    <n v="0"/>
    <n v="0"/>
    <n v="0"/>
    <n v="0"/>
    <n v="0"/>
    <n v="0"/>
    <n v="0"/>
    <n v="0"/>
    <n v="0"/>
    <n v="0"/>
    <n v="0"/>
    <n v="0"/>
    <n v="10119.63648271789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33"/>
    <s v="Sistema de Compensação"/>
    <s v="Azul"/>
    <s v="A4"/>
    <s v="Industrial"/>
    <s v="Não se aplica"/>
    <s v="Não se aplica"/>
    <s v="Não se aplica"/>
    <s v="Ponta"/>
    <s v="CATIVO"/>
    <x v="11"/>
    <n v="1601"/>
    <n v="1601"/>
    <n v="93.638000000000005"/>
    <n v="93.638000000000005"/>
    <n v="93.638000000000005"/>
    <n v="93.638000000000005"/>
    <n v="37.64"/>
    <n v="78.42"/>
    <n v="171.61"/>
    <n v="60261.64"/>
    <n v="23412.309140000001"/>
    <n v="83673.949140000012"/>
    <n v="78883.585520000008"/>
    <n v="0"/>
    <n v="4925.1575160393631"/>
    <n v="0"/>
    <n v="0"/>
    <n v="0"/>
    <n v="26166.928522789432"/>
    <n v="34089.259569338072"/>
    <n v="15485.311933534595"/>
    <n v="583.86635376907941"/>
    <n v="0"/>
    <n v="0"/>
    <n v="0"/>
    <n v="0"/>
    <n v="875.33839697516737"/>
    <m/>
    <n v="24.726094745656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8.80351738796389"/>
    <n v="0"/>
    <n v="0"/>
    <n v="0"/>
    <n v="0"/>
    <n v="0"/>
    <m/>
    <m/>
    <m/>
    <m/>
    <m/>
    <m/>
    <m/>
    <m/>
    <m/>
    <n v="16064.115450922558"/>
    <m/>
    <m/>
    <m/>
    <m/>
    <m/>
    <m/>
    <m/>
    <m/>
    <m/>
    <m/>
    <m/>
    <m/>
    <n v="78884.115600000005"/>
    <n v="-4789.8635399999912"/>
    <m/>
    <m/>
    <m/>
    <m/>
    <n v="-6898.1549999999961"/>
    <n v="2107.7913799999992"/>
    <n v="31"/>
    <n v="2584.2290086506255"/>
    <n v="0"/>
    <n v="0"/>
    <n v="0"/>
    <n v="0"/>
    <n v="0"/>
    <n v="0"/>
    <n v="0"/>
    <n v="1178.3654818602481"/>
    <n v="0"/>
    <n v="0"/>
    <n v="2108.2920296544617"/>
    <n v="0"/>
    <n v="0"/>
    <n v="0"/>
    <n v="78.802858326822616"/>
    <n v="0"/>
    <n v="-676.48394636515968"/>
    <m/>
    <n v="0"/>
    <n v="0"/>
    <n v="0"/>
    <n v="0"/>
    <n v="-100.87715795642339"/>
    <n v="-3.870256869322418"/>
    <n v="0"/>
    <n v="0"/>
    <m/>
    <m/>
    <n v="34089.259569338072"/>
    <n v="0"/>
    <n v="0"/>
    <n v="0"/>
    <n v="-6898.1549999999988"/>
    <n v="2107.7913800000006"/>
    <n v="0"/>
    <n v="0"/>
    <n v="-7369.9139875078763"/>
    <n v="0"/>
    <n v="0"/>
    <n v="0"/>
    <n v="0"/>
    <n v="0"/>
    <n v="0"/>
    <n v="0"/>
    <n v="0"/>
    <n v="0"/>
    <n v="0"/>
    <n v="0"/>
    <n v="0"/>
    <n v="939.2103994678815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34"/>
    <s v="Regular"/>
    <s v="Azul"/>
    <s v="A4"/>
    <s v="Industrial"/>
    <s v="Não se aplica"/>
    <s v="Não se aplica"/>
    <s v="Não se aplica"/>
    <s v="Fora ponta"/>
    <s v="CATIVO"/>
    <x v="11"/>
    <n v="22031"/>
    <n v="22031"/>
    <n v="8467.32"/>
    <n v="8467.32"/>
    <n v="8467.32"/>
    <n v="8467.32"/>
    <n v="12.58"/>
    <n v="78.42"/>
    <n v="171.61"/>
    <n v="277149.98"/>
    <n v="2117084.0196000002"/>
    <n v="2394233.9995999997"/>
    <n v="2499517.7828000002"/>
    <n v="0"/>
    <n v="445362.83067462372"/>
    <n v="0"/>
    <n v="0"/>
    <n v="0"/>
    <n v="146009.11791691068"/>
    <n v="131078.03953876827"/>
    <n v="1400276.5057034125"/>
    <n v="52796.762581387906"/>
    <n v="0"/>
    <n v="0"/>
    <n v="0"/>
    <n v="0"/>
    <n v="79153.445347783738"/>
    <m/>
    <n v="2235.8845400563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338.94998664489"/>
    <n v="0"/>
    <n v="0"/>
    <n v="0"/>
    <n v="0"/>
    <n v="0"/>
    <m/>
    <m/>
    <m/>
    <m/>
    <m/>
    <m/>
    <m/>
    <m/>
    <m/>
    <n v="1452615.4556900572"/>
    <m/>
    <m/>
    <m/>
    <m/>
    <m/>
    <m/>
    <m/>
    <m/>
    <m/>
    <m/>
    <m/>
    <m/>
    <n v="2499517.7828000002"/>
    <n v="105283.75320000015"/>
    <m/>
    <m/>
    <m/>
    <m/>
    <n v="-85315.59"/>
    <n v="190599.37319999991"/>
    <n v="31"/>
    <n v="133701.94246113719"/>
    <n v="0"/>
    <n v="0"/>
    <n v="0"/>
    <n v="0"/>
    <n v="0"/>
    <n v="0"/>
    <n v="0"/>
    <n v="6575.1738665203156"/>
    <n v="0"/>
    <n v="0"/>
    <n v="190644.64500025427"/>
    <n v="0"/>
    <n v="0"/>
    <n v="0"/>
    <n v="7125.8358611660951"/>
    <n v="0"/>
    <n v="-61171.811110197159"/>
    <m/>
    <n v="0"/>
    <n v="0"/>
    <n v="0"/>
    <n v="0"/>
    <n v="-9121.9288868577132"/>
    <n v="-349.97226974893852"/>
    <n v="0"/>
    <n v="0"/>
    <m/>
    <m/>
    <n v="131078.03953876827"/>
    <n v="0"/>
    <n v="0"/>
    <n v="0"/>
    <n v="-85315.589999999851"/>
    <n v="190599.37320000003"/>
    <n v="0"/>
    <n v="0"/>
    <n v="-28338.364906018716"/>
    <n v="0"/>
    <n v="0"/>
    <n v="0"/>
    <n v="0"/>
    <n v="0"/>
    <n v="0"/>
    <n v="0"/>
    <n v="0"/>
    <n v="0"/>
    <n v="0"/>
    <n v="0"/>
    <n v="0"/>
    <n v="84929.14201096116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35"/>
    <s v="Sistema de Compensação"/>
    <s v="Azul"/>
    <s v="A4"/>
    <s v="Industrial"/>
    <s v="Não se aplica"/>
    <s v="Não se aplica"/>
    <s v="Não se aplica"/>
    <s v="Fora ponta"/>
    <s v="CATIVO"/>
    <x v="11"/>
    <n v="2000"/>
    <n v="2000"/>
    <n v="758.21100000000001"/>
    <n v="758.21100000000001"/>
    <n v="758.21100000000001"/>
    <n v="758.21100000000001"/>
    <n v="12.58"/>
    <n v="78.42"/>
    <n v="171.61"/>
    <n v="25160"/>
    <n v="189575.49633000002"/>
    <n v="214735.49632999999"/>
    <n v="224136.24344000002"/>
    <n v="0"/>
    <n v="39880.268751935342"/>
    <n v="0"/>
    <n v="0"/>
    <n v="0"/>
    <n v="13254.878844983039"/>
    <n v="11899.418050816421"/>
    <n v="125388.55855995641"/>
    <n v="4727.7162258656463"/>
    <n v="0"/>
    <n v="0"/>
    <n v="0"/>
    <n v="0"/>
    <n v="7087.8404206512159"/>
    <m/>
    <n v="200.21355670987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86.7211358876257"/>
    <n v="0"/>
    <n v="0"/>
    <n v="0"/>
    <n v="0"/>
    <n v="0"/>
    <m/>
    <m/>
    <m/>
    <m/>
    <m/>
    <m/>
    <m/>
    <m/>
    <m/>
    <n v="130075.27969584403"/>
    <m/>
    <m/>
    <m/>
    <m/>
    <m/>
    <m/>
    <m/>
    <m/>
    <m/>
    <m/>
    <m/>
    <m/>
    <n v="224135.97840000002"/>
    <n v="9400.4520699999994"/>
    <m/>
    <m/>
    <m/>
    <m/>
    <n v="-7666.5825000000004"/>
    <n v="17067.329609999993"/>
    <n v="31"/>
    <n v="11980.541009142849"/>
    <n v="0"/>
    <n v="0"/>
    <n v="0"/>
    <n v="0"/>
    <n v="0"/>
    <n v="0"/>
    <n v="0"/>
    <n v="596.90198960740054"/>
    <n v="0"/>
    <n v="0"/>
    <n v="17071.383499181306"/>
    <n v="0"/>
    <n v="0"/>
    <n v="0"/>
    <n v="638.08703747237723"/>
    <n v="0"/>
    <n v="-5477.664724337068"/>
    <m/>
    <n v="0"/>
    <n v="0"/>
    <n v="0"/>
    <n v="0"/>
    <n v="-816.82832622757542"/>
    <n v="-31.338466553598124"/>
    <n v="0"/>
    <n v="0"/>
    <m/>
    <m/>
    <n v="11899.418050816421"/>
    <n v="0"/>
    <n v="0"/>
    <n v="0"/>
    <n v="-7666.5824999999895"/>
    <n v="17067.329610000001"/>
    <n v="0"/>
    <n v="0"/>
    <n v="-2572.5899783050008"/>
    <n v="0"/>
    <n v="0"/>
    <n v="0"/>
    <n v="0"/>
    <n v="0"/>
    <n v="0"/>
    <n v="0"/>
    <n v="0"/>
    <n v="0"/>
    <n v="0"/>
    <n v="0"/>
    <n v="0"/>
    <n v="7605.028473386251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36"/>
    <s v="Regular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97694.27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537"/>
    <s v="Sistema de Compensação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253.8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538"/>
    <s v="Regular"/>
    <s v="Verde"/>
    <s v="A4"/>
    <s v="Industrial"/>
    <s v="Não se aplica"/>
    <s v="Não se aplica"/>
    <s v="Não se aplica"/>
    <s v="Ponta"/>
    <s v="CATIVO"/>
    <x v="11"/>
    <n v="0"/>
    <n v="0"/>
    <n v="185.21199999999999"/>
    <n v="185.21199999999999"/>
    <n v="185.21199999999999"/>
    <n v="185.21199999999999"/>
    <m/>
    <n v="984.21"/>
    <n v="171.61"/>
    <m/>
    <n v="214071.73384"/>
    <n v="214071.73384"/>
    <n v="199630.7542"/>
    <n v="0"/>
    <n v="9741.7530688468614"/>
    <n v="0"/>
    <n v="0"/>
    <n v="0"/>
    <n v="72919.569336036453"/>
    <n v="94843.753759105355"/>
    <n v="30629.291461092816"/>
    <n v="1154.8629308003024"/>
    <n v="0"/>
    <n v="0"/>
    <n v="0"/>
    <n v="0"/>
    <n v="1731.382293305759"/>
    <m/>
    <n v="48.907168671186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4.8488547647275"/>
    <n v="0"/>
    <n v="0"/>
    <n v="0"/>
    <n v="0"/>
    <n v="0"/>
    <m/>
    <m/>
    <m/>
    <m/>
    <m/>
    <m/>
    <m/>
    <m/>
    <m/>
    <n v="31774.140315857545"/>
    <m/>
    <m/>
    <m/>
    <m/>
    <m/>
    <m/>
    <m/>
    <m/>
    <m/>
    <m/>
    <m/>
    <m/>
    <n v="199628.59850000002"/>
    <n v="-14443.165340000007"/>
    <m/>
    <m/>
    <m/>
    <m/>
    <n v="-18610.101760000001"/>
    <n v="4169.1221199999982"/>
    <n v="31"/>
    <n v="6064.4981686897809"/>
    <n v="0"/>
    <n v="0"/>
    <n v="0"/>
    <n v="0"/>
    <n v="0"/>
    <n v="0"/>
    <n v="0"/>
    <n v="3283.7596274575772"/>
    <n v="0"/>
    <n v="0"/>
    <n v="4170.1123838224048"/>
    <n v="0"/>
    <n v="0"/>
    <n v="0"/>
    <n v="155.86871779007947"/>
    <n v="0"/>
    <n v="-1338.0566081525012"/>
    <m/>
    <n v="0"/>
    <n v="0"/>
    <n v="0"/>
    <n v="0"/>
    <n v="-199.53074798078865"/>
    <n v="-7.6552042470038231"/>
    <n v="0"/>
    <n v="0"/>
    <m/>
    <m/>
    <m/>
    <n v="94843.753759105355"/>
    <n v="0"/>
    <n v="0"/>
    <n v="-18610.10176000002"/>
    <n v="4169.12212"/>
    <n v="0"/>
    <n v="0"/>
    <n v="-20504.707825502512"/>
    <n v="0"/>
    <n v="0"/>
    <n v="0"/>
    <n v="0"/>
    <n v="0"/>
    <n v="0"/>
    <n v="0"/>
    <n v="0"/>
    <n v="0"/>
    <n v="0"/>
    <n v="0"/>
    <n v="0"/>
    <n v="1857.718410327487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39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1.2390000000000001"/>
    <n v="1.2390000000000001"/>
    <n v="1.2390000000000001"/>
    <n v="1.2390000000000001"/>
    <m/>
    <n v="984.21"/>
    <n v="171.61"/>
    <m/>
    <n v="1432.0609800000002"/>
    <n v="1432.0609800000002"/>
    <n v="1335.4561500000002"/>
    <n v="0"/>
    <n v="65.16873664936"/>
    <n v="0"/>
    <n v="0"/>
    <n v="0"/>
    <n v="487.8050364304105"/>
    <n v="634.46974768120617"/>
    <n v="204.8986681224435"/>
    <n v="7.725607256881708"/>
    <n v="0"/>
    <n v="0"/>
    <n v="0"/>
    <n v="0"/>
    <n v="11.582309253211649"/>
    <m/>
    <n v="0.32717092836101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586167799791465"/>
    <n v="0"/>
    <n v="0"/>
    <n v="0"/>
    <n v="0"/>
    <n v="0"/>
    <m/>
    <m/>
    <m/>
    <m/>
    <m/>
    <m/>
    <m/>
    <m/>
    <m/>
    <n v="212.55728490242265"/>
    <m/>
    <m/>
    <m/>
    <m/>
    <m/>
    <m/>
    <m/>
    <m/>
    <m/>
    <m/>
    <m/>
    <m/>
    <n v="1336.5340000000001"/>
    <n v="-95.556980000000067"/>
    <m/>
    <m/>
    <m/>
    <m/>
    <n v="-124.49472000000003"/>
    <n v="27.889889999999991"/>
    <n v="31"/>
    <n v="40.569257019019346"/>
    <n v="0"/>
    <n v="0"/>
    <n v="0"/>
    <n v="0"/>
    <n v="0"/>
    <n v="0"/>
    <n v="0"/>
    <n v="21.967141321404256"/>
    <n v="0"/>
    <n v="0"/>
    <n v="27.896514499902594"/>
    <n v="0"/>
    <n v="0"/>
    <n v="0"/>
    <n v="1.042704259669506"/>
    <n v="0"/>
    <n v="-8.9511054224399658"/>
    <m/>
    <n v="0"/>
    <n v="0"/>
    <n v="0"/>
    <n v="0"/>
    <n v="-1.3347871452616307"/>
    <n v="-5.1210494255435612E-2"/>
    <n v="0"/>
    <n v="0"/>
    <m/>
    <m/>
    <m/>
    <n v="634.46974768120617"/>
    <n v="0"/>
    <n v="0"/>
    <n v="-124.49471999999992"/>
    <n v="27.88988999999998"/>
    <n v="0"/>
    <n v="0"/>
    <n v="-137.16893611535767"/>
    <n v="0"/>
    <n v="0"/>
    <n v="0"/>
    <n v="0"/>
    <n v="0"/>
    <n v="0"/>
    <n v="0"/>
    <n v="0"/>
    <n v="0"/>
    <n v="0"/>
    <n v="0"/>
    <n v="0"/>
    <n v="12.42745130118867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40"/>
    <s v="Regular"/>
    <s v="Verde"/>
    <s v="A4"/>
    <s v="Industrial"/>
    <s v="Não se aplica"/>
    <s v="Não se aplica"/>
    <s v="Não se aplica"/>
    <s v="Fora ponta"/>
    <s v="CATIVO"/>
    <x v="11"/>
    <n v="0"/>
    <n v="0"/>
    <n v="2151.2150000000001"/>
    <n v="2151.2150000000001"/>
    <n v="2151.2150000000001"/>
    <n v="2151.2150000000001"/>
    <m/>
    <n v="78.42"/>
    <n v="171.61"/>
    <m/>
    <n v="537868.28645000001"/>
    <n v="537868.28645000001"/>
    <n v="570158.02360000007"/>
    <n v="0"/>
    <n v="113149.2847547643"/>
    <n v="0"/>
    <n v="0"/>
    <n v="0"/>
    <n v="0"/>
    <n v="0"/>
    <n v="355755.51924537716"/>
    <n v="13413.593393957048"/>
    <n v="0"/>
    <n v="0"/>
    <n v="0"/>
    <n v="0"/>
    <n v="20109.796126027195"/>
    <m/>
    <n v="568.050854442401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97.28111084975"/>
    <n v="0"/>
    <n v="0"/>
    <n v="0"/>
    <n v="0"/>
    <n v="0"/>
    <m/>
    <m/>
    <m/>
    <m/>
    <m/>
    <m/>
    <m/>
    <m/>
    <m/>
    <n v="369052.80035622692"/>
    <m/>
    <m/>
    <m/>
    <m/>
    <m/>
    <m/>
    <m/>
    <m/>
    <m/>
    <m/>
    <m/>
    <m/>
    <n v="570159.34879999992"/>
    <n v="32291.032349999878"/>
    <m/>
    <m/>
    <m/>
    <m/>
    <n v="-16134.112500000001"/>
    <n v="48423.849649999982"/>
    <n v="31"/>
    <n v="32297.942147251801"/>
    <n v="0"/>
    <n v="0"/>
    <n v="0"/>
    <n v="0"/>
    <n v="0"/>
    <n v="0"/>
    <n v="0"/>
    <n v="0"/>
    <n v="0"/>
    <n v="0"/>
    <n v="48435.351444639149"/>
    <n v="0"/>
    <n v="0"/>
    <n v="0"/>
    <n v="1810.3963228126995"/>
    <n v="0"/>
    <n v="-15541.365820285864"/>
    <m/>
    <n v="0"/>
    <n v="0"/>
    <n v="0"/>
    <n v="0"/>
    <n v="-2317.5255275980599"/>
    <n v="-88.914272316147674"/>
    <n v="0"/>
    <n v="0"/>
    <m/>
    <m/>
    <m/>
    <n v="0"/>
    <n v="0"/>
    <n v="0"/>
    <n v="-16134.112499999988"/>
    <n v="48423.849649999989"/>
    <n v="0"/>
    <n v="0"/>
    <n v="0"/>
    <n v="0"/>
    <n v="0"/>
    <n v="0"/>
    <n v="0"/>
    <n v="0"/>
    <n v="0"/>
    <n v="0"/>
    <n v="0"/>
    <n v="0"/>
    <n v="0"/>
    <n v="0"/>
    <n v="0"/>
    <n v="21577.17485947263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41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5.1029999999999998"/>
    <n v="5.1029999999999998"/>
    <n v="5.1029999999999998"/>
    <n v="5.1029999999999998"/>
    <m/>
    <n v="78.42"/>
    <n v="171.61"/>
    <m/>
    <n v="1275.90309"/>
    <n v="1275.90309"/>
    <n v="1352.4991199999999"/>
    <n v="0"/>
    <n v="268.40683060668607"/>
    <n v="0"/>
    <n v="0"/>
    <n v="0"/>
    <n v="0"/>
    <n v="0"/>
    <n v="843.90468396192819"/>
    <n v="31.819026498682284"/>
    <n v="0"/>
    <n v="0"/>
    <n v="0"/>
    <n v="0"/>
    <n v="47.703409297125937"/>
    <m/>
    <n v="1.34750060324959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543116568388683"/>
    <n v="0"/>
    <n v="0"/>
    <n v="0"/>
    <n v="0"/>
    <n v="0"/>
    <m/>
    <m/>
    <m/>
    <m/>
    <m/>
    <m/>
    <m/>
    <m/>
    <m/>
    <n v="875.44780053031684"/>
    <m/>
    <m/>
    <m/>
    <m/>
    <m/>
    <m/>
    <m/>
    <m/>
    <m/>
    <m/>
    <m/>
    <m/>
    <n v="1351.704"/>
    <n v="75.770909999999958"/>
    <m/>
    <m/>
    <m/>
    <m/>
    <n v="-38.272500000000001"/>
    <n v="114.86852999999995"/>
    <n v="31"/>
    <n v="76.61549346644847"/>
    <n v="0"/>
    <n v="0"/>
    <n v="0"/>
    <n v="0"/>
    <n v="0"/>
    <n v="0"/>
    <n v="0"/>
    <n v="0"/>
    <n v="0"/>
    <n v="0"/>
    <n v="114.89581395722587"/>
    <n v="0"/>
    <n v="0"/>
    <n v="0"/>
    <n v="4.2945277135540607"/>
    <n v="0"/>
    <n v="-36.866417248354423"/>
    <m/>
    <n v="0"/>
    <n v="0"/>
    <n v="0"/>
    <n v="0"/>
    <n v="-5.4975131576029881"/>
    <n v="-0.2109177983740822"/>
    <n v="0"/>
    <n v="0"/>
    <m/>
    <m/>
    <m/>
    <n v="0"/>
    <n v="0"/>
    <n v="0"/>
    <n v="-38.27249999999998"/>
    <n v="114.86852999999996"/>
    <n v="0"/>
    <n v="0"/>
    <n v="0"/>
    <n v="0"/>
    <n v="0"/>
    <n v="0"/>
    <n v="0"/>
    <n v="0"/>
    <n v="0"/>
    <n v="0"/>
    <n v="0"/>
    <n v="0"/>
    <n v="0"/>
    <n v="0"/>
    <n v="0"/>
    <n v="51.18424857947199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42"/>
    <s v="Regular"/>
    <s v="Verde"/>
    <s v="A4"/>
    <s v="Industrial"/>
    <s v="Não se aplica"/>
    <s v="Não se aplica"/>
    <s v="Não se aplica"/>
    <s v="Não se aplica"/>
    <s v="CATIVO"/>
    <x v="11"/>
    <n v="9966"/>
    <n v="9966"/>
    <n v="0"/>
    <n v="0"/>
    <n v="0"/>
    <n v="0"/>
    <n v="12.58"/>
    <m/>
    <m/>
    <n v="125372.28"/>
    <m/>
    <n v="125372.28"/>
    <n v="115505.94"/>
    <n v="0"/>
    <n v="0"/>
    <n v="0"/>
    <n v="0"/>
    <n v="0"/>
    <n v="66049.06128455048"/>
    <n v="59294.800147218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1320.73"/>
    <n v="52"/>
    <m/>
    <m/>
    <m/>
    <m/>
    <m/>
    <m/>
    <m/>
    <m/>
    <m/>
    <n v="0"/>
    <m/>
    <m/>
    <m/>
    <m/>
    <m/>
    <m/>
    <m/>
    <m/>
    <m/>
    <m/>
    <m/>
    <m/>
    <n v="115505.94"/>
    <n v="-9866.3699999999808"/>
    <m/>
    <m/>
    <m/>
    <m/>
    <n v="-9866.340000000002"/>
    <n v="0"/>
    <n v="31"/>
    <n v="2974.3626142136782"/>
    <n v="0"/>
    <n v="0"/>
    <n v="0"/>
    <n v="0"/>
    <m/>
    <m/>
    <m/>
    <n v="2974.36261421367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294.800147218222"/>
    <m/>
    <n v="0"/>
    <n v="0"/>
    <n v="-9866.3399999999965"/>
    <m/>
    <n v="0"/>
    <m/>
    <n v="-12819.215861893819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43"/>
    <s v="Sistema de Compensação"/>
    <s v="Verde"/>
    <s v="A4"/>
    <s v="Industrial"/>
    <s v="Não se aplica"/>
    <s v="Não se aplica"/>
    <s v="Não se aplica"/>
    <s v="Não se aplica"/>
    <s v="CATIVO"/>
    <x v="11"/>
    <n v="821"/>
    <n v="821"/>
    <n v="0"/>
    <n v="0"/>
    <n v="0"/>
    <n v="0"/>
    <n v="12.58"/>
    <m/>
    <m/>
    <n v="10328.18"/>
    <m/>
    <n v="10328.18"/>
    <n v="9515.39"/>
    <n v="0"/>
    <n v="0"/>
    <n v="0"/>
    <n v="0"/>
    <n v="0"/>
    <n v="5441.1277658655381"/>
    <n v="4884.7111098601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7.43"/>
    <n v="3"/>
    <m/>
    <m/>
    <m/>
    <m/>
    <m/>
    <m/>
    <m/>
    <m/>
    <m/>
    <n v="0"/>
    <m/>
    <m/>
    <m/>
    <m/>
    <m/>
    <m/>
    <m/>
    <m/>
    <m/>
    <m/>
    <m/>
    <m/>
    <n v="9515.39"/>
    <n v="-812.82000000000153"/>
    <m/>
    <m/>
    <m/>
    <m/>
    <n v="-812.79000000000019"/>
    <n v="0"/>
    <n v="31"/>
    <n v="245.02826673383697"/>
    <n v="0"/>
    <n v="0"/>
    <n v="0"/>
    <n v="0"/>
    <m/>
    <m/>
    <m/>
    <n v="245.028266733836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4.7111098601408"/>
    <m/>
    <n v="0"/>
    <n v="0"/>
    <n v="-812.79000000000087"/>
    <m/>
    <n v="0"/>
    <m/>
    <n v="-1056.04818609420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44"/>
    <s v="Regular"/>
    <s v="Convencional"/>
    <s v="B3"/>
    <s v="Comercial"/>
    <s v="Não se aplica"/>
    <s v="Não se aplica"/>
    <s v="Não se aplica"/>
    <s v="Não se aplica"/>
    <s v="CATIVO"/>
    <x v="11"/>
    <n v="0"/>
    <n v="0"/>
    <n v="495.10300000000001"/>
    <n v="495.10300000000001"/>
    <n v="495.10300000000001"/>
    <n v="495.10300000000001"/>
    <m/>
    <n v="239.69"/>
    <n v="171.61"/>
    <m/>
    <n v="203635.8639"/>
    <n v="203635.8639"/>
    <n v="202888.25837"/>
    <n v="0"/>
    <n v="29932.590262176658"/>
    <n v="0"/>
    <n v="0"/>
    <n v="0"/>
    <n v="26406.810156262145"/>
    <n v="43873.41680952091"/>
    <n v="81877.27625780963"/>
    <n v="3087.1439303502048"/>
    <n v="0"/>
    <n v="0"/>
    <n v="0"/>
    <n v="0"/>
    <n v="4628.2776902282858"/>
    <m/>
    <n v="196.08635829641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26.5559177437235"/>
    <n v="0"/>
    <n v="0"/>
    <n v="0"/>
    <n v="41511.14"/>
    <n v="564"/>
    <m/>
    <m/>
    <m/>
    <m/>
    <m/>
    <m/>
    <m/>
    <m/>
    <m/>
    <n v="89803.832175553354"/>
    <m/>
    <m/>
    <m/>
    <m/>
    <m/>
    <m/>
    <m/>
    <m/>
    <m/>
    <m/>
    <m/>
    <m/>
    <n v="202887.02900000001"/>
    <n v="-748.86490000001504"/>
    <m/>
    <m/>
    <m/>
    <m/>
    <n v="-11892.374060000006"/>
    <n v="11144.768529999996"/>
    <n v="31"/>
    <n v="8740.3716695762705"/>
    <n v="0"/>
    <n v="0"/>
    <n v="0"/>
    <n v="0"/>
    <n v="0"/>
    <n v="0"/>
    <n v="0"/>
    <n v="1189.1679815258321"/>
    <n v="0"/>
    <n v="0"/>
    <n v="11147.415672675765"/>
    <n v="0"/>
    <n v="0"/>
    <n v="0"/>
    <n v="1079.1835989948277"/>
    <n v="0"/>
    <n v="-4111.323692601869"/>
    <m/>
    <n v="0"/>
    <n v="0"/>
    <n v="0"/>
    <n v="0"/>
    <n v="-533.37943501248492"/>
    <n v="-30.692456005832611"/>
    <n v="0"/>
    <n v="0"/>
    <m/>
    <m/>
    <m/>
    <n v="43873.41680952091"/>
    <n v="0"/>
    <n v="0"/>
    <n v="-11892.374060000016"/>
    <n v="11144.768530000001"/>
    <n v="0"/>
    <n v="0"/>
    <n v="-9485.1959916163905"/>
    <n v="0"/>
    <n v="0"/>
    <n v="0"/>
    <n v="0"/>
    <n v="0"/>
    <n v="0"/>
    <n v="0"/>
    <n v="0"/>
    <n v="0"/>
    <n v="0"/>
    <n v="0"/>
    <n v="0"/>
    <n v="5708.04080188178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45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13.593"/>
    <n v="13.593"/>
    <n v="13.593"/>
    <n v="13.593"/>
    <m/>
    <n v="239.69"/>
    <n v="171.61"/>
    <m/>
    <n v="5590.8009000000002"/>
    <n v="5590.8009000000002"/>
    <n v="5570.2754700000005"/>
    <n v="0"/>
    <n v="821.79606957293197"/>
    <n v="0"/>
    <n v="0"/>
    <n v="0"/>
    <n v="724.99615323290584"/>
    <n v="1204.5399738878934"/>
    <n v="2247.931877149616"/>
    <n v="84.757206975619894"/>
    <n v="0"/>
    <n v="0"/>
    <n v="0"/>
    <n v="0"/>
    <n v="127.06886979734135"/>
    <m/>
    <n v="5.3835300297577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7.62274635760727"/>
    <n v="0"/>
    <n v="0"/>
    <n v="0"/>
    <n v="1979.26"/>
    <n v="13"/>
    <m/>
    <m/>
    <m/>
    <m/>
    <m/>
    <m/>
    <m/>
    <m/>
    <m/>
    <n v="2465.5546235072234"/>
    <m/>
    <m/>
    <m/>
    <m/>
    <m/>
    <m/>
    <m/>
    <m/>
    <m/>
    <m/>
    <m/>
    <m/>
    <n v="5569.0460999999996"/>
    <n v="-21.784800000001269"/>
    <m/>
    <m/>
    <m/>
    <m/>
    <n v="-326.50386000000015"/>
    <n v="305.97842999999989"/>
    <n v="31"/>
    <n v="239.96597092837237"/>
    <n v="0"/>
    <n v="0"/>
    <n v="0"/>
    <n v="0"/>
    <n v="0"/>
    <n v="0"/>
    <n v="0"/>
    <n v="32.648479958474468"/>
    <n v="0"/>
    <n v="0"/>
    <n v="306.05110701951253"/>
    <n v="0"/>
    <n v="0"/>
    <n v="0"/>
    <n v="29.628870479752095"/>
    <n v="0"/>
    <n v="-112.87595299066504"/>
    <m/>
    <n v="0"/>
    <n v="0"/>
    <n v="0"/>
    <n v="0"/>
    <n v="-14.643875436272282"/>
    <n v="-0.84265810242976258"/>
    <n v="0"/>
    <n v="0"/>
    <m/>
    <m/>
    <m/>
    <n v="1204.5399738878934"/>
    <n v="0"/>
    <n v="0"/>
    <n v="-326.50386000000026"/>
    <n v="305.97843000000012"/>
    <n v="0"/>
    <n v="0"/>
    <n v="-260.4150431608"/>
    <n v="0"/>
    <n v="0"/>
    <n v="0"/>
    <n v="0"/>
    <n v="0"/>
    <n v="0"/>
    <n v="0"/>
    <n v="0"/>
    <n v="0"/>
    <n v="0"/>
    <n v="0"/>
    <n v="0"/>
    <n v="156.7136507352593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46"/>
    <s v="Regular"/>
    <s v="Verde"/>
    <s v="A4"/>
    <s v="Comercial"/>
    <s v="Não se aplica"/>
    <s v="Não se aplica"/>
    <s v="Não se aplica"/>
    <s v="Ponta"/>
    <s v="CATIVO"/>
    <x v="11"/>
    <n v="0"/>
    <n v="0"/>
    <n v="7.4850000000000003"/>
    <n v="7.4850000000000003"/>
    <n v="7.4850000000000003"/>
    <n v="7.4850000000000003"/>
    <m/>
    <n v="984.21"/>
    <n v="171.61"/>
    <m/>
    <n v="8651.3127000000004"/>
    <n v="8651.3127000000004"/>
    <n v="8067.7072500000004"/>
    <n v="0"/>
    <n v="393.69491026671471"/>
    <n v="0"/>
    <n v="0"/>
    <n v="0"/>
    <n v="2946.909360517855"/>
    <n v="3832.9346742484486"/>
    <n v="1237.826094347449"/>
    <n v="46.671646745568665"/>
    <n v="0"/>
    <n v="0"/>
    <n v="0"/>
    <n v="0"/>
    <n v="69.970609168917832"/>
    <m/>
    <n v="1.976492654384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266946406895812"/>
    <n v="0"/>
    <n v="0"/>
    <n v="0"/>
    <n v="0"/>
    <n v="0"/>
    <m/>
    <m/>
    <m/>
    <m/>
    <m/>
    <m/>
    <m/>
    <m/>
    <m/>
    <n v="1284.0930407543449"/>
    <m/>
    <m/>
    <m/>
    <m/>
    <m/>
    <m/>
    <m/>
    <m/>
    <m/>
    <m/>
    <m/>
    <m/>
    <n v="8073.0965000000006"/>
    <n v="-578.2462000000005"/>
    <m/>
    <m/>
    <m/>
    <m/>
    <n v="-752.09280000000012"/>
    <n v="168.48734999999994"/>
    <n v="31"/>
    <n v="245.08546310521433"/>
    <n v="0"/>
    <n v="0"/>
    <n v="0"/>
    <n v="0"/>
    <n v="0"/>
    <n v="0"/>
    <n v="0"/>
    <n v="132.70706439928244"/>
    <n v="0"/>
    <n v="0"/>
    <n v="168.52736967858846"/>
    <n v="0"/>
    <n v="0"/>
    <n v="0"/>
    <n v="6.2991455880760654"/>
    <n v="0"/>
    <n v="-54.075079973335846"/>
    <m/>
    <n v="0"/>
    <n v="0"/>
    <n v="0"/>
    <n v="0"/>
    <n v="-8.0636656838444836"/>
    <n v="-0.30937090355281316"/>
    <n v="0"/>
    <n v="0"/>
    <m/>
    <m/>
    <m/>
    <n v="3832.9346742484486"/>
    <n v="0"/>
    <n v="0"/>
    <n v="-752.09280000000035"/>
    <n v="168.48734999999988"/>
    <n v="0"/>
    <n v="0"/>
    <n v="-828.65979566057467"/>
    <n v="0"/>
    <n v="0"/>
    <n v="0"/>
    <n v="0"/>
    <n v="0"/>
    <n v="0"/>
    <n v="0"/>
    <n v="0"/>
    <n v="0"/>
    <n v="0"/>
    <n v="0"/>
    <n v="0"/>
    <n v="75.07624938611560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47"/>
    <s v="Regular"/>
    <s v="Verde"/>
    <s v="A4"/>
    <s v="Comercial"/>
    <s v="Não se aplica"/>
    <s v="Não se aplica"/>
    <s v="Não se aplica"/>
    <s v="Fora ponta"/>
    <s v="CATIVO"/>
    <x v="11"/>
    <n v="0"/>
    <n v="0"/>
    <n v="85.442999999999998"/>
    <n v="85.442999999999998"/>
    <n v="85.442999999999998"/>
    <n v="85.442999999999998"/>
    <m/>
    <n v="78.42"/>
    <n v="171.61"/>
    <m/>
    <n v="21363.313290000002"/>
    <n v="21363.313290000002"/>
    <n v="22645.812719999998"/>
    <n v="0"/>
    <n v="4494.1181319864936"/>
    <n v="0"/>
    <n v="0"/>
    <n v="0"/>
    <n v="0"/>
    <n v="0"/>
    <n v="14130.070137518916"/>
    <n v="532.76760359139928"/>
    <n v="0"/>
    <n v="0"/>
    <n v="0"/>
    <n v="0"/>
    <n v="798.73062915428795"/>
    <m/>
    <n v="22.562119154116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8.14785595783542"/>
    <n v="0"/>
    <n v="0"/>
    <n v="0"/>
    <n v="0"/>
    <n v="0"/>
    <m/>
    <m/>
    <m/>
    <m/>
    <m/>
    <m/>
    <m/>
    <m/>
    <m/>
    <n v="14658.217993476752"/>
    <m/>
    <m/>
    <m/>
    <m/>
    <m/>
    <m/>
    <m/>
    <m/>
    <m/>
    <m/>
    <m/>
    <m/>
    <n v="22645.017599999999"/>
    <n v="1281.6743099999985"/>
    <m/>
    <m/>
    <m/>
    <m/>
    <n v="-640.82249999999999"/>
    <n v="1923.3219299999992"/>
    <n v="31"/>
    <n v="1282.8253200575673"/>
    <n v="0"/>
    <n v="0"/>
    <n v="0"/>
    <n v="0"/>
    <n v="0"/>
    <n v="0"/>
    <n v="0"/>
    <n v="0"/>
    <n v="0"/>
    <n v="0"/>
    <n v="1923.7787638540576"/>
    <n v="0"/>
    <n v="0"/>
    <n v="0"/>
    <n v="71.906198594787384"/>
    <n v="0"/>
    <n v="-617.27950008840799"/>
    <m/>
    <n v="0"/>
    <n v="0"/>
    <n v="0"/>
    <n v="0"/>
    <n v="-92.048602140911612"/>
    <n v="-3.5315401619589863"/>
    <n v="0"/>
    <n v="0"/>
    <m/>
    <m/>
    <m/>
    <n v="0"/>
    <n v="0"/>
    <n v="0"/>
    <n v="-640.82250000000022"/>
    <n v="1923.3219299999982"/>
    <n v="0"/>
    <n v="0"/>
    <n v="0"/>
    <n v="0"/>
    <n v="0"/>
    <n v="0"/>
    <n v="0"/>
    <n v="0"/>
    <n v="0"/>
    <n v="0"/>
    <n v="0"/>
    <n v="0"/>
    <n v="0"/>
    <n v="0"/>
    <n v="0"/>
    <n v="857.0126888841516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48"/>
    <s v="Regular"/>
    <s v="Verde"/>
    <s v="A4"/>
    <s v="Comercial"/>
    <s v="Não se aplica"/>
    <s v="Não se aplica"/>
    <s v="Não se aplica"/>
    <s v="Não se aplica"/>
    <s v="CATIVO"/>
    <x v="11"/>
    <n v="565"/>
    <n v="565"/>
    <n v="0"/>
    <n v="0"/>
    <n v="0"/>
    <n v="0"/>
    <n v="12.58"/>
    <m/>
    <m/>
    <n v="7107.7"/>
    <m/>
    <n v="7107.7"/>
    <n v="6548.35"/>
    <n v="0"/>
    <n v="0"/>
    <n v="0"/>
    <n v="0"/>
    <n v="0"/>
    <n v="3744.5032737077086"/>
    <n v="3361.58559935563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926.31"/>
    <n v="5"/>
    <m/>
    <m/>
    <m/>
    <m/>
    <m/>
    <m/>
    <m/>
    <m/>
    <m/>
    <n v="0"/>
    <m/>
    <m/>
    <m/>
    <m/>
    <m/>
    <m/>
    <m/>
    <m/>
    <m/>
    <m/>
    <m/>
    <m/>
    <n v="6548.35"/>
    <n v="-559.38000000000011"/>
    <m/>
    <m/>
    <m/>
    <m/>
    <n v="-559.35000000000014"/>
    <n v="0"/>
    <n v="31"/>
    <n v="168.62481206409029"/>
    <n v="0"/>
    <n v="0"/>
    <n v="0"/>
    <n v="0"/>
    <m/>
    <m/>
    <m/>
    <n v="168.62481206409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61.5855993556388"/>
    <m/>
    <n v="0"/>
    <n v="0"/>
    <n v="-559.34999999999945"/>
    <m/>
    <n v="0"/>
    <m/>
    <n v="-726.75666887116267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49"/>
    <s v="Regular"/>
    <s v="Convencional"/>
    <s v="B2"/>
    <s v="Rural"/>
    <s v="Não se aplica"/>
    <s v="Não se aplica"/>
    <s v="Não se aplica"/>
    <s v="Não se aplica"/>
    <s v="CATIVO"/>
    <x v="11"/>
    <n v="0"/>
    <n v="0"/>
    <n v="505.47699999999998"/>
    <n v="505.47699999999998"/>
    <n v="505.47699999999998"/>
    <n v="505.47699999999998"/>
    <m/>
    <n v="239.69"/>
    <n v="171.61"/>
    <m/>
    <n v="207902.69010000001"/>
    <n v="207902.69010000001"/>
    <n v="207139.41982999997"/>
    <n v="0"/>
    <n v="30559.774285258361"/>
    <n v="0"/>
    <n v="0"/>
    <n v="0"/>
    <n v="26960.117747937136"/>
    <n v="44792.705979616767"/>
    <n v="83592.868495987379"/>
    <n v="3151.8295233146041"/>
    <n v="0"/>
    <n v="0"/>
    <n v="0"/>
    <n v="0"/>
    <n v="4725.254991433143"/>
    <m/>
    <n v="200.19499807635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92.642754403314"/>
    <n v="0"/>
    <n v="0"/>
    <n v="0"/>
    <n v="35475.29"/>
    <n v="697"/>
    <m/>
    <m/>
    <m/>
    <m/>
    <m/>
    <n v="24854.304089999991"/>
    <m/>
    <m/>
    <m/>
    <n v="91685.5112503907"/>
    <m/>
    <m/>
    <m/>
    <m/>
    <m/>
    <m/>
    <m/>
    <m/>
    <m/>
    <m/>
    <m/>
    <m/>
    <n v="182286.19760000001"/>
    <n v="-671.23254999998608"/>
    <m/>
    <m/>
    <m/>
    <m/>
    <n v="-12141.557540000005"/>
    <n v="11378.287269999995"/>
    <n v="31"/>
    <n v="8923.5105633017374"/>
    <n v="0"/>
    <n v="0"/>
    <n v="0"/>
    <n v="0"/>
    <n v="0"/>
    <n v="0"/>
    <n v="0"/>
    <n v="1214.0848748598437"/>
    <n v="0"/>
    <n v="0"/>
    <n v="11380.989878827488"/>
    <n v="0"/>
    <n v="0"/>
    <n v="0"/>
    <n v="1101.7959658275322"/>
    <n v="0"/>
    <n v="-4197.469145138115"/>
    <m/>
    <n v="0"/>
    <n v="0"/>
    <n v="0"/>
    <n v="0"/>
    <n v="-544.55544941518474"/>
    <n v="-31.335561659816733"/>
    <n v="0"/>
    <n v="0"/>
    <m/>
    <m/>
    <m/>
    <n v="44792.705979616767"/>
    <n v="0"/>
    <n v="0"/>
    <n v="-12141.557540000009"/>
    <n v="11378.287270000001"/>
    <n v="0"/>
    <n v="0"/>
    <n v="-9683.9413500913506"/>
    <n v="0"/>
    <n v="0"/>
    <n v="0"/>
    <n v="0"/>
    <n v="0"/>
    <n v="0"/>
    <n v="0"/>
    <n v="0"/>
    <n v="0"/>
    <n v="0"/>
    <n v="0"/>
    <n v="0"/>
    <n v="5827.6426125731414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50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8.6999999999999994E-2"/>
    <n v="-8.6999999999999994E-2"/>
    <n v="-8.6999999999999994E-2"/>
    <n v="-8.6999999999999994E-2"/>
    <m/>
    <n v="239.69"/>
    <n v="171.61"/>
    <m/>
    <n v="-35.783099999999997"/>
    <n v="-35.783099999999997"/>
    <n v="-35.651730000000001"/>
    <n v="0"/>
    <n v="-5.2597850403034707"/>
    <n v="0"/>
    <n v="0"/>
    <n v="0"/>
    <n v="-4.6402313934571326"/>
    <n v="-7.7094811835685082"/>
    <n v="-14.387557810050509"/>
    <n v="-0.54247605435731117"/>
    <n v="0"/>
    <n v="0"/>
    <n v="0"/>
    <n v="0"/>
    <n v="-0.81328563763471617"/>
    <m/>
    <n v="-3.44564932383526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3928624242707153"/>
    <n v="0"/>
    <n v="0"/>
    <n v="0"/>
    <n v="-4.8600000000000003"/>
    <n v="0"/>
    <m/>
    <m/>
    <m/>
    <m/>
    <m/>
    <n v="-4.2777899999999986"/>
    <m/>
    <m/>
    <m/>
    <n v="-15.780420234321225"/>
    <m/>
    <m/>
    <m/>
    <m/>
    <m/>
    <m/>
    <m/>
    <m/>
    <m/>
    <m/>
    <m/>
    <m/>
    <n v="-32.455799999999996"/>
    <n v="-0.99615000000000364"/>
    <m/>
    <m/>
    <m/>
    <m/>
    <n v="2.0897400000000008"/>
    <n v="-1.9583699999999991"/>
    <n v="31"/>
    <n v="-1.5358669514285594"/>
    <n v="0"/>
    <n v="0"/>
    <n v="0"/>
    <n v="0"/>
    <n v="0"/>
    <n v="0"/>
    <n v="0"/>
    <n v="-0.20896180066116976"/>
    <n v="0"/>
    <n v="0"/>
    <n v="-1.9588351585888013"/>
    <n v="0"/>
    <n v="0"/>
    <n v="0"/>
    <n v="-0.18963523370399682"/>
    <n v="0"/>
    <n v="0.72244595822760704"/>
    <m/>
    <n v="0"/>
    <n v="0"/>
    <n v="0"/>
    <n v="0"/>
    <n v="9.3725973880356639E-2"/>
    <n v="5.3933094174493726E-3"/>
    <n v="0"/>
    <n v="0"/>
    <m/>
    <m/>
    <m/>
    <n v="-7.7094811835685082"/>
    <n v="0"/>
    <n v="0"/>
    <n v="2.089739999999999"/>
    <n v="-1.9583699999999986"/>
    <n v="0"/>
    <n v="0"/>
    <n v="1.6667482347524176"/>
    <n v="0"/>
    <n v="0"/>
    <n v="0"/>
    <n v="0"/>
    <n v="0"/>
    <n v="0"/>
    <n v="0"/>
    <n v="0"/>
    <n v="0"/>
    <n v="0"/>
    <n v="0"/>
    <n v="0"/>
    <n v="-1.003022703889322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51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15.179"/>
    <n v="15.179"/>
    <n v="15.179"/>
    <n v="15.179"/>
    <m/>
    <n v="239.69"/>
    <n v="171.61"/>
    <m/>
    <n v="6243.1226999999999"/>
    <n v="6243.1226999999999"/>
    <n v="6220.2024099999999"/>
    <n v="0"/>
    <n v="917.68134628467112"/>
    <n v="0"/>
    <n v="0"/>
    <n v="0"/>
    <n v="809.58703817569904"/>
    <n v="1345.0829297170851"/>
    <n v="2510.2154022845598"/>
    <n v="94.646483092984212"/>
    <n v="0"/>
    <n v="0"/>
    <n v="0"/>
    <n v="0"/>
    <n v="141.89497349031444"/>
    <m/>
    <n v="6.0116679409765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0144682529332"/>
    <n v="0"/>
    <n v="0"/>
    <n v="0"/>
    <n v="3506.96"/>
    <n v="21"/>
    <m/>
    <m/>
    <m/>
    <m/>
    <m/>
    <n v="746.35142999999982"/>
    <m/>
    <m/>
    <m/>
    <n v="2753.2298705374928"/>
    <m/>
    <m/>
    <m/>
    <m/>
    <m/>
    <m/>
    <m/>
    <m/>
    <m/>
    <m/>
    <m/>
    <m/>
    <n v="5474.2115999999996"/>
    <n v="-19.857450000001336"/>
    <m/>
    <m/>
    <m/>
    <m/>
    <n v="-364.59958000000017"/>
    <n v="341.67928999999987"/>
    <n v="31"/>
    <n v="267.96464891648429"/>
    <n v="0"/>
    <n v="0"/>
    <n v="0"/>
    <n v="0"/>
    <n v="0"/>
    <n v="0"/>
    <n v="0"/>
    <n v="36.457829565929956"/>
    <n v="0"/>
    <n v="0"/>
    <n v="341.76044680711993"/>
    <n v="0"/>
    <n v="0"/>
    <n v="0"/>
    <n v="33.085898993022653"/>
    <n v="0"/>
    <n v="-126.04605976938899"/>
    <m/>
    <n v="0"/>
    <n v="0"/>
    <n v="0"/>
    <n v="0"/>
    <n v="-16.352489167010717"/>
    <n v="-0.94097751318924239"/>
    <n v="0"/>
    <n v="0"/>
    <m/>
    <m/>
    <m/>
    <n v="1345.0829297170851"/>
    <n v="0"/>
    <n v="0"/>
    <n v="-364.59958000000051"/>
    <n v="341.67929000000004"/>
    <n v="0"/>
    <n v="0"/>
    <n v="-290.79967190007983"/>
    <n v="0"/>
    <n v="0"/>
    <n v="0"/>
    <n v="0"/>
    <n v="0"/>
    <n v="0"/>
    <n v="0"/>
    <n v="0"/>
    <n v="0"/>
    <n v="0"/>
    <n v="0"/>
    <n v="0"/>
    <n v="174.9986393371957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52"/>
    <s v="Regular"/>
    <s v="Verde"/>
    <s v="A4"/>
    <s v="Rural"/>
    <s v="Não se aplica"/>
    <s v="Não se aplica"/>
    <s v="Não se aplica"/>
    <s v="Ponta"/>
    <s v="CATIVO"/>
    <x v="11"/>
    <n v="0"/>
    <n v="0"/>
    <n v="8.68"/>
    <n v="8.3328000000000007"/>
    <n v="8.68"/>
    <n v="8.3328000000000007"/>
    <m/>
    <n v="984.21"/>
    <n v="171.61"/>
    <m/>
    <n v="10032.517600000001"/>
    <n v="10032.517600000001"/>
    <n v="9355.7379999999994"/>
    <n v="0"/>
    <n v="456.54934149834116"/>
    <n v="0"/>
    <n v="0"/>
    <n v="0"/>
    <n v="3417.391215670672"/>
    <n v="4444.8728086140991"/>
    <n v="1435.4482964510164"/>
    <n v="54.122898296798397"/>
    <n v="0"/>
    <n v="0"/>
    <n v="0"/>
    <n v="0"/>
    <n v="81.141601547923401"/>
    <m/>
    <n v="2.29204492185115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653586481209835"/>
    <n v="0"/>
    <n v="0"/>
    <n v="0"/>
    <n v="0"/>
    <n v="0"/>
    <m/>
    <m/>
    <m/>
    <m/>
    <m/>
    <n v="374.22951999999901"/>
    <m/>
    <m/>
    <m/>
    <n v="1489.1018829322263"/>
    <m/>
    <m/>
    <m/>
    <m/>
    <m/>
    <m/>
    <m/>
    <m/>
    <m/>
    <m/>
    <m/>
    <m/>
    <n v="8978.4904999999999"/>
    <n v="-652.7563960000025"/>
    <m/>
    <m/>
    <m/>
    <m/>
    <n v="-872.16640000000018"/>
    <n v="195.38679999999991"/>
    <n v="31"/>
    <n v="284.21400397505022"/>
    <n v="0"/>
    <n v="0"/>
    <n v="0"/>
    <n v="0"/>
    <n v="0"/>
    <n v="0"/>
    <n v="0"/>
    <n v="153.8940973928884"/>
    <n v="0"/>
    <n v="0"/>
    <n v="195.43320892587121"/>
    <n v="0"/>
    <n v="0"/>
    <n v="0"/>
    <n v="7.3048208022044392"/>
    <n v="0"/>
    <n v="-62.708309174155659"/>
    <m/>
    <n v="0"/>
    <n v="0"/>
    <n v="0"/>
    <n v="0"/>
    <n v="-9.351051187143625"/>
    <n v="-0.35876278461435129"/>
    <n v="0"/>
    <n v="0"/>
    <m/>
    <m/>
    <m/>
    <n v="4444.8728086140991"/>
    <n v="0"/>
    <n v="0"/>
    <n v="-872.16640000000098"/>
    <n v="195.38679999999999"/>
    <n v="0"/>
    <n v="0"/>
    <n v="-960.95751854826813"/>
    <n v="0"/>
    <n v="0"/>
    <n v="0"/>
    <n v="0"/>
    <n v="0"/>
    <n v="0"/>
    <n v="0"/>
    <n v="0"/>
    <n v="0"/>
    <n v="0"/>
    <n v="0"/>
    <n v="0"/>
    <n v="87.06237069759296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53"/>
    <s v="Sistema de Compensação"/>
    <s v="Verde"/>
    <s v="A4"/>
    <s v="Rural"/>
    <s v="Não se aplica"/>
    <s v="Não se aplica"/>
    <s v="Não se aplica"/>
    <s v="Ponta"/>
    <s v="CATIVO"/>
    <x v="11"/>
    <n v="0"/>
    <n v="0"/>
    <n v="1.5509999999999999"/>
    <n v="1.4889599999999998"/>
    <n v="1.5509999999999999"/>
    <n v="1.4889599999999998"/>
    <m/>
    <n v="984.21"/>
    <n v="171.61"/>
    <m/>
    <n v="1792.6768200000001"/>
    <n v="1792.6768200000001"/>
    <n v="1671.7453500000001"/>
    <n v="0"/>
    <n v="81.579265975106807"/>
    <n v="0"/>
    <n v="0"/>
    <n v="0"/>
    <n v="610.6421400351627"/>
    <n v="794.23936937332576"/>
    <n v="256.49542716538321"/>
    <n v="9.6710386242320645"/>
    <n v="0"/>
    <n v="0"/>
    <n v="0"/>
    <n v="0"/>
    <n v="14.498919815763733"/>
    <m/>
    <n v="0.40955779651971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5871788746954429"/>
    <n v="0"/>
    <n v="0"/>
    <n v="0"/>
    <n v="0"/>
    <n v="0"/>
    <m/>
    <m/>
    <m/>
    <m/>
    <m/>
    <n v="66.869814000000105"/>
    <m/>
    <m/>
    <m/>
    <n v="266.08260604007864"/>
    <m/>
    <m/>
    <m/>
    <m/>
    <m/>
    <m/>
    <m/>
    <m/>
    <m/>
    <m/>
    <m/>
    <m/>
    <n v="1605.9965000000002"/>
    <n v="-115.00324719999958"/>
    <m/>
    <m/>
    <m/>
    <m/>
    <n v="-155.84448000000003"/>
    <n v="34.913009999999986"/>
    <n v="31"/>
    <n v="50.785244258675561"/>
    <n v="0"/>
    <n v="0"/>
    <n v="0"/>
    <n v="0"/>
    <n v="0"/>
    <n v="0"/>
    <n v="0"/>
    <n v="27.498818554881382"/>
    <n v="0"/>
    <n v="0"/>
    <n v="34.921302654841782"/>
    <n v="0"/>
    <n v="0"/>
    <n v="0"/>
    <n v="1.3052738553247814"/>
    <n v="0"/>
    <n v="-11.205136812110069"/>
    <m/>
    <n v="0"/>
    <n v="0"/>
    <n v="0"/>
    <n v="0"/>
    <n v="-1.6709078791773919"/>
    <n v="-6.4106115084891502E-2"/>
    <n v="0"/>
    <n v="0"/>
    <m/>
    <m/>
    <m/>
    <n v="794.23936937332576"/>
    <n v="0"/>
    <n v="0"/>
    <n v="-155.84447999999998"/>
    <n v="34.913009999999986"/>
    <n v="0"/>
    <n v="0"/>
    <n v="-171.7102662751571"/>
    <n v="0"/>
    <n v="0"/>
    <n v="0"/>
    <n v="0"/>
    <n v="0"/>
    <n v="0"/>
    <n v="0"/>
    <n v="0"/>
    <n v="0"/>
    <n v="0"/>
    <n v="0"/>
    <n v="0"/>
    <n v="15.55688213732335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54"/>
    <s v="Regular"/>
    <s v="Verde"/>
    <s v="A4"/>
    <s v="Rural"/>
    <s v="Não se aplica"/>
    <s v="Não se aplica"/>
    <s v="Não se aplica"/>
    <s v="Fora ponta"/>
    <s v="CATIVO"/>
    <x v="11"/>
    <n v="0"/>
    <n v="0"/>
    <n v="134.49199999999999"/>
    <n v="129.11232000000001"/>
    <n v="134.49199999999999"/>
    <n v="129.11232000000001"/>
    <m/>
    <n v="78.42"/>
    <n v="171.61"/>
    <m/>
    <n v="33627.034759999995"/>
    <n v="33627.034759999995"/>
    <n v="35645.759679999996"/>
    <n v="0"/>
    <n v="7073.9900964049421"/>
    <n v="0"/>
    <n v="0"/>
    <n v="0"/>
    <n v="0"/>
    <n v="0"/>
    <n v="22241.510632061072"/>
    <n v="838.60562646693666"/>
    <n v="0"/>
    <n v="0"/>
    <n v="0"/>
    <n v="0"/>
    <n v="1257.246114675497"/>
    <m/>
    <n v="35.514021385899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1.33388859802676"/>
    <n v="0"/>
    <n v="0"/>
    <n v="0"/>
    <n v="0"/>
    <n v="0"/>
    <m/>
    <m/>
    <m/>
    <m/>
    <m/>
    <n v="1425.8303871999947"/>
    <m/>
    <m/>
    <m/>
    <n v="23072.844520659099"/>
    <m/>
    <m/>
    <m/>
    <m/>
    <m/>
    <m/>
    <m/>
    <m/>
    <m/>
    <m/>
    <m/>
    <m/>
    <n v="34219.314400000003"/>
    <n v="1937.3310304000006"/>
    <m/>
    <m/>
    <m/>
    <m/>
    <n v="-1008.6899999999999"/>
    <n v="3027.4149199999983"/>
    <n v="31"/>
    <n v="2019.237888945645"/>
    <n v="0"/>
    <n v="0"/>
    <n v="0"/>
    <n v="0"/>
    <n v="0"/>
    <n v="0"/>
    <n v="0"/>
    <n v="0"/>
    <n v="0"/>
    <n v="0"/>
    <n v="3028.13400171178"/>
    <n v="0"/>
    <n v="0"/>
    <n v="0"/>
    <n v="113.18432711176035"/>
    <n v="0"/>
    <n v="-971.63201813946307"/>
    <m/>
    <n v="0"/>
    <n v="0"/>
    <n v="0"/>
    <n v="0"/>
    <n v="-144.88958251858526"/>
    <n v="-5.5588392198563739"/>
    <n v="0"/>
    <n v="0"/>
    <m/>
    <m/>
    <m/>
    <n v="0"/>
    <n v="0"/>
    <n v="0"/>
    <n v="-1008.6900000000005"/>
    <n v="3027.4149199999993"/>
    <n v="0"/>
    <n v="0"/>
    <n v="0"/>
    <n v="0"/>
    <n v="0"/>
    <n v="0"/>
    <n v="0"/>
    <n v="0"/>
    <n v="0"/>
    <n v="0"/>
    <n v="0"/>
    <n v="0"/>
    <n v="0"/>
    <n v="0"/>
    <n v="0"/>
    <n v="1348.985294914824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55"/>
    <s v="Sistema de Compensação"/>
    <s v="Verde"/>
    <s v="A4"/>
    <s v="Rural"/>
    <s v="Não se aplica"/>
    <s v="Não se aplica"/>
    <s v="Não se aplica"/>
    <s v="Fora ponta"/>
    <s v="CATIVO"/>
    <x v="11"/>
    <n v="0"/>
    <n v="0"/>
    <n v="0.58499999999999996"/>
    <n v="0.56159999999999999"/>
    <n v="0.58499999999999996"/>
    <n v="0.56159999999999999"/>
    <m/>
    <n v="78.42"/>
    <n v="171.61"/>
    <m/>
    <n v="146.26755"/>
    <n v="146.26755"/>
    <n v="155.04839999999999"/>
    <n v="0"/>
    <n v="30.769742485775296"/>
    <n v="0"/>
    <n v="0"/>
    <n v="0"/>
    <n v="0"/>
    <n v="0"/>
    <n v="96.743923205512047"/>
    <n v="3.6476838137819194"/>
    <n v="0"/>
    <n v="0"/>
    <n v="0"/>
    <n v="0"/>
    <n v="5.4686448047851606"/>
    <m/>
    <n v="0.154475377797572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6160539275930588"/>
    <n v="0"/>
    <n v="0"/>
    <n v="0"/>
    <n v="0"/>
    <n v="0"/>
    <m/>
    <m/>
    <m/>
    <m/>
    <m/>
    <n v="6.2019359999999937"/>
    <m/>
    <m/>
    <m/>
    <n v="100.3599771331051"/>
    <m/>
    <m/>
    <m/>
    <m/>
    <m/>
    <m/>
    <m/>
    <m/>
    <m/>
    <m/>
    <m/>
    <m/>
    <n v="148.42240000000001"/>
    <n v="7.9755520000000217"/>
    <m/>
    <m/>
    <m/>
    <m/>
    <n v="-4.3874999999999993"/>
    <n v="13.168349999999993"/>
    <n v="31"/>
    <n v="8.7830812615857781"/>
    <n v="0"/>
    <n v="0"/>
    <n v="0"/>
    <n v="0"/>
    <n v="0"/>
    <n v="0"/>
    <n v="0"/>
    <n v="0"/>
    <n v="0"/>
    <n v="0"/>
    <n v="13.171477790510906"/>
    <n v="0"/>
    <n v="0"/>
    <n v="0"/>
    <n v="0.49231799185364045"/>
    <n v="0"/>
    <n v="-4.2263088556314585"/>
    <m/>
    <n v="0"/>
    <n v="0"/>
    <n v="0"/>
    <n v="0"/>
    <n v="-0.6302263760920539"/>
    <n v="-2.4179289055229869E-2"/>
    <n v="0"/>
    <n v="0"/>
    <m/>
    <m/>
    <m/>
    <n v="0"/>
    <n v="0"/>
    <n v="0"/>
    <n v="-4.3874999999999957"/>
    <n v="13.16834999999999"/>
    <n v="0"/>
    <n v="0"/>
    <n v="0"/>
    <n v="0"/>
    <n v="0"/>
    <n v="0"/>
    <n v="0"/>
    <n v="0"/>
    <n v="0"/>
    <n v="0"/>
    <n v="0"/>
    <n v="0"/>
    <n v="0"/>
    <n v="0"/>
    <n v="0"/>
    <n v="5.867682817752521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56"/>
    <s v="Regular"/>
    <s v="Verde"/>
    <s v="A4"/>
    <s v="Rural"/>
    <s v="Não se aplica"/>
    <s v="Não se aplica"/>
    <s v="Não se aplica"/>
    <s v="Não se aplica"/>
    <s v="CATIVO"/>
    <x v="11"/>
    <n v="973"/>
    <n v="934.08"/>
    <n v="0"/>
    <n v="0"/>
    <n v="0"/>
    <n v="0"/>
    <n v="12.58"/>
    <m/>
    <m/>
    <n v="12240.34"/>
    <m/>
    <n v="12240.34"/>
    <n v="11277.07"/>
    <n v="0"/>
    <n v="0"/>
    <n v="0"/>
    <n v="0"/>
    <n v="0"/>
    <n v="6448.4985580842485"/>
    <n v="5789.06688172218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512.17"/>
    <n v="10"/>
    <m/>
    <m/>
    <m/>
    <m/>
    <m/>
    <n v="451.08279999999951"/>
    <m/>
    <m/>
    <m/>
    <n v="0"/>
    <m/>
    <m/>
    <m/>
    <m/>
    <m/>
    <m/>
    <m/>
    <m/>
    <m/>
    <m/>
    <m/>
    <m/>
    <n v="10825.9872"/>
    <n v="-924.76920000000246"/>
    <m/>
    <m/>
    <m/>
    <m/>
    <n v="-963.27000000000021"/>
    <n v="0"/>
    <n v="31"/>
    <n v="290.39281794399994"/>
    <n v="0"/>
    <n v="0"/>
    <n v="0"/>
    <n v="0"/>
    <m/>
    <m/>
    <m/>
    <n v="290.392817943999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89.0668817221886"/>
    <m/>
    <n v="0"/>
    <n v="0"/>
    <n v="-963.27000000000044"/>
    <m/>
    <n v="0"/>
    <m/>
    <n v="-1251.5650244453827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57"/>
    <s v="Sistema de Compensação"/>
    <s v="Verde"/>
    <s v="A4"/>
    <s v="Rural"/>
    <s v="Não se aplica"/>
    <s v="Não se aplica"/>
    <s v="Não se aplica"/>
    <s v="Não se aplica"/>
    <s v="CATIVO"/>
    <x v="11"/>
    <n v="85"/>
    <n v="81.599999999999994"/>
    <n v="0"/>
    <n v="0"/>
    <n v="0"/>
    <n v="0"/>
    <n v="12.58"/>
    <m/>
    <m/>
    <n v="1069.3"/>
    <m/>
    <n v="1069.3"/>
    <n v="985.15"/>
    <n v="0"/>
    <n v="0"/>
    <n v="0"/>
    <n v="0"/>
    <n v="0"/>
    <n v="563.33235091177914"/>
    <n v="505.725267159697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97.96"/>
    <n v="1"/>
    <m/>
    <m/>
    <m/>
    <m/>
    <m/>
    <n v="39.406000000000063"/>
    <m/>
    <m/>
    <m/>
    <n v="0"/>
    <m/>
    <m/>
    <m/>
    <m/>
    <m/>
    <m/>
    <m/>
    <m/>
    <m/>
    <m/>
    <m/>
    <m/>
    <n v="945.74399999999991"/>
    <n v="-80.814000000000078"/>
    <m/>
    <m/>
    <m/>
    <m/>
    <n v="-84.15000000000002"/>
    <n v="0"/>
    <n v="31"/>
    <n v="25.368334558314473"/>
    <n v="0"/>
    <n v="0"/>
    <n v="0"/>
    <n v="0"/>
    <m/>
    <m/>
    <m/>
    <n v="25.3683345583144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5.72526715969786"/>
    <m/>
    <n v="0"/>
    <n v="0"/>
    <n v="-84.149999999999977"/>
    <m/>
    <n v="0"/>
    <m/>
    <n v="-109.33507407796253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58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42.073999999999998"/>
    <n v="42.073999999999998"/>
    <n v="42.073999999999998"/>
    <n v="42.073999999999998"/>
    <m/>
    <n v="239.69"/>
    <n v="171.61"/>
    <m/>
    <n v="17305.036199999999"/>
    <n v="17305.036199999999"/>
    <n v="17241.504459999996"/>
    <n v="0"/>
    <n v="2543.6804113302096"/>
    <n v="0"/>
    <n v="0"/>
    <n v="0"/>
    <n v="2244.0585706702918"/>
    <n v="3728.3759921547289"/>
    <n v="6957.955256322588"/>
    <n v="262.34640817275294"/>
    <n v="0"/>
    <n v="0"/>
    <n v="0"/>
    <n v="0"/>
    <n v="393.31241284877063"/>
    <m/>
    <n v="16.6634769713844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3.60107630765594"/>
    <n v="0"/>
    <n v="0"/>
    <n v="0"/>
    <n v="3326.35"/>
    <n v="44"/>
    <m/>
    <m/>
    <m/>
    <m/>
    <m/>
    <m/>
    <m/>
    <m/>
    <m/>
    <n v="7631.5563326302436"/>
    <m/>
    <m/>
    <m/>
    <m/>
    <m/>
    <m/>
    <m/>
    <m/>
    <m/>
    <m/>
    <m/>
    <m/>
    <n v="17239.865300000001"/>
    <n v="-65.200899999996182"/>
    <m/>
    <m/>
    <m/>
    <m/>
    <n v="-1010.6174800000003"/>
    <n v="947.08573999999953"/>
    <n v="31"/>
    <n v="742.75938062534624"/>
    <n v="0"/>
    <n v="0"/>
    <n v="0"/>
    <n v="0"/>
    <n v="0"/>
    <n v="0"/>
    <n v="0"/>
    <n v="101.055848287564"/>
    <n v="0"/>
    <n v="0"/>
    <n v="947.31069497086446"/>
    <n v="0"/>
    <n v="0"/>
    <n v="0"/>
    <n v="91.709342791516974"/>
    <n v="0"/>
    <n v="-349.38150858009567"/>
    <m/>
    <n v="0"/>
    <n v="0"/>
    <n v="0"/>
    <n v="0"/>
    <n v="-45.326742816576143"/>
    <n v="-2.6082540279283322"/>
    <n v="0"/>
    <n v="0"/>
    <m/>
    <m/>
    <m/>
    <n v="3728.3759921547289"/>
    <n v="0"/>
    <n v="0"/>
    <n v="-1010.6174800000008"/>
    <n v="947.08573999999953"/>
    <n v="0"/>
    <n v="0"/>
    <n v="-806.05477274681834"/>
    <n v="0"/>
    <n v="0"/>
    <n v="0"/>
    <n v="0"/>
    <n v="0"/>
    <n v="0"/>
    <n v="0"/>
    <n v="0"/>
    <n v="0"/>
    <n v="0"/>
    <n v="0"/>
    <n v="0"/>
    <n v="485.0710027981537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59"/>
    <s v="Regular"/>
    <s v="Verde"/>
    <s v="A4"/>
    <s v="Poder público"/>
    <s v="Não se aplica"/>
    <s v="Não se aplica"/>
    <s v="Não se aplica"/>
    <s v="Ponta"/>
    <s v="CATIVO"/>
    <x v="11"/>
    <n v="0"/>
    <n v="0"/>
    <n v="1.044"/>
    <n v="1.044"/>
    <n v="1.044"/>
    <n v="1.044"/>
    <m/>
    <n v="984.21"/>
    <n v="171.61"/>
    <m/>
    <n v="1206.6760800000002"/>
    <n v="1206.6760800000002"/>
    <n v="1125.2754"/>
    <n v="0"/>
    <n v="54.912155820768227"/>
    <n v="0"/>
    <n v="0"/>
    <n v="0"/>
    <n v="411.03184667744029"/>
    <n v="534.61373412363127"/>
    <n v="172.65069372060614"/>
    <n v="6.5097126522877344"/>
    <n v="0"/>
    <n v="0"/>
    <n v="0"/>
    <n v="0"/>
    <n v="9.7594276516165941"/>
    <m/>
    <n v="0.27567913576182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532654707814592"/>
    <n v="0"/>
    <n v="0"/>
    <n v="0"/>
    <n v="0"/>
    <n v="0"/>
    <m/>
    <m/>
    <m/>
    <m/>
    <m/>
    <m/>
    <m/>
    <m/>
    <m/>
    <n v="179.10395919138759"/>
    <m/>
    <m/>
    <m/>
    <m/>
    <m/>
    <m/>
    <m/>
    <m/>
    <m/>
    <m/>
    <m/>
    <m/>
    <n v="1120.9639999999999"/>
    <n v="-85.742080000000215"/>
    <m/>
    <m/>
    <m/>
    <m/>
    <n v="-104.90112000000002"/>
    <n v="23.50043999999999"/>
    <n v="31"/>
    <n v="34.18426499423424"/>
    <n v="0"/>
    <n v="0"/>
    <n v="0"/>
    <n v="0"/>
    <n v="0"/>
    <n v="0"/>
    <n v="0"/>
    <n v="18.509843050481095"/>
    <n v="0"/>
    <n v="0"/>
    <n v="23.506021903065601"/>
    <n v="0"/>
    <n v="0"/>
    <n v="0"/>
    <n v="0.87859826238495842"/>
    <n v="0"/>
    <n v="-7.5423358038961439"/>
    <m/>
    <n v="0"/>
    <n v="0"/>
    <n v="0"/>
    <n v="0"/>
    <n v="-1.1247116865642788"/>
    <n v="-4.3150731237025647E-2"/>
    <n v="0"/>
    <n v="0"/>
    <m/>
    <m/>
    <m/>
    <n v="534.61373412363127"/>
    <n v="0"/>
    <n v="0"/>
    <n v="-104.90112000000011"/>
    <n v="23.500439999999998"/>
    <n v="0"/>
    <n v="0"/>
    <n v="-115.58060476548292"/>
    <n v="0"/>
    <n v="0"/>
    <n v="0"/>
    <n v="0"/>
    <n v="0"/>
    <n v="0"/>
    <n v="0"/>
    <n v="0"/>
    <n v="0"/>
    <n v="0"/>
    <n v="0"/>
    <n v="0"/>
    <n v="10.471557028604501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60"/>
    <s v="Regular"/>
    <s v="Verde"/>
    <s v="A4"/>
    <s v="Poder público"/>
    <s v="Não se aplica"/>
    <s v="Não se aplica"/>
    <s v="Não se aplica"/>
    <s v="Fora ponta"/>
    <s v="CATIVO"/>
    <x v="11"/>
    <n v="0"/>
    <n v="0"/>
    <n v="8.2579999999999991"/>
    <n v="8.2579999999999991"/>
    <n v="8.2579999999999991"/>
    <n v="8.2579999999999991"/>
    <m/>
    <n v="78.42"/>
    <n v="171.61"/>
    <m/>
    <n v="2064.7477399999998"/>
    <n v="2064.7477399999998"/>
    <n v="2188.7003199999999"/>
    <n v="0"/>
    <n v="434.35304862826047"/>
    <n v="0"/>
    <n v="0"/>
    <n v="0"/>
    <n v="0"/>
    <n v="0"/>
    <n v="1365.6603723608862"/>
    <n v="51.491577665318104"/>
    <n v="0"/>
    <n v="0"/>
    <n v="0"/>
    <n v="0"/>
    <n v="77.196698799856151"/>
    <m/>
    <n v="2.18061140145701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045082622330732"/>
    <n v="0"/>
    <n v="0"/>
    <n v="0"/>
    <n v="0"/>
    <n v="0"/>
    <m/>
    <m/>
    <m/>
    <m/>
    <m/>
    <m/>
    <m/>
    <m/>
    <m/>
    <n v="1416.7054549832169"/>
    <m/>
    <m/>
    <m/>
    <m/>
    <m/>
    <m/>
    <m/>
    <m/>
    <m/>
    <m/>
    <m/>
    <m/>
    <n v="2189.2303999999999"/>
    <n v="124.45265999999992"/>
    <m/>
    <m/>
    <m/>
    <m/>
    <n v="-61.934999999999995"/>
    <n v="185.8875799999999"/>
    <n v="31"/>
    <n v="123.98407702252234"/>
    <n v="0"/>
    <n v="0"/>
    <n v="0"/>
    <n v="0"/>
    <n v="0"/>
    <n v="0"/>
    <n v="0"/>
    <n v="0"/>
    <n v="0"/>
    <n v="0"/>
    <n v="185.93173263938297"/>
    <n v="0"/>
    <n v="0"/>
    <n v="0"/>
    <n v="6.9496785926963511"/>
    <n v="0"/>
    <n v="-59.659587230435136"/>
    <m/>
    <n v="0"/>
    <n v="0"/>
    <n v="0"/>
    <n v="0"/>
    <n v="-8.8964263483216683"/>
    <n v="-0.34132063080015129"/>
    <n v="0"/>
    <n v="0"/>
    <m/>
    <m/>
    <m/>
    <n v="0"/>
    <n v="0"/>
    <n v="0"/>
    <n v="-61.935000000000059"/>
    <n v="185.88757999999984"/>
    <n v="0"/>
    <n v="0"/>
    <n v="0"/>
    <n v="0"/>
    <n v="0"/>
    <n v="0"/>
    <n v="0"/>
    <n v="0"/>
    <n v="0"/>
    <n v="0"/>
    <n v="0"/>
    <n v="0"/>
    <n v="0"/>
    <n v="0"/>
    <n v="0"/>
    <n v="82.829614887180028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61"/>
    <s v="Regular"/>
    <s v="Verde"/>
    <s v="A4"/>
    <s v="Poder público"/>
    <s v="Não se aplica"/>
    <s v="Não se aplica"/>
    <s v="Não se aplica"/>
    <s v="Não se aplica"/>
    <s v="CATIVO"/>
    <x v="11"/>
    <n v="155"/>
    <n v="155"/>
    <n v="0"/>
    <n v="0"/>
    <n v="0"/>
    <n v="0"/>
    <n v="12.58"/>
    <m/>
    <m/>
    <n v="1949.9"/>
    <m/>
    <n v="1949.9"/>
    <n v="1796.45"/>
    <n v="0"/>
    <n v="0"/>
    <n v="0"/>
    <n v="0"/>
    <n v="0"/>
    <n v="1027.2531104861855"/>
    <n v="922.20489893827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22.91"/>
    <n v="3"/>
    <m/>
    <m/>
    <m/>
    <m/>
    <m/>
    <m/>
    <m/>
    <m/>
    <m/>
    <n v="0"/>
    <m/>
    <m/>
    <m/>
    <m/>
    <m/>
    <m/>
    <m/>
    <m/>
    <m/>
    <m/>
    <m/>
    <m/>
    <n v="1796.45"/>
    <n v="-153.48000000000002"/>
    <m/>
    <m/>
    <m/>
    <m/>
    <n v="-153.45000000000005"/>
    <n v="0"/>
    <n v="31"/>
    <n v="46.259904194573437"/>
    <n v="0"/>
    <n v="0"/>
    <n v="0"/>
    <n v="0"/>
    <m/>
    <m/>
    <m/>
    <n v="46.2599041945734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2.20489893827255"/>
    <m/>
    <n v="0"/>
    <n v="0"/>
    <n v="-153.45000000000005"/>
    <m/>
    <n v="0"/>
    <m/>
    <n v="-199.37572331863748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62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110.35599999999999"/>
    <n v="110.35599999999999"/>
    <n v="110.35599999999999"/>
    <n v="110.35599999999999"/>
    <m/>
    <n v="131.83000000000001"/>
    <n v="94.39"/>
    <m/>
    <n v="24964.73432"/>
    <n v="24964.73432"/>
    <n v="24873.13884"/>
    <n v="0"/>
    <n v="3669.5041476925503"/>
    <n v="0"/>
    <n v="0"/>
    <n v="0"/>
    <n v="3237.270765643626"/>
    <n v="5378.5417013981269"/>
    <n v="10037.521049738674"/>
    <n v="378.45997816161497"/>
    <n v="0"/>
    <n v="0"/>
    <n v="0"/>
    <n v="0"/>
    <n v="567.39106212355387"/>
    <m/>
    <n v="24.038671520648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1.73447277069351"/>
    <n v="0"/>
    <n v="0"/>
    <n v="0"/>
    <n v="5094.5"/>
    <n v="7"/>
    <m/>
    <m/>
    <m/>
    <m/>
    <m/>
    <m/>
    <m/>
    <m/>
    <m/>
    <n v="11009.255522509367"/>
    <m/>
    <m/>
    <m/>
    <m/>
    <m/>
    <m/>
    <m/>
    <m/>
    <m/>
    <m/>
    <m/>
    <m/>
    <n v="24874.040399999998"/>
    <n v="-90.723920000000362"/>
    <m/>
    <m/>
    <m/>
    <m/>
    <n v="-1457.8027600000007"/>
    <n v="1366.2072799999994"/>
    <n v="31"/>
    <n v="1071.5019920749219"/>
    <n v="0"/>
    <n v="0"/>
    <n v="0"/>
    <n v="0"/>
    <n v="0"/>
    <n v="0"/>
    <n v="0"/>
    <n v="145.78280069620632"/>
    <n v="0"/>
    <n v="0"/>
    <n v="1366.5869772261522"/>
    <n v="0"/>
    <n v="0"/>
    <n v="0"/>
    <n v="132.29956572242816"/>
    <n v="0"/>
    <n v="-504.01649875162366"/>
    <m/>
    <n v="0"/>
    <n v="0"/>
    <n v="0"/>
    <n v="0"/>
    <n v="-65.388195005141938"/>
    <n v="-3.7626578130991071"/>
    <n v="0"/>
    <n v="0"/>
    <m/>
    <m/>
    <m/>
    <n v="5378.5417013981269"/>
    <n v="0"/>
    <n v="0"/>
    <n v="-1457.8027600000005"/>
    <n v="1366.2072800000005"/>
    <n v="0"/>
    <n v="0"/>
    <n v="-1162.8116954814377"/>
    <n v="0"/>
    <n v="0"/>
    <n v="0"/>
    <n v="0"/>
    <n v="0"/>
    <n v="0"/>
    <n v="0"/>
    <n v="0"/>
    <n v="0"/>
    <n v="0"/>
    <n v="0"/>
    <n v="0"/>
    <n v="699.76167161753312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63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35.835999999999999"/>
    <n v="33.685839999999999"/>
    <n v="35.835999999999999"/>
    <n v="33.685839999999999"/>
    <m/>
    <n v="239.69"/>
    <n v="171.61"/>
    <m/>
    <n v="14739.346799999999"/>
    <n v="14739.346799999999"/>
    <n v="14685.234439999998"/>
    <n v="0"/>
    <n v="2166.547778210519"/>
    <n v="0"/>
    <n v="0"/>
    <n v="0"/>
    <n v="1911.3486461601126"/>
    <n v="3175.5973298202421"/>
    <n v="5926.350823919196"/>
    <n v="223.45025153963911"/>
    <n v="0"/>
    <n v="0"/>
    <n v="0"/>
    <n v="0"/>
    <n v="334.99889781928374"/>
    <m/>
    <n v="14.192906801029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3.73123949615342"/>
    <n v="0"/>
    <n v="0"/>
    <n v="0"/>
    <n v="3007.8"/>
    <n v="40"/>
    <m/>
    <m/>
    <m/>
    <m/>
    <n v="881.11406639999984"/>
    <m/>
    <m/>
    <m/>
    <m/>
    <n v="6500.0820634153497"/>
    <m/>
    <m/>
    <m/>
    <m/>
    <m/>
    <m/>
    <m/>
    <m/>
    <m/>
    <m/>
    <m/>
    <m/>
    <n v="13805.825099999998"/>
    <n v="-49.19089200000235"/>
    <m/>
    <m/>
    <m/>
    <m/>
    <n v="-860.78072000000031"/>
    <n v="806.66835999999967"/>
    <n v="31"/>
    <n v="632.63595484360303"/>
    <n v="0"/>
    <n v="0"/>
    <n v="0"/>
    <n v="0"/>
    <n v="0"/>
    <n v="0"/>
    <n v="0"/>
    <n v="86.073046994180459"/>
    <n v="0"/>
    <n v="0"/>
    <n v="806.85996256538238"/>
    <n v="0"/>
    <n v="0"/>
    <n v="0"/>
    <n v="78.112278563407358"/>
    <n v="0"/>
    <n v="-297.58130297752291"/>
    <m/>
    <n v="0"/>
    <n v="0"/>
    <n v="0"/>
    <n v="0"/>
    <n v="-38.606482758350069"/>
    <n v="-2.2215475434909848"/>
    <n v="0"/>
    <n v="0"/>
    <m/>
    <m/>
    <m/>
    <n v="3175.5973298202421"/>
    <n v="0"/>
    <n v="0"/>
    <n v="-860.78072000000066"/>
    <n v="806.66835999999967"/>
    <n v="0"/>
    <n v="0"/>
    <n v="-686.54700851250118"/>
    <n v="0"/>
    <n v="0"/>
    <n v="0"/>
    <n v="0"/>
    <n v="0"/>
    <n v="0"/>
    <n v="0"/>
    <n v="0"/>
    <n v="0"/>
    <n v="0"/>
    <n v="0"/>
    <n v="0"/>
    <n v="413.15312202962963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64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8.7430000000000003"/>
    <n v="8.7430000000000003"/>
    <n v="8.7430000000000003"/>
    <n v="8.7430000000000003"/>
    <m/>
    <n v="239.69"/>
    <n v="171.61"/>
    <m/>
    <n v="3595.9959000000003"/>
    <n v="3595.9959000000003"/>
    <n v="3582.7939699999997"/>
    <n v="0"/>
    <n v="528.57816790084189"/>
    <n v="0"/>
    <n v="0"/>
    <n v="0"/>
    <n v="466.31658704592775"/>
    <n v="774.75855158551121"/>
    <n v="1445.8668727962256"/>
    <n v="54.515725784436455"/>
    <n v="0"/>
    <n v="0"/>
    <n v="0"/>
    <n v="0"/>
    <n v="81.730532526900276"/>
    <m/>
    <n v="3.4626795446312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97466868274557"/>
    <n v="0"/>
    <n v="0"/>
    <n v="0"/>
    <n v="733.82"/>
    <n v="4"/>
    <m/>
    <m/>
    <m/>
    <m/>
    <m/>
    <m/>
    <m/>
    <m/>
    <m/>
    <n v="1585.8415414789711"/>
    <m/>
    <m/>
    <m/>
    <m/>
    <m/>
    <m/>
    <m/>
    <m/>
    <m/>
    <m/>
    <m/>
    <m/>
    <n v="3581.5645999999997"/>
    <n v="-14.461300000001302"/>
    <m/>
    <m/>
    <m/>
    <m/>
    <n v="-210.0068600000001"/>
    <n v="196.80492999999993"/>
    <n v="31"/>
    <n v="154.3458017970097"/>
    <n v="0"/>
    <n v="0"/>
    <n v="0"/>
    <n v="0"/>
    <n v="0"/>
    <n v="0"/>
    <n v="0"/>
    <n v="20.99946003655873"/>
    <n v="0"/>
    <n v="0"/>
    <n v="196.85167576484923"/>
    <n v="0"/>
    <n v="0"/>
    <n v="0"/>
    <n v="19.057251129586717"/>
    <n v="0"/>
    <n v="-72.601666813608745"/>
    <m/>
    <n v="0"/>
    <n v="0"/>
    <n v="0"/>
    <n v="0"/>
    <n v="-9.4189217199535449"/>
    <n v="-0.5419966004225274"/>
    <n v="0"/>
    <n v="0"/>
    <m/>
    <m/>
    <m/>
    <n v="774.75855158551121"/>
    <n v="0"/>
    <n v="0"/>
    <n v="-210.00686000000042"/>
    <n v="196.80493000000001"/>
    <n v="0"/>
    <n v="0"/>
    <n v="-167.49861857977453"/>
    <n v="0"/>
    <n v="0"/>
    <n v="0"/>
    <n v="0"/>
    <n v="0"/>
    <n v="0"/>
    <n v="0"/>
    <n v="0"/>
    <n v="0"/>
    <n v="0"/>
    <n v="0"/>
    <n v="0"/>
    <n v="100.79801724257875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65"/>
    <s v="Regular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842.16"/>
    <n v="2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m/>
    <m/>
    <n v="0"/>
    <m/>
    <m/>
    <m/>
    <m/>
    <n v="0"/>
    <n v="0"/>
    <n v="0"/>
    <n v="0"/>
  </r>
  <r>
    <n v="566"/>
    <s v="Regular"/>
    <s v="Convencional"/>
    <s v="B2"/>
    <s v="Rural"/>
    <s v="Aquicultura"/>
    <s v="IRRIG./AQUIC."/>
    <s v="Não se aplica"/>
    <s v="Não se aplica"/>
    <s v="CATIVO"/>
    <x v="11"/>
    <n v="0"/>
    <n v="0"/>
    <n v="26.533999999999999"/>
    <n v="26.533999999999999"/>
    <n v="26.533999999999999"/>
    <n v="26.533999999999999"/>
    <m/>
    <n v="239.69"/>
    <n v="171.61"/>
    <m/>
    <n v="10913.4342"/>
    <n v="10913.4342"/>
    <n v="10873.367859999998"/>
    <n v="0"/>
    <n v="1604.1739799932448"/>
    <n v="0"/>
    <n v="0"/>
    <n v="0"/>
    <n v="1415.2172390113972"/>
    <n v="2351.303146262147"/>
    <n v="4388.0397578377042"/>
    <n v="165.44896122203326"/>
    <n v="0"/>
    <n v="0"/>
    <n v="0"/>
    <n v="0"/>
    <n v="248.04277136781101"/>
    <m/>
    <n v="10.5088343860511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80702948964552"/>
    <n v="0"/>
    <n v="0"/>
    <n v="0"/>
    <n v="0"/>
    <n v="0"/>
    <m/>
    <m/>
    <m/>
    <m/>
    <m/>
    <n v="1533.6651999999995"/>
    <m/>
    <m/>
    <m/>
    <n v="4812.8467873273494"/>
    <m/>
    <m/>
    <m/>
    <m/>
    <m/>
    <m/>
    <m/>
    <m/>
    <m/>
    <m/>
    <m/>
    <m/>
    <n v="9338.2947000000004"/>
    <n v="-11.25554000000011"/>
    <m/>
    <m/>
    <m/>
    <m/>
    <n v="-637.34668000000022"/>
    <n v="597.28033999999968"/>
    <n v="31"/>
    <n v="468.42176654258947"/>
    <n v="0"/>
    <n v="0"/>
    <n v="0"/>
    <n v="0"/>
    <n v="0"/>
    <n v="0"/>
    <n v="0"/>
    <n v="63.730947341879073"/>
    <n v="0"/>
    <n v="0"/>
    <n v="597.42220802293377"/>
    <n v="0"/>
    <n v="0"/>
    <n v="0"/>
    <n v="57.836566564389102"/>
    <n v="0"/>
    <n v="-220.33771328288867"/>
    <m/>
    <n v="0"/>
    <n v="0"/>
    <n v="0"/>
    <n v="0"/>
    <n v="-28.585344723464175"/>
    <n v="-1.6448973802597884"/>
    <n v="0"/>
    <n v="0"/>
    <m/>
    <m/>
    <m/>
    <n v="2351.303146262147"/>
    <n v="0"/>
    <n v="0"/>
    <n v="-637.34667999999965"/>
    <n v="597.28033999999934"/>
    <n v="0"/>
    <n v="0"/>
    <n v="-508.33905357380036"/>
    <n v="0"/>
    <n v="0"/>
    <n v="0"/>
    <n v="0"/>
    <n v="0"/>
    <n v="0"/>
    <n v="0"/>
    <n v="0"/>
    <n v="0"/>
    <n v="0"/>
    <n v="0"/>
    <n v="0"/>
    <n v="305.91039568964709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67"/>
    <s v="Regular"/>
    <s v="Convencional"/>
    <s v="B2"/>
    <s v="Rural"/>
    <s v="Aquicultura"/>
    <s v="IRRIG./AQUIC. PR"/>
    <s v="Não se aplica"/>
    <s v="Não se aplica"/>
    <s v="CATIVO"/>
    <x v="11"/>
    <n v="0"/>
    <n v="0"/>
    <n v="45.037999999999997"/>
    <n v="18.0152"/>
    <n v="45.037999999999997"/>
    <n v="18.0152"/>
    <m/>
    <n v="239.69"/>
    <n v="171.61"/>
    <m/>
    <n v="18524.129399999998"/>
    <n v="18524.129399999998"/>
    <n v="18456.122019999999"/>
    <n v="0"/>
    <n v="2722.8758464964103"/>
    <n v="0"/>
    <n v="0"/>
    <n v="0"/>
    <n v="2402.1464540060038"/>
    <n v="3991.0300407535456"/>
    <n v="7448.1244672305156"/>
    <n v="280.82800616258135"/>
    <n v="0"/>
    <n v="0"/>
    <n v="0"/>
    <n v="0"/>
    <n v="421.02021319301548"/>
    <m/>
    <n v="17.837374051366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1.05445821039621"/>
    <n v="0"/>
    <n v="0"/>
    <n v="0"/>
    <n v="0"/>
    <n v="0"/>
    <m/>
    <m/>
    <m/>
    <m/>
    <m/>
    <m/>
    <n v="12114.951771999999"/>
    <m/>
    <m/>
    <n v="8169.1789254409123"/>
    <m/>
    <m/>
    <m/>
    <m/>
    <m/>
    <m/>
    <m/>
    <m/>
    <m/>
    <m/>
    <m/>
    <m/>
    <n v="6342.8598000000002"/>
    <n v="-5.0060720000010406"/>
    <m/>
    <m/>
    <m/>
    <m/>
    <n v="-1081.8127600000005"/>
    <n v="1013.8053799999996"/>
    <n v="31"/>
    <n v="795.08477883263549"/>
    <n v="0"/>
    <n v="0"/>
    <n v="0"/>
    <n v="0"/>
    <n v="0"/>
    <n v="0"/>
    <n v="0"/>
    <n v="108.1749606687099"/>
    <n v="0"/>
    <n v="0"/>
    <n v="1014.0461824427866"/>
    <n v="0"/>
    <n v="0"/>
    <n v="0"/>
    <n v="98.17001902943241"/>
    <n v="0"/>
    <n v="-373.99449501902245"/>
    <m/>
    <n v="0"/>
    <n v="0"/>
    <n v="0"/>
    <n v="0"/>
    <n v="-48.519889788775913"/>
    <n v="-2.7919985004952288"/>
    <n v="0"/>
    <n v="0"/>
    <m/>
    <m/>
    <m/>
    <n v="3991.0300407535456"/>
    <n v="0"/>
    <n v="0"/>
    <n v="-1081.8127600000007"/>
    <n v="1013.8053799999998"/>
    <n v="0"/>
    <n v="0"/>
    <n v="-862.83916088252136"/>
    <n v="0"/>
    <n v="0"/>
    <n v="0"/>
    <n v="0"/>
    <n v="0"/>
    <n v="0"/>
    <n v="0"/>
    <n v="0"/>
    <n v="0"/>
    <n v="0"/>
    <n v="0"/>
    <n v="0"/>
    <n v="519.24294870996926"/>
    <n v="0"/>
    <n v="0"/>
    <n v="0"/>
    <n v="0"/>
    <n v="0"/>
    <n v="215"/>
    <n v="0"/>
    <n v="0"/>
    <n v="0"/>
    <m/>
    <n v="0"/>
    <m/>
    <m/>
    <m/>
    <m/>
    <n v="0"/>
    <n v="0"/>
    <n v="0"/>
    <n v="0"/>
  </r>
  <r>
    <n v="568"/>
    <s v="Regular"/>
    <s v="Geração"/>
    <s v="A4"/>
    <s v="Não se aplica"/>
    <s v="Não se aplica"/>
    <s v="Não se aplica"/>
    <s v="PINHEIROS II"/>
    <s v="Não se aplica"/>
    <s v="GERAÇÃO"/>
    <x v="0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0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69"/>
    <s v="Regular"/>
    <s v="Geração"/>
    <s v="A4"/>
    <s v="Não se aplica"/>
    <s v="Não se aplica"/>
    <s v="Não se aplica"/>
    <s v="RIO DAS FURNAS"/>
    <s v="Não se aplica"/>
    <s v="GERAÇÃO"/>
    <x v="0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0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0"/>
    <s v="Regular"/>
    <s v="Geração"/>
    <s v="A4"/>
    <s v="Não se aplica"/>
    <s v="Não se aplica"/>
    <s v="Não se aplica"/>
    <s v="PINHEIROS II"/>
    <s v="Não se aplica"/>
    <s v="GERAÇÃO"/>
    <x v="1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1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1"/>
    <s v="Regular"/>
    <s v="Geração"/>
    <s v="A4"/>
    <s v="Não se aplica"/>
    <s v="Não se aplica"/>
    <s v="Não se aplica"/>
    <s v="RIO DAS FURNAS"/>
    <s v="Não se aplica"/>
    <s v="GERAÇÃO"/>
    <x v="1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1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2"/>
    <s v="Regular"/>
    <s v="Geração"/>
    <s v="A4"/>
    <s v="Não se aplica"/>
    <s v="Não se aplica"/>
    <s v="Não se aplica"/>
    <s v="PINHEIROS II"/>
    <s v="Não se aplica"/>
    <s v="GERAÇÃO"/>
    <x v="2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0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3"/>
    <s v="Regular"/>
    <s v="Geração"/>
    <s v="A4"/>
    <s v="Não se aplica"/>
    <s v="Não se aplica"/>
    <s v="Não se aplica"/>
    <s v="RIO DAS FURNAS"/>
    <s v="Não se aplica"/>
    <s v="GERAÇÃO"/>
    <x v="2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0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4"/>
    <s v="Regular"/>
    <s v="Geração"/>
    <s v="A4"/>
    <s v="Não se aplica"/>
    <s v="Não se aplica"/>
    <s v="Não se aplica"/>
    <s v="PINHEIROS II"/>
    <s v="Não se aplica"/>
    <s v="GERAÇÃO"/>
    <x v="3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m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5"/>
    <s v="Regular"/>
    <s v="Geração"/>
    <s v="A4"/>
    <s v="Não se aplica"/>
    <s v="Não se aplica"/>
    <s v="Não se aplica"/>
    <s v="RIO DAS FURNAS"/>
    <s v="Não se aplica"/>
    <s v="GERAÇÃO"/>
    <x v="3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m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6"/>
    <s v="Regular"/>
    <s v="Geração"/>
    <s v="A4"/>
    <s v="Não se aplica"/>
    <s v="Não se aplica"/>
    <s v="Não se aplica"/>
    <s v="PINHEIROS II"/>
    <s v="Não se aplica"/>
    <s v="GERAÇÃO"/>
    <x v="4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1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7"/>
    <s v="Regular"/>
    <s v="Geração"/>
    <s v="A4"/>
    <s v="Não se aplica"/>
    <s v="Não se aplica"/>
    <s v="Não se aplica"/>
    <s v="RIO DAS FURNAS"/>
    <s v="Não se aplica"/>
    <s v="GERAÇÃO"/>
    <x v="4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1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8"/>
    <s v="Regular"/>
    <s v="Geração"/>
    <s v="A4"/>
    <s v="Não se aplica"/>
    <s v="Não se aplica"/>
    <s v="Não se aplica"/>
    <s v="PINHEIROS II"/>
    <s v="Não se aplica"/>
    <s v="GERAÇÃO"/>
    <x v="5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29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79"/>
    <s v="Regular"/>
    <s v="Geração"/>
    <s v="A4"/>
    <s v="Não se aplica"/>
    <s v="Não se aplica"/>
    <s v="Não se aplica"/>
    <s v="RIO DAS FURNAS"/>
    <s v="Não se aplica"/>
    <s v="GERAÇÃO"/>
    <x v="5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29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0"/>
    <s v="Regular"/>
    <s v="Geração"/>
    <s v="A4"/>
    <s v="Não se aplica"/>
    <s v="Não se aplica"/>
    <s v="Não se aplica"/>
    <s v="PINHEIROS II"/>
    <s v="Não se aplica"/>
    <s v="GERAÇÃO"/>
    <x v="6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1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1"/>
    <s v="Regular"/>
    <s v="Geração"/>
    <s v="A4"/>
    <s v="Não se aplica"/>
    <s v="Não se aplica"/>
    <s v="Não se aplica"/>
    <s v="RIO DAS FURNAS"/>
    <s v="Não se aplica"/>
    <s v="GERAÇÃO"/>
    <x v="6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1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2"/>
    <s v="Regular"/>
    <s v="Geração"/>
    <s v="A4"/>
    <s v="Não se aplica"/>
    <s v="Não se aplica"/>
    <s v="Não se aplica"/>
    <s v="PINHEIROS II"/>
    <s v="Não se aplica"/>
    <s v="GERAÇÃO"/>
    <x v="7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0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3"/>
    <s v="Regular"/>
    <s v="Geração"/>
    <s v="A4"/>
    <s v="Não se aplica"/>
    <s v="Não se aplica"/>
    <s v="Não se aplica"/>
    <s v="RIO DAS FURNAS"/>
    <s v="Não se aplica"/>
    <s v="GERAÇÃO"/>
    <x v="7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0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4"/>
    <s v="Regular"/>
    <s v="Geração"/>
    <s v="A4"/>
    <s v="Não se aplica"/>
    <s v="Não se aplica"/>
    <s v="Não se aplica"/>
    <s v="PINHEIROS II"/>
    <s v="Não se aplica"/>
    <s v="GERAÇÃO"/>
    <x v="8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1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5"/>
    <s v="Regular"/>
    <s v="Geração"/>
    <s v="A4"/>
    <s v="Não se aplica"/>
    <s v="Não se aplica"/>
    <s v="Não se aplica"/>
    <s v="RIO DAS FURNAS"/>
    <s v="Não se aplica"/>
    <s v="GERAÇÃO"/>
    <x v="8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1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6"/>
    <s v="Regular"/>
    <s v="Geração"/>
    <s v="A4"/>
    <s v="Não se aplica"/>
    <s v="Não se aplica"/>
    <s v="Não se aplica"/>
    <s v="PINHEIROS II"/>
    <s v="Não se aplica"/>
    <s v="GERAÇÃO"/>
    <x v="9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0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7"/>
    <s v="Regular"/>
    <s v="Geração"/>
    <s v="A4"/>
    <s v="Não se aplica"/>
    <s v="Não se aplica"/>
    <s v="Não se aplica"/>
    <s v="RIO DAS FURNAS"/>
    <s v="Não se aplica"/>
    <s v="GERAÇÃO"/>
    <x v="9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0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8"/>
    <s v="Regular"/>
    <s v="Geração"/>
    <s v="A4"/>
    <s v="Não se aplica"/>
    <s v="Não se aplica"/>
    <s v="Não se aplica"/>
    <s v="PINHEIROS II"/>
    <s v="Não se aplica"/>
    <s v="GERAÇÃO"/>
    <x v="10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1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89"/>
    <s v="Regular"/>
    <s v="Geração"/>
    <s v="A4"/>
    <s v="Não se aplica"/>
    <s v="Não se aplica"/>
    <s v="Não se aplica"/>
    <s v="RIO DAS FURNAS"/>
    <s v="Não se aplica"/>
    <s v="GERAÇÃO"/>
    <x v="10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1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90"/>
    <s v="Regular"/>
    <s v="Geração"/>
    <s v="A4"/>
    <s v="Não se aplica"/>
    <s v="Não se aplica"/>
    <s v="Não se aplica"/>
    <s v="PINHEIROS II"/>
    <s v="Não se aplica"/>
    <s v="GERAÇÃO"/>
    <x v="11"/>
    <n v="155"/>
    <n v="77.5"/>
    <n v="0"/>
    <n v="0"/>
    <n v="0"/>
    <n v="0"/>
    <n v="2.7"/>
    <m/>
    <m/>
    <n v="418.5"/>
    <m/>
    <n v="418.5"/>
    <n v="328.6"/>
    <n v="0"/>
    <n v="0"/>
    <n v="0"/>
    <n v="0"/>
    <n v="0"/>
    <n v="0"/>
    <n v="417.2101428152564"/>
    <m/>
    <m/>
    <m/>
    <n v="0"/>
    <n v="0"/>
    <n v="0"/>
    <n v="0"/>
    <m/>
    <n v="1.50816038493427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64.3"/>
    <m/>
    <m/>
    <m/>
    <m/>
    <m/>
    <m/>
    <n v="0"/>
    <m/>
    <m/>
    <m/>
    <m/>
    <m/>
    <m/>
    <m/>
    <m/>
    <m/>
    <m/>
    <m/>
    <m/>
    <n v="164.3"/>
    <n v="-44.979999999999961"/>
    <m/>
    <m/>
    <m/>
    <m/>
    <n v="-89.9"/>
    <n v="0"/>
    <n v="31"/>
    <n v="-0.2360651024706255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3606510247062551"/>
    <n v="0"/>
    <n v="0"/>
    <m/>
    <m/>
    <n v="417.2101428152564"/>
    <m/>
    <n v="0"/>
    <n v="0"/>
    <n v="-89.899999999999977"/>
    <m/>
    <n v="0"/>
    <m/>
    <n v="-90.198581785273632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  <r>
    <n v="591"/>
    <s v="Regular"/>
    <s v="Geração"/>
    <s v="A4"/>
    <s v="Não se aplica"/>
    <s v="Não se aplica"/>
    <s v="Não se aplica"/>
    <s v="RIO DAS FURNAS"/>
    <s v="Não se aplica"/>
    <s v="GERAÇÃO"/>
    <x v="11"/>
    <n v="290"/>
    <n v="145"/>
    <n v="0"/>
    <n v="0"/>
    <n v="0"/>
    <n v="0"/>
    <n v="2.7"/>
    <m/>
    <m/>
    <n v="783"/>
    <m/>
    <n v="783"/>
    <n v="614.80000000000007"/>
    <n v="0"/>
    <n v="0"/>
    <n v="0"/>
    <n v="0"/>
    <n v="0"/>
    <n v="0"/>
    <n v="780.58671881564101"/>
    <m/>
    <m/>
    <m/>
    <n v="0"/>
    <n v="0"/>
    <n v="0"/>
    <n v="0"/>
    <m/>
    <n v="2.82171942987702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307.40000000000003"/>
    <m/>
    <m/>
    <m/>
    <m/>
    <m/>
    <m/>
    <n v="0"/>
    <m/>
    <m/>
    <m/>
    <m/>
    <m/>
    <m/>
    <m/>
    <m/>
    <m/>
    <m/>
    <m/>
    <m/>
    <n v="307.40000000000003"/>
    <n v="-84.129999999999939"/>
    <m/>
    <m/>
    <m/>
    <m/>
    <n v="-168.20000000000002"/>
    <n v="0"/>
    <n v="31"/>
    <n v="-0.441670191719234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416701917192345"/>
    <n v="0"/>
    <n v="0"/>
    <m/>
    <m/>
    <n v="780.58671881564101"/>
    <m/>
    <n v="0"/>
    <n v="0"/>
    <n v="-168.19999999999993"/>
    <m/>
    <n v="0"/>
    <m/>
    <n v="-168.75863688857646"/>
    <m/>
    <n v="0"/>
    <n v="0"/>
    <m/>
    <n v="0"/>
    <n v="0"/>
    <n v="0"/>
    <n v="0"/>
    <n v="0"/>
    <m/>
    <m/>
    <n v="0"/>
    <n v="0"/>
    <m/>
    <n v="0"/>
    <m/>
    <n v="0"/>
    <m/>
    <n v="215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12"/>
        <item m="1" x="57"/>
        <item m="1" x="53"/>
        <item m="1" x="45"/>
        <item m="1" x="37"/>
        <item m="1" x="46"/>
        <item m="1" x="38"/>
        <item m="1" x="33"/>
        <item m="1" x="29"/>
        <item m="1" x="25"/>
        <item m="1" x="21"/>
        <item m="1" x="17"/>
        <item m="1" x="13"/>
        <item m="1" x="58"/>
        <item m="1" x="54"/>
        <item m="1" x="47"/>
        <item m="1" x="39"/>
        <item m="1" x="48"/>
        <item m="1" x="40"/>
        <item m="1" x="34"/>
        <item m="1" x="30"/>
        <item m="1" x="26"/>
        <item m="1" x="22"/>
        <item m="1" x="18"/>
        <item m="1" x="14"/>
        <item m="1" x="59"/>
        <item m="1" x="55"/>
        <item m="1" x="49"/>
        <item m="1" x="41"/>
        <item m="1" x="50"/>
        <item m="1" x="42"/>
        <item m="1" x="35"/>
        <item m="1" x="31"/>
        <item m="1" x="27"/>
        <item m="1" x="23"/>
        <item m="1" x="19"/>
        <item m="1" x="15"/>
        <item m="1" x="60"/>
        <item m="1" x="56"/>
        <item m="1" x="51"/>
        <item m="1" x="43"/>
        <item m="1" x="52"/>
        <item m="1" x="44"/>
        <item m="1" x="36"/>
        <item m="1" x="32"/>
        <item m="1" x="28"/>
        <item m="1" x="24"/>
        <item m="1" x="20"/>
        <item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118">
      <pivotArea type="all" dataOnly="0" outline="0" fieldPosition="0"/>
    </format>
    <format dxfId="117">
      <pivotArea type="all" dataOnly="0" outline="0" fieldPosition="0"/>
    </format>
    <format dxfId="116">
      <pivotArea type="all" dataOnly="0" outline="0" fieldPosition="0"/>
    </format>
    <format dxfId="115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2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582" totalsRowShown="0" headerRowDxfId="451" dataDxfId="450" totalsRowDxfId="449">
  <autoFilter ref="A2:FI582" xr:uid="{00000000-0009-0000-0100-00000D000000}"/>
  <tableColumns count="165">
    <tableColumn id="1" xr3:uid="{00000000-0010-0000-1200-000001000000}" name="Código" dataDxfId="448" totalsRowDxfId="447"/>
    <tableColumn id="74" xr3:uid="{00000000-0010-0000-1200-00004A000000}" name="TipoMercado" dataDxfId="446" totalsRowDxfId="445"/>
    <tableColumn id="75" xr3:uid="{00000000-0010-0000-1200-00004B000000}" name="Modalidade" dataDxfId="444" totalsRowDxfId="443"/>
    <tableColumn id="76" xr3:uid="{00000000-0010-0000-1200-00004C000000}" name="Subgrupo" dataDxfId="442" totalsRowDxfId="441"/>
    <tableColumn id="77" xr3:uid="{00000000-0010-0000-1200-00004D000000}" name="Classe" dataDxfId="440" totalsRowDxfId="439"/>
    <tableColumn id="78" xr3:uid="{00000000-0010-0000-1200-00004E000000}" name="Subclasse" dataDxfId="438" totalsRowDxfId="437"/>
    <tableColumn id="79" xr3:uid="{00000000-0010-0000-1200-00004F000000}" name="Detalhe" dataDxfId="436" totalsRowDxfId="435"/>
    <tableColumn id="80" xr3:uid="{00000000-0010-0000-1200-000050000000}" name="Agente" dataDxfId="434" totalsRowDxfId="433"/>
    <tableColumn id="81" xr3:uid="{00000000-0010-0000-1200-000051000000}" name="Posto" dataDxfId="432" totalsRowDxfId="431"/>
    <tableColumn id="82" xr3:uid="{00000000-0010-0000-1200-000052000000}" name="OPÇÃO" dataDxfId="430" totalsRowDxfId="429"/>
    <tableColumn id="83" xr3:uid="{00000000-0010-0000-1200-000053000000}" name="AnoMes" dataDxfId="428" totalsRowDxfId="427"/>
    <tableColumn id="84" xr3:uid="{00000000-0010-0000-1200-000054000000}" name="D" dataDxfId="426" totalsRowDxfId="425"/>
    <tableColumn id="85" xr3:uid="{00000000-0010-0000-1200-000055000000}" name="Daj" dataDxfId="424" totalsRowDxfId="423"/>
    <tableColumn id="86" xr3:uid="{00000000-0010-0000-1200-000056000000}" name="TUSD_E" dataDxfId="422" totalsRowDxfId="421"/>
    <tableColumn id="87" xr3:uid="{00000000-0010-0000-1200-000057000000}" name="TUSD_Eaj" dataDxfId="420" totalsRowDxfId="419"/>
    <tableColumn id="88" xr3:uid="{00000000-0010-0000-1200-000058000000}" name="TE_E" dataDxfId="418" totalsRowDxfId="417"/>
    <tableColumn id="89" xr3:uid="{00000000-0010-0000-1200-000059000000}" name="TE_Eaj" dataDxfId="416" totalsRowDxfId="415"/>
    <tableColumn id="90" xr3:uid="{00000000-0010-0000-1200-00005A000000}" name="TUSD/KW" dataDxfId="414" totalsRowDxfId="413"/>
    <tableColumn id="91" xr3:uid="{00000000-0010-0000-1200-00005B000000}" name="TUSD/MWh" dataDxfId="412" totalsRowDxfId="411"/>
    <tableColumn id="92" xr3:uid="{00000000-0010-0000-1200-00005C000000}" name="TE" dataDxfId="410" totalsRowDxfId="409"/>
    <tableColumn id="93" xr3:uid="{00000000-0010-0000-1200-00005D000000}" name="ReceitaD" dataDxfId="408" totalsRowDxfId="407"/>
    <tableColumn id="94" xr3:uid="{00000000-0010-0000-1200-00005E000000}" name="ReceitaE" dataDxfId="406" totalsRowDxfId="405"/>
    <tableColumn id="95" xr3:uid="{00000000-0010-0000-1200-00005F000000}" name="Total" dataDxfId="404" totalsRowDxfId="403"/>
    <tableColumn id="96" xr3:uid="{00000000-0010-0000-1200-000060000000}" name="Total com Tar de aplicação" dataDxfId="402" totalsRowDxfId="401"/>
    <tableColumn id="97" xr3:uid="{00000000-0010-0000-1200-000061000000}" name="CCC" dataDxfId="400" totalsRowDxfId="399"/>
    <tableColumn id="98" xr3:uid="{00000000-0010-0000-1200-000062000000}" name="CDE" dataDxfId="398" totalsRowDxfId="397"/>
    <tableColumn id="99" xr3:uid="{00000000-0010-0000-1200-000063000000}" name="CFURH" dataDxfId="396" totalsRowDxfId="395"/>
    <tableColumn id="100" xr3:uid="{00000000-0010-0000-1200-000064000000}" name="Conexao_D" dataDxfId="394" totalsRowDxfId="393"/>
    <tableColumn id="101" xr3:uid="{00000000-0010-0000-1200-000065000000}" name="Conexao_T" dataDxfId="392" totalsRowDxfId="391"/>
    <tableColumn id="102" xr3:uid="{00000000-0010-0000-1200-000066000000}" name="CUSD" dataDxfId="390" totalsRowDxfId="389"/>
    <tableColumn id="103" xr3:uid="{00000000-0010-0000-1200-000067000000}" name="DISTRIBUICAO" dataDxfId="388" totalsRowDxfId="387"/>
    <tableColumn id="104" xr3:uid="{00000000-0010-0000-1200-000068000000}" name="EnergiaRevenda" dataDxfId="386" totalsRowDxfId="385"/>
    <tableColumn id="105" xr3:uid="{00000000-0010-0000-1200-000069000000}" name="ESSERR" dataDxfId="384" totalsRowDxfId="383"/>
    <tableColumn id="106" xr3:uid="{00000000-0010-0000-1200-00006A000000}" name="ITAIPU" dataDxfId="382" totalsRowDxfId="381"/>
    <tableColumn id="107" xr3:uid="{00000000-0010-0000-1200-00006B000000}" name="ONS" dataDxfId="380" totalsRowDxfId="379"/>
    <tableColumn id="108" xr3:uid="{00000000-0010-0000-1200-00006C000000}" name="OUTROS" dataDxfId="378" totalsRowDxfId="377"/>
    <tableColumn id="109" xr3:uid="{00000000-0010-0000-1200-00006D000000}" name="PeD" dataDxfId="376" totalsRowDxfId="375"/>
    <tableColumn id="110" xr3:uid="{00000000-0010-0000-1200-00006E000000}" name="PROINFA" dataDxfId="374" totalsRowDxfId="373"/>
    <tableColumn id="111" xr3:uid="{00000000-0010-0000-1200-00006F000000}" name="RGR" dataDxfId="372" totalsRowDxfId="371"/>
    <tableColumn id="112" xr3:uid="{00000000-0010-0000-1200-000070000000}" name="TFSEE" dataDxfId="370" totalsRowDxfId="369"/>
    <tableColumn id="113" xr3:uid="{00000000-0010-0000-1200-000071000000}" name="TUST_FR" dataDxfId="368" totalsRowDxfId="367"/>
    <tableColumn id="114" xr3:uid="{00000000-0010-0000-1200-000072000000}" name="TUST_RB" dataDxfId="366" totalsRowDxfId="365"/>
    <tableColumn id="115" xr3:uid="{00000000-0010-0000-1200-000073000000}" name="TUSDG_ONS" dataDxfId="364" totalsRowDxfId="363"/>
    <tableColumn id="116" xr3:uid="{00000000-0010-0000-1200-000074000000}" name="TUSDG_T" dataDxfId="362" totalsRowDxfId="361"/>
    <tableColumn id="117" xr3:uid="{00000000-0010-0000-1200-000075000000}" name="TUST_CI" dataDxfId="360" totalsRowDxfId="359"/>
    <tableColumn id="118" xr3:uid="{00000000-0010-0000-1200-000076000000}" name="TUST_ITAIPU" dataDxfId="358" totalsRowDxfId="357"/>
    <tableColumn id="119" xr3:uid="{00000000-0010-0000-1200-000077000000}" name="CVA_CCC" dataDxfId="356" totalsRowDxfId="355"/>
    <tableColumn id="120" xr3:uid="{00000000-0010-0000-1200-000078000000}" name="CVA_CDE" dataDxfId="354" totalsRowDxfId="353"/>
    <tableColumn id="121" xr3:uid="{00000000-0010-0000-1200-000079000000}" name="CVA_PROINFA" dataDxfId="352" totalsRowDxfId="351"/>
    <tableColumn id="122" xr3:uid="{00000000-0010-0000-1200-00007A000000}" name="CVA_TranItaipu" dataDxfId="350" totalsRowDxfId="349"/>
    <tableColumn id="123" xr3:uid="{00000000-0010-0000-1200-00007B000000}" name="CVA_ESSERR" dataDxfId="348" totalsRowDxfId="347"/>
    <tableColumn id="124" xr3:uid="{00000000-0010-0000-1200-00007C000000}" name="CVA_CFURH" dataDxfId="346" totalsRowDxfId="345"/>
    <tableColumn id="125" xr3:uid="{00000000-0010-0000-1200-00007D000000}" name="CVA_CDE_E" dataDxfId="344" totalsRowDxfId="343"/>
    <tableColumn id="126" xr3:uid="{00000000-0010-0000-1200-00007E000000}" name="CVA_Energia" dataDxfId="342" totalsRowDxfId="341"/>
    <tableColumn id="127" xr3:uid="{00000000-0010-0000-1200-00007F000000}" name="CVA_RB" dataDxfId="340" totalsRowDxfId="339"/>
    <tableColumn id="128" xr3:uid="{00000000-0010-0000-1200-000080000000}" name="perdasnt" dataDxfId="338" totalsRowDxfId="337"/>
    <tableColumn id="129" xr3:uid="{00000000-0010-0000-1200-000081000000}" name="perdasrb_d" dataDxfId="336" totalsRowDxfId="335"/>
    <tableColumn id="130" xr3:uid="{00000000-0010-0000-1200-000082000000}" name="perdasrb_c" dataDxfId="334" totalsRowDxfId="333"/>
    <tableColumn id="131" xr3:uid="{00000000-0010-0000-1200-000083000000}" name="perdastec" dataDxfId="332" totalsRowDxfId="331"/>
    <tableColumn id="132" xr3:uid="{00000000-0010-0000-1200-000084000000}" name="RI" dataDxfId="330" totalsRowDxfId="329"/>
    <tableColumn id="133" xr3:uid="{00000000-0010-0000-1200-000085000000}" name="PisPasep" dataDxfId="328" totalsRowDxfId="327"/>
    <tableColumn id="134" xr3:uid="{00000000-0010-0000-1200-000086000000}" name="Cofins" dataDxfId="326" totalsRowDxfId="325"/>
    <tableColumn id="135" xr3:uid="{00000000-0010-0000-1200-000087000000}" name="ICMS" dataDxfId="324" totalsRowDxfId="323"/>
    <tableColumn id="136" xr3:uid="{00000000-0010-0000-1200-000088000000}" name="UC" dataDxfId="322" totalsRowDxfId="321"/>
    <tableColumn id="137" xr3:uid="{00000000-0010-0000-1200-000089000000}" name="total_dummy" dataDxfId="320" totalsRowDxfId="319"/>
    <tableColumn id="138" xr3:uid="{00000000-0010-0000-1200-00008A000000}" name="Subs_CarFI" dataDxfId="318" totalsRowDxfId="317"/>
    <tableColumn id="139" xr3:uid="{00000000-0010-0000-1200-00008B000000}" name="Subs_GerFI" dataDxfId="316" totalsRowDxfId="315"/>
    <tableColumn id="140" xr3:uid="{00000000-0010-0000-1200-00008C000000}" name="Subs_Dist" dataDxfId="314" totalsRowDxfId="313"/>
    <tableColumn id="141" xr3:uid="{00000000-0010-0000-1200-00008D000000}" name="Subs_AguaEsgoto" dataDxfId="312" totalsRowDxfId="311"/>
    <tableColumn id="142" xr3:uid="{00000000-0010-0000-1200-00008E000000}" name="Subs_Rural" dataDxfId="310" totalsRowDxfId="309"/>
    <tableColumn id="143" xr3:uid="{00000000-0010-0000-1200-00008F000000}" name="Subs_Irrigante" dataDxfId="308" totalsRowDxfId="307"/>
    <tableColumn id="144" xr3:uid="{00000000-0010-0000-1200-000090000000}" name="Subs_BaixaRenda" dataDxfId="306" totalsRowDxfId="305"/>
    <tableColumn id="145" xr3:uid="{00000000-0010-0000-1200-000091000000}" name="CDE_E" dataDxfId="304" totalsRowDxfId="303"/>
    <tableColumn id="2" xr3:uid="{00000000-0010-0000-1200-000002000000}" name="DespesaEnergia" dataDxfId="302" totalsRowDxfId="301"/>
    <tableColumn id="3" xr3:uid="{00000000-0010-0000-1200-000003000000}" name="RTE_CUSD" dataDxfId="300" totalsRowDxfId="299"/>
    <tableColumn id="4" xr3:uid="{00000000-0010-0000-1200-000004000000}" name="RTE_Energia" dataDxfId="298" totalsRowDxfId="297"/>
    <tableColumn id="5" xr3:uid="{00000000-0010-0000-1200-000005000000}" name="RTE_CDE_USO" dataDxfId="296" totalsRowDxfId="295"/>
    <tableColumn id="6" xr3:uid="{00000000-0010-0000-1200-000006000000}" name="RTE_CDE_E" dataDxfId="294" totalsRowDxfId="293"/>
    <tableColumn id="7" xr3:uid="{00000000-0010-0000-1200-000007000000}" name="RTE_PeD" dataDxfId="292" totalsRowDxfId="291"/>
    <tableColumn id="8" xr3:uid="{00000000-0010-0000-1200-000008000000}" name="Dif_Subs_Car" dataDxfId="290" totalsRowDxfId="289"/>
    <tableColumn id="9" xr3:uid="{00000000-0010-0000-1200-000009000000}" name="Dif_Subs_Ger" dataDxfId="288" totalsRowDxfId="287"/>
    <tableColumn id="10" xr3:uid="{00000000-0010-0000-1200-00000A000000}" name="Dif_Subs_D" dataDxfId="286" totalsRowDxfId="285"/>
    <tableColumn id="11" xr3:uid="{00000000-0010-0000-1200-00000B000000}" name="Dif_Subs_Agua" dataDxfId="284" totalsRowDxfId="283"/>
    <tableColumn id="12" xr3:uid="{00000000-0010-0000-1200-00000C000000}" name="Dif_Subs_Ru" dataDxfId="282" totalsRowDxfId="281"/>
    <tableColumn id="13" xr3:uid="{00000000-0010-0000-1200-00000D000000}" name="Dif_Subs_Irr" dataDxfId="280" totalsRowDxfId="279"/>
    <tableColumn id="14" xr3:uid="{00000000-0010-0000-1200-00000E000000}" name="dif_subs_baixa" dataDxfId="278" totalsRowDxfId="277"/>
    <tableColumn id="15" xr3:uid="{00000000-0010-0000-1200-00000F000000}" name="FinTotAj" dataDxfId="276" totalsRowDxfId="275"/>
    <tableColumn id="16" xr3:uid="{00000000-0010-0000-1200-000010000000}" name="FinAj" dataDxfId="274" totalsRowDxfId="273"/>
    <tableColumn id="17" xr3:uid="{00000000-0010-0000-1200-000011000000}" name="RTE_CDE_E_Dec" dataDxfId="272" totalsRowDxfId="271"/>
    <tableColumn id="18" xr3:uid="{00000000-0010-0000-1200-000012000000}" name="RTE_CDE_E_ACR" dataDxfId="270" totalsRowDxfId="269"/>
    <tableColumn id="19" xr3:uid="{00000000-0010-0000-1200-000013000000}" name="CDE_E_Dec" dataDxfId="268" totalsRowDxfId="267"/>
    <tableColumn id="20" xr3:uid="{00000000-0010-0000-1200-000014000000}" name="CDE_E_ACR" dataDxfId="266" totalsRowDxfId="265"/>
    <tableColumn id="21" xr3:uid="{00000000-0010-0000-1200-000015000000}" name="FinPostTUSD" dataDxfId="264" totalsRowDxfId="263"/>
    <tableColumn id="22" xr3:uid="{00000000-0010-0000-1200-000016000000}" name="FinPostTE" dataDxfId="262" totalsRowDxfId="261"/>
    <tableColumn id="23" xr3:uid="{00000000-0010-0000-1200-000017000000}" name="FinPostQtddias" dataDxfId="260" totalsRowDxfId="259"/>
    <tableColumn id="24" xr3:uid="{00000000-0010-0000-1200-000018000000}" name="FinCT_Geral" dataDxfId="258" totalsRowDxfId="257"/>
    <tableColumn id="25" xr3:uid="{00000000-0010-0000-1200-000019000000}" name="finCT_TUST_FR" dataDxfId="256" totalsRowDxfId="255"/>
    <tableColumn id="26" xr3:uid="{00000000-0010-0000-1200-00001A000000}" name="finCT_TUST_RB" dataDxfId="254" totalsRowDxfId="253"/>
    <tableColumn id="27" xr3:uid="{00000000-0010-0000-1200-00001B000000}" name="FINCT_TUSDG_ONS" dataDxfId="252" totalsRowDxfId="251"/>
    <tableColumn id="28" xr3:uid="{00000000-0010-0000-1200-00001C000000}" name="FINCT_TUSDG_T" dataDxfId="250" totalsRowDxfId="249"/>
    <tableColumn id="29" xr3:uid="{00000000-0010-0000-1200-00001D000000}" name="FINCT_TUST_CI" dataDxfId="248" totalsRowDxfId="247"/>
    <tableColumn id="30" xr3:uid="{00000000-0010-0000-1200-00001E000000}" name="FINCT_TUST_ITAIPU" dataDxfId="246" totalsRowDxfId="245"/>
    <tableColumn id="31" xr3:uid="{00000000-0010-0000-1200-00001F000000}" name="FinCT_Itaipu" dataDxfId="244" totalsRowDxfId="243"/>
    <tableColumn id="32" xr3:uid="{00000000-0010-0000-1200-000020000000}" name="FinCT_CUSD" dataDxfId="242" totalsRowDxfId="241"/>
    <tableColumn id="33" xr3:uid="{00000000-0010-0000-1200-000021000000}" name="FinCT_Conexao_D" dataDxfId="240" totalsRowDxfId="239"/>
    <tableColumn id="34" xr3:uid="{00000000-0010-0000-1200-000022000000}" name="FinCT_Conexao_T" dataDxfId="238" totalsRowDxfId="237"/>
    <tableColumn id="35" xr3:uid="{00000000-0010-0000-1200-000023000000}" name="FinCT_EnergiaRevenda" dataDxfId="236" totalsRowDxfId="235"/>
    <tableColumn id="36" xr3:uid="{00000000-0010-0000-1200-000024000000}" name="FINCT_perdasrb_c" dataDxfId="234" totalsRowDxfId="233"/>
    <tableColumn id="37" xr3:uid="{00000000-0010-0000-1200-000025000000}" name="FINCT_perdasrb_d" dataDxfId="232" totalsRowDxfId="231"/>
    <tableColumn id="38" xr3:uid="{00000000-0010-0000-1200-000026000000}" name="FinCT_perdasnt" dataDxfId="230" totalsRowDxfId="229"/>
    <tableColumn id="39" xr3:uid="{00000000-0010-0000-1200-000027000000}" name="FinCT_perdastec" dataDxfId="228" totalsRowDxfId="227"/>
    <tableColumn id="40" xr3:uid="{00000000-0010-0000-1200-000028000000}" name="FinCT_CCC" dataDxfId="226" totalsRowDxfId="225"/>
    <tableColumn id="41" xr3:uid="{00000000-0010-0000-1200-000029000000}" name="FinCT_CDE" dataDxfId="224" totalsRowDxfId="223"/>
    <tableColumn id="42" xr3:uid="{00000000-0010-0000-1200-00002A000000}" name="FinCT_CDE_E" dataDxfId="222" totalsRowDxfId="221"/>
    <tableColumn id="43" xr3:uid="{00000000-0010-0000-1200-00002B000000}" name="FinCT_CFURH" dataDxfId="220" totalsRowDxfId="219"/>
    <tableColumn id="44" xr3:uid="{00000000-0010-0000-1200-00002C000000}" name="FinCT_ONS" dataDxfId="218" totalsRowDxfId="217"/>
    <tableColumn id="45" xr3:uid="{00000000-0010-0000-1200-00002D000000}" name="FinCT_ESSERR" dataDxfId="216" totalsRowDxfId="215"/>
    <tableColumn id="46" xr3:uid="{00000000-0010-0000-1200-00002E000000}" name="FinCT_Ped" dataDxfId="214" totalsRowDxfId="213"/>
    <tableColumn id="47" xr3:uid="{00000000-0010-0000-1200-00002F000000}" name="finCT_PROINFA" dataDxfId="212" totalsRowDxfId="211"/>
    <tableColumn id="48" xr3:uid="{00000000-0010-0000-1200-000030000000}" name="finCT_TFSEE" dataDxfId="210" totalsRowDxfId="209"/>
    <tableColumn id="49" xr3:uid="{00000000-0010-0000-1200-000031000000}" name="FINCT_Liminar" dataDxfId="208" totalsRowDxfId="207"/>
    <tableColumn id="50" xr3:uid="{00000000-0010-0000-1200-000032000000}" name="FinCT_Subsidio" dataDxfId="206" totalsRowDxfId="205"/>
    <tableColumn id="51" xr3:uid="{00000000-0010-0000-1200-000033000000}" name="FINCT_RGR" dataDxfId="204" totalsRowDxfId="203"/>
    <tableColumn id="52" xr3:uid="{00000000-0010-0000-1200-000034000000}" name="Tipo_ato" dataDxfId="202" totalsRowDxfId="201"/>
    <tableColumn id="53" xr3:uid="{00000000-0010-0000-1200-000035000000}" name="DIST_D" dataDxfId="200" totalsRowDxfId="199"/>
    <tableColumn id="54" xr3:uid="{00000000-0010-0000-1200-000036000000}" name="DIST_E" dataDxfId="198" totalsRowDxfId="197"/>
    <tableColumn id="55" xr3:uid="{00000000-0010-0000-1200-000037000000}" name="FIN_RI" dataDxfId="196" totalsRowDxfId="195"/>
    <tableColumn id="56" xr3:uid="{00000000-0010-0000-1200-000038000000}" name="FINCT_RI" dataDxfId="194" totalsRowDxfId="193"/>
    <tableColumn id="57" xr3:uid="{00000000-0010-0000-1200-000039000000}" name="Fin_TUSD" dataDxfId="192" totalsRowDxfId="191"/>
    <tableColumn id="58" xr3:uid="{00000000-0010-0000-1200-00003A000000}" name="Fin_TE" dataDxfId="190" totalsRowDxfId="189"/>
    <tableColumn id="59" xr3:uid="{00000000-0010-0000-1200-00003B000000}" name="CVA_TUSD" dataDxfId="188" totalsRowDxfId="187"/>
    <tableColumn id="60" xr3:uid="{00000000-0010-0000-1200-00003C000000}" name="CVA_TE" dataDxfId="186" totalsRowDxfId="185"/>
    <tableColumn id="61" xr3:uid="{00000000-0010-0000-1200-00003D000000}" name="FinCT_ParcelaB" dataDxfId="184" totalsRowDxfId="183"/>
    <tableColumn id="62" xr3:uid="{00000000-0010-0000-1200-00003E000000}" name="CVA_EnergiaRevenda" dataDxfId="182" totalsRowDxfId="181"/>
    <tableColumn id="63" xr3:uid="{00000000-0010-0000-1200-00003F000000}" name="CVA_perdasnt" dataDxfId="180" totalsRowDxfId="179"/>
    <tableColumn id="64" xr3:uid="{00000000-0010-0000-1200-000040000000}" name="CVA_perdasrb_d" dataDxfId="178" totalsRowDxfId="177"/>
    <tableColumn id="65" xr3:uid="{00000000-0010-0000-1200-000041000000}" name="CVA_perdasrb_c" dataDxfId="176" totalsRowDxfId="175"/>
    <tableColumn id="66" xr3:uid="{00000000-0010-0000-1200-000042000000}" name="CVA_perdastec" dataDxfId="174" totalsRowDxfId="173"/>
    <tableColumn id="67" xr3:uid="{00000000-0010-0000-1200-000043000000}" name="CVA_TUST_RB" dataDxfId="172" totalsRowDxfId="171"/>
    <tableColumn id="68" xr3:uid="{00000000-0010-0000-1200-000044000000}" name="CVA_TUST_FR" dataDxfId="170" totalsRowDxfId="169"/>
    <tableColumn id="69" xr3:uid="{00000000-0010-0000-1200-000045000000}" name="CVA_TUSDG_ONS" dataDxfId="168" totalsRowDxfId="167"/>
    <tableColumn id="70" xr3:uid="{00000000-0010-0000-1200-000046000000}" name="CVA_TUSDG_T" dataDxfId="166" totalsRowDxfId="165"/>
    <tableColumn id="71" xr3:uid="{FD269DC2-F12E-4BFC-8985-48C037DAEE3D}" name="CVA_TUST_CI" dataDxfId="164" totalsRowDxfId="163"/>
    <tableColumn id="72" xr3:uid="{2C34E4B3-7F07-4D64-9725-21233E09B2F8}" name="CVA_TUST_ITAIPU" dataDxfId="162" totalsRowDxfId="161"/>
    <tableColumn id="73" xr3:uid="{8FF1C04E-705B-4D43-8218-1D303ACBF1B4}" name="CVA_liminar" dataDxfId="160" totalsRowDxfId="159"/>
    <tableColumn id="146" xr3:uid="{A0539E69-57F8-49AD-B6ED-5CA0CA7D6897}" name="covidTusdEco" dataDxfId="158" totalsRowDxfId="157"/>
    <tableColumn id="147" xr3:uid="{412F0612-265D-4505-B4E2-63112B7EB7C9}" name="covidTeEco" dataDxfId="156" totalsRowDxfId="155"/>
    <tableColumn id="148" xr3:uid="{50DABFA8-FB5B-4872-BBA1-9BB3F56B96E2}" name="CVA_CovidTusd" dataDxfId="154" totalsRowDxfId="153"/>
    <tableColumn id="149" xr3:uid="{C64DE2C8-238E-48D0-AEEB-540EC8B5DBF4}" name="CVA_CovidTe_ou_CVA_CDE_E" dataDxfId="152" totalsRowDxfId="151"/>
    <tableColumn id="150" xr3:uid="{8D5DC1D4-E0A6-41B2-A2BB-26D2CA19EF4D}" name="FinCT_CDECOVIDTUSD" dataDxfId="150" totalsRowDxfId="149"/>
    <tableColumn id="151" xr3:uid="{D8258B5F-46FF-48E9-9CE8-9678AF6BD40F}" name="FinCT_CDECOVIDTE_ou_FinCT_CDE_E" dataDxfId="148" totalsRowDxfId="147"/>
    <tableColumn id="152" xr3:uid="{FA4B6803-ED14-4E9F-9237-11D021C62E1A}" name="idsreag" dataDxfId="146" totalsRowDxfId="145"/>
    <tableColumn id="153" xr3:uid="{6D0A4132-E9DF-49BA-93FC-314F55CD4E6C}" name="FinCTAn3En" dataDxfId="144" totalsRowDxfId="143"/>
    <tableColumn id="154" xr3:uid="{BCEBACD9-92B7-4C07-9349-0BF06725A083}" name="An3En" dataDxfId="142" totalsRowDxfId="141"/>
    <tableColumn id="155" xr3:uid="{E0739760-5FFA-460A-9B92-A98307BBEDBF}" name="CVA_An3En" dataDxfId="140" totalsRowDxfId="139"/>
    <tableColumn id="156" xr3:uid="{B6B0B208-D422-4A68-A0C8-E9FD52441D0C}" name="Fin_An3En" dataDxfId="138" totalsRowDxfId="137"/>
    <tableColumn id="157" xr3:uid="{7FDB53B5-00DC-4051-9BCD-5C44BCE1FE22}" name="FIN_CFURH" dataDxfId="136" totalsRowDxfId="135"/>
    <tableColumn id="158" xr3:uid="{234C3200-BA41-45F1-B762-23558F062AAD}" name="TEAngra" dataDxfId="134" totalsRowDxfId="133"/>
    <tableColumn id="159" xr3:uid="{4BBB7D5C-E9AD-4D0D-B22B-8576940F6A95}" name="TUSDAngra" dataDxfId="132" totalsRowDxfId="131"/>
    <tableColumn id="160" xr3:uid="{326F4D4F-8A5C-44D5-BA24-641AA39AE29E}" name="teCheia" dataDxfId="130" totalsRowDxfId="129"/>
    <tableColumn id="161" xr3:uid="{11C36C6C-88C1-412F-8622-2358DD383682}" name="tusdcheia" dataDxfId="128" totalsRowDxfId="127"/>
    <tableColumn id="162" xr3:uid="{14D370CA-1BC7-4B1B-93D5-6756E4EAFFCA}" name="AngraIII_TE" dataDxfId="126" totalsRowDxfId="125"/>
    <tableColumn id="163" xr3:uid="{C9000446-FA08-4BA9-A8BF-3E9F938C3AEE}" name="AngraIII_TUSD" dataDxfId="124" totalsRowDxfId="123"/>
    <tableColumn id="164" xr3:uid="{1E3DAD37-4778-41FB-BEFE-20A527048580}" name="AngraIII_Desc_TE" dataDxfId="122" totalsRowDxfId="121"/>
    <tableColumn id="165" xr3:uid="{6C19244C-C9FE-4DCB-ABD7-0AFB4C980B1D}" name="AngraIII_Desc_TUSD" dataDxfId="120" totalsRowDxfId="119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>
    <filterColumn colId="1">
      <filters>
        <filter val="(13.683,05)"/>
        <filter val="(16.855,93)"/>
        <filter val="(17.026,33)"/>
        <filter val="(537,80)"/>
        <filter val="(89.284,94)"/>
        <filter val="227.536,59"/>
        <filter val="328,34"/>
        <filter val="356.920,87"/>
        <filter val="45.172,20"/>
        <filter val="7.551,52"/>
        <filter val="9.893,44"/>
        <filter val="R$ (109.668,18)"/>
        <filter val="R$ (14.270,02)"/>
        <filter val="R$ (17.653,47)"/>
        <filter val="R$ (18.695,52)"/>
        <filter val="R$ (2.224.462,59)"/>
        <filter val="R$ (2.522.230,16)"/>
        <filter val="R$ (228.012,02)"/>
        <filter val="R$ (25,47)"/>
        <filter val="R$ (3.639,68)"/>
        <filter val="R$ (3.671,71)"/>
        <filter val="R$ (429.973,36)"/>
        <filter val="R$ (585,89)"/>
        <filter val="R$ (620,47)"/>
        <filter val="R$ (767,58)"/>
        <filter val="R$ (83.708,14)"/>
        <filter val="R$ (866.418,64)"/>
        <filter val="R$ 1.620.612,88"/>
        <filter val="R$ 107.193,78"/>
        <filter val="R$ 2.174.545,83"/>
        <filter val="R$ 2.465.322,13"/>
        <filter val="R$ 3.557,56"/>
        <filter val="R$ 62.622,38"/>
        <filter val="R$ 81.819,47"/>
      </filters>
    </filterColumn>
  </autoFilter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2038</v>
      </c>
    </row>
    <row r="2" spans="1:15">
      <c r="A2">
        <v>252</v>
      </c>
      <c r="B2" s="912">
        <v>43922</v>
      </c>
      <c r="C2" s="232"/>
      <c r="D2" s="232"/>
      <c r="E2" s="232"/>
      <c r="F2" s="232"/>
      <c r="G2" s="232"/>
      <c r="H2" s="232"/>
      <c r="I2" s="913"/>
    </row>
    <row r="3" spans="1:15">
      <c r="A3">
        <v>255</v>
      </c>
      <c r="B3" s="912">
        <v>43922</v>
      </c>
      <c r="C3" s="232"/>
      <c r="D3" s="232"/>
      <c r="E3" s="232"/>
      <c r="F3" s="232"/>
      <c r="G3" s="232"/>
      <c r="H3" s="232"/>
      <c r="I3" s="913"/>
    </row>
    <row r="4" spans="1:15">
      <c r="A4">
        <v>206</v>
      </c>
      <c r="B4" s="912">
        <v>43922</v>
      </c>
      <c r="C4" s="232"/>
      <c r="D4" s="232"/>
      <c r="E4" s="232"/>
      <c r="F4" s="232"/>
      <c r="G4" s="232"/>
      <c r="H4" s="232"/>
      <c r="I4" s="913"/>
    </row>
    <row r="5" spans="1:15">
      <c r="A5">
        <v>256</v>
      </c>
      <c r="B5" s="912">
        <v>43922</v>
      </c>
      <c r="C5" s="232"/>
      <c r="D5" s="232"/>
      <c r="E5" s="232"/>
      <c r="F5" s="232"/>
      <c r="G5" s="232"/>
      <c r="H5" s="232"/>
      <c r="I5" s="913"/>
      <c r="J5" s="232">
        <v>4154376.2782662762</v>
      </c>
    </row>
    <row r="6" spans="1:15">
      <c r="A6">
        <v>203</v>
      </c>
      <c r="B6" s="912">
        <v>43952</v>
      </c>
      <c r="C6" s="232"/>
      <c r="D6" s="232"/>
      <c r="E6" s="232"/>
      <c r="F6" s="232"/>
      <c r="G6" s="232"/>
      <c r="H6" s="232"/>
      <c r="I6" s="913"/>
      <c r="J6" s="232"/>
    </row>
    <row r="7" spans="1:15">
      <c r="A7">
        <v>211</v>
      </c>
      <c r="B7" s="912">
        <v>43952</v>
      </c>
      <c r="C7" s="232"/>
      <c r="D7" s="232"/>
      <c r="E7" s="232"/>
      <c r="F7" s="232"/>
      <c r="G7" s="232"/>
      <c r="H7" s="232"/>
      <c r="I7" s="913"/>
      <c r="J7" s="232">
        <v>18046086.986190885</v>
      </c>
      <c r="N7" s="232"/>
      <c r="O7" s="913"/>
    </row>
    <row r="8" spans="1:15">
      <c r="A8">
        <v>254</v>
      </c>
      <c r="B8" s="912">
        <v>43952</v>
      </c>
      <c r="C8" s="232"/>
      <c r="D8" s="232"/>
      <c r="E8" s="232"/>
      <c r="F8" s="232"/>
      <c r="G8" s="232"/>
      <c r="H8" s="232"/>
      <c r="I8" s="913"/>
      <c r="N8" s="232"/>
      <c r="O8" s="913"/>
    </row>
    <row r="9" spans="1:15">
      <c r="A9">
        <v>210</v>
      </c>
      <c r="B9" s="912">
        <v>43952</v>
      </c>
      <c r="C9" s="232"/>
      <c r="D9" s="232"/>
      <c r="E9" s="232"/>
      <c r="F9" s="232"/>
      <c r="G9" s="232"/>
      <c r="H9" s="232"/>
      <c r="I9" s="913"/>
      <c r="N9" s="232"/>
      <c r="O9" s="913"/>
    </row>
    <row r="10" spans="1:15">
      <c r="A10">
        <v>258</v>
      </c>
      <c r="B10" s="912">
        <v>44013</v>
      </c>
      <c r="C10" s="232"/>
      <c r="D10" s="232"/>
      <c r="E10" s="232"/>
      <c r="F10" s="232"/>
      <c r="G10" s="232"/>
      <c r="H10" s="232"/>
      <c r="I10" s="913"/>
    </row>
    <row r="11" spans="1:15">
      <c r="A11">
        <v>247</v>
      </c>
      <c r="B11" s="912">
        <v>44013</v>
      </c>
      <c r="C11" s="232"/>
      <c r="D11" s="232"/>
      <c r="E11" s="232"/>
      <c r="F11" s="232"/>
      <c r="G11" s="232"/>
      <c r="H11" s="232"/>
      <c r="I11" s="913"/>
    </row>
    <row r="12" spans="1:15">
      <c r="A12">
        <v>248</v>
      </c>
      <c r="B12" s="912">
        <v>44013</v>
      </c>
      <c r="C12" s="232"/>
      <c r="D12" s="232"/>
      <c r="E12" s="232"/>
      <c r="F12" s="232"/>
      <c r="G12" s="232"/>
      <c r="H12" s="232"/>
      <c r="I12" s="914"/>
    </row>
    <row r="13" spans="1:15">
      <c r="A13">
        <v>209</v>
      </c>
      <c r="B13" s="912">
        <v>44013</v>
      </c>
      <c r="C13" s="232"/>
      <c r="D13" s="232"/>
      <c r="E13" s="232"/>
      <c r="F13" s="232"/>
      <c r="G13" s="232"/>
      <c r="H13" s="232"/>
      <c r="I13" s="913"/>
    </row>
    <row r="14" spans="1:15">
      <c r="A14">
        <v>207</v>
      </c>
      <c r="B14" s="912">
        <v>44013</v>
      </c>
      <c r="C14" s="232"/>
      <c r="D14" s="232"/>
      <c r="E14" s="232"/>
      <c r="F14" s="232"/>
      <c r="G14" s="232"/>
      <c r="H14" s="232"/>
      <c r="I14" s="913"/>
    </row>
    <row r="15" spans="1:15">
      <c r="A15">
        <v>249</v>
      </c>
      <c r="B15" s="912">
        <v>44013</v>
      </c>
      <c r="C15" s="232"/>
      <c r="D15" s="232"/>
      <c r="E15" s="232"/>
      <c r="F15" s="232"/>
      <c r="G15" s="232"/>
      <c r="H15" s="232"/>
      <c r="I15" s="913"/>
    </row>
    <row r="16" spans="1:15">
      <c r="A16">
        <v>237</v>
      </c>
      <c r="B16" s="912">
        <v>44013</v>
      </c>
      <c r="C16" s="232"/>
      <c r="D16" s="232"/>
      <c r="E16" s="232"/>
      <c r="F16" s="232"/>
      <c r="G16" s="232"/>
      <c r="H16" s="232"/>
      <c r="I16" s="914"/>
    </row>
    <row r="17" spans="1:10">
      <c r="A17">
        <v>246</v>
      </c>
      <c r="B17" s="912">
        <v>44013</v>
      </c>
      <c r="C17" s="232"/>
      <c r="D17" s="232"/>
      <c r="E17" s="232"/>
      <c r="F17" s="232"/>
      <c r="G17" s="232"/>
      <c r="H17" s="232"/>
      <c r="I17" s="913"/>
    </row>
    <row r="18" spans="1:10">
      <c r="A18">
        <v>238</v>
      </c>
      <c r="B18" s="912">
        <v>44013</v>
      </c>
      <c r="C18" s="232"/>
      <c r="D18" s="232"/>
      <c r="E18" s="232"/>
      <c r="F18" s="232"/>
      <c r="G18" s="232"/>
      <c r="H18" s="232"/>
      <c r="I18" s="913"/>
    </row>
    <row r="19" spans="1:10">
      <c r="A19">
        <v>240</v>
      </c>
      <c r="B19" s="912">
        <v>44013</v>
      </c>
      <c r="C19" s="232"/>
      <c r="D19" s="232"/>
      <c r="E19" s="232"/>
      <c r="F19" s="232"/>
      <c r="G19" s="232"/>
      <c r="H19" s="232"/>
      <c r="I19" s="913"/>
      <c r="J19" s="232">
        <v>81721407.839354143</v>
      </c>
    </row>
    <row r="20" spans="1:10">
      <c r="A20">
        <v>242</v>
      </c>
      <c r="B20" s="912">
        <v>44013</v>
      </c>
      <c r="C20" s="232"/>
      <c r="D20" s="232"/>
      <c r="E20" s="232"/>
      <c r="F20" s="232"/>
      <c r="G20" s="232"/>
      <c r="H20" s="232"/>
      <c r="I20" s="913"/>
    </row>
    <row r="21" spans="1:10">
      <c r="A21">
        <v>245</v>
      </c>
      <c r="B21" s="912">
        <v>44013</v>
      </c>
      <c r="C21" s="232"/>
      <c r="D21" s="232"/>
      <c r="E21" s="232"/>
      <c r="F21" s="232"/>
      <c r="G21" s="232"/>
      <c r="H21" s="232"/>
      <c r="I21" s="913"/>
    </row>
    <row r="22" spans="1:10">
      <c r="A22">
        <v>257</v>
      </c>
      <c r="B22" s="912">
        <v>44013</v>
      </c>
      <c r="C22" s="232"/>
      <c r="D22" s="232"/>
      <c r="E22" s="232"/>
      <c r="F22" s="232"/>
      <c r="G22" s="232"/>
      <c r="H22" s="232"/>
      <c r="I22" s="913"/>
    </row>
    <row r="23" spans="1:10">
      <c r="A23">
        <v>239</v>
      </c>
      <c r="B23" s="912">
        <v>44013</v>
      </c>
      <c r="C23" s="232"/>
      <c r="D23" s="232"/>
      <c r="E23" s="232"/>
      <c r="F23" s="232"/>
      <c r="G23" s="232"/>
      <c r="H23" s="232"/>
      <c r="I23" s="913"/>
    </row>
    <row r="24" spans="1:10">
      <c r="A24">
        <v>232</v>
      </c>
      <c r="B24" s="912">
        <v>44075</v>
      </c>
      <c r="C24" s="232"/>
      <c r="D24" s="232"/>
      <c r="E24" s="232"/>
      <c r="F24" s="232"/>
      <c r="G24" s="232"/>
      <c r="H24" s="232"/>
      <c r="I24" s="913"/>
    </row>
    <row r="25" spans="1:10">
      <c r="A25">
        <v>222</v>
      </c>
      <c r="B25" s="912">
        <v>44075</v>
      </c>
      <c r="C25" s="232"/>
      <c r="D25" s="232"/>
      <c r="E25" s="232"/>
      <c r="F25" s="232"/>
      <c r="G25" s="232"/>
      <c r="H25" s="232"/>
      <c r="I25" s="913"/>
    </row>
    <row r="26" spans="1:10">
      <c r="A26">
        <v>202</v>
      </c>
      <c r="B26" s="912">
        <v>44075</v>
      </c>
      <c r="C26" s="232"/>
      <c r="D26" s="232"/>
      <c r="E26" s="232"/>
      <c r="F26" s="232"/>
      <c r="G26" s="232"/>
      <c r="H26" s="232"/>
      <c r="I26" s="913"/>
    </row>
    <row r="27" spans="1:10">
      <c r="A27">
        <v>260</v>
      </c>
      <c r="B27" s="912">
        <v>44075</v>
      </c>
      <c r="C27" s="232"/>
      <c r="D27" s="232"/>
      <c r="E27" s="232"/>
      <c r="F27" s="232"/>
      <c r="G27" s="232"/>
      <c r="H27" s="232"/>
      <c r="I27" s="913"/>
    </row>
    <row r="28" spans="1:10">
      <c r="A28">
        <v>230</v>
      </c>
      <c r="B28" s="912">
        <v>44075</v>
      </c>
      <c r="C28" s="232"/>
      <c r="D28" s="232"/>
      <c r="E28" s="232"/>
      <c r="F28" s="232"/>
      <c r="G28" s="232"/>
      <c r="H28" s="232"/>
      <c r="I28" s="913"/>
    </row>
    <row r="29" spans="1:10">
      <c r="A29">
        <v>221</v>
      </c>
      <c r="B29" s="912">
        <v>44075</v>
      </c>
      <c r="C29" s="232"/>
      <c r="D29" s="232"/>
      <c r="E29" s="232"/>
      <c r="F29" s="232"/>
      <c r="G29" s="232"/>
      <c r="H29" s="232"/>
      <c r="I29" s="913"/>
    </row>
    <row r="30" spans="1:10">
      <c r="A30">
        <v>218</v>
      </c>
      <c r="B30" s="912">
        <v>44075</v>
      </c>
      <c r="C30" s="232"/>
      <c r="D30" s="232"/>
      <c r="E30" s="232"/>
      <c r="F30" s="232"/>
      <c r="G30" s="232"/>
      <c r="H30" s="232"/>
      <c r="I30" s="913"/>
    </row>
    <row r="31" spans="1:10">
      <c r="A31">
        <v>261</v>
      </c>
      <c r="B31" s="912">
        <v>44075</v>
      </c>
      <c r="C31" s="232"/>
      <c r="D31" s="232"/>
      <c r="E31" s="232"/>
      <c r="F31" s="232"/>
      <c r="G31" s="232"/>
      <c r="H31" s="232"/>
      <c r="I31" s="913"/>
    </row>
    <row r="32" spans="1:10">
      <c r="A32">
        <v>262</v>
      </c>
      <c r="B32" s="912">
        <v>44075</v>
      </c>
      <c r="C32" s="232"/>
      <c r="D32" s="232"/>
      <c r="E32" s="232"/>
      <c r="F32" s="232"/>
      <c r="G32" s="232"/>
      <c r="H32" s="232"/>
      <c r="I32" s="913"/>
    </row>
    <row r="33" spans="1:9">
      <c r="A33">
        <v>227</v>
      </c>
      <c r="B33" s="912">
        <v>44075</v>
      </c>
      <c r="C33" s="232"/>
      <c r="D33" s="232"/>
      <c r="E33" s="232"/>
      <c r="F33" s="232"/>
      <c r="G33" s="232"/>
      <c r="H33" s="232"/>
      <c r="I33" s="913"/>
    </row>
    <row r="34" spans="1:9">
      <c r="A34">
        <v>231</v>
      </c>
      <c r="B34" s="912">
        <v>44075</v>
      </c>
      <c r="C34" s="232"/>
      <c r="D34" s="232"/>
      <c r="E34" s="232"/>
      <c r="F34" s="232"/>
      <c r="G34" s="232"/>
      <c r="H34" s="232"/>
      <c r="I34" s="913"/>
    </row>
    <row r="35" spans="1:9">
      <c r="A35">
        <v>216</v>
      </c>
      <c r="B35" s="912">
        <v>44075</v>
      </c>
      <c r="C35" s="232"/>
      <c r="D35" s="232"/>
      <c r="E35" s="232"/>
      <c r="F35" s="232"/>
      <c r="G35" s="232"/>
      <c r="H35" s="232"/>
      <c r="I35" s="913"/>
    </row>
    <row r="36" spans="1:9">
      <c r="A36">
        <v>229</v>
      </c>
      <c r="B36" s="912">
        <v>44075</v>
      </c>
      <c r="C36" s="232"/>
      <c r="D36" s="232"/>
      <c r="E36" s="232"/>
      <c r="F36" s="232"/>
      <c r="G36" s="232"/>
      <c r="H36" s="232"/>
      <c r="I36" s="913"/>
    </row>
    <row r="37" spans="1:9">
      <c r="A37">
        <v>215</v>
      </c>
      <c r="B37" s="912">
        <v>44075</v>
      </c>
      <c r="C37" s="232"/>
      <c r="D37" s="232"/>
      <c r="E37" s="232"/>
      <c r="F37" s="232"/>
      <c r="G37" s="232"/>
      <c r="H37" s="232"/>
      <c r="I37" s="913"/>
    </row>
    <row r="38" spans="1:9">
      <c r="A38">
        <v>224</v>
      </c>
      <c r="B38" s="912">
        <v>44075</v>
      </c>
      <c r="C38" s="232"/>
      <c r="D38" s="232"/>
      <c r="E38" s="232"/>
      <c r="F38" s="232"/>
      <c r="G38" s="232"/>
      <c r="H38" s="232"/>
      <c r="I38" s="913"/>
    </row>
    <row r="39" spans="1:9">
      <c r="A39">
        <v>226</v>
      </c>
      <c r="B39" s="912">
        <v>44075</v>
      </c>
      <c r="C39" s="232"/>
      <c r="D39" s="232"/>
      <c r="E39" s="232"/>
      <c r="F39" s="232"/>
      <c r="G39" s="232"/>
      <c r="H39" s="232"/>
      <c r="I39" s="913"/>
    </row>
    <row r="40" spans="1:9">
      <c r="A40">
        <v>234</v>
      </c>
      <c r="B40" s="912">
        <v>44075</v>
      </c>
      <c r="C40" s="232"/>
      <c r="D40" s="232"/>
      <c r="E40" s="232"/>
      <c r="F40" s="232"/>
      <c r="G40" s="232"/>
      <c r="H40" s="232"/>
      <c r="I40" s="913"/>
    </row>
    <row r="41" spans="1:9">
      <c r="A41">
        <v>223</v>
      </c>
      <c r="B41" s="912">
        <v>44075</v>
      </c>
      <c r="C41" s="232"/>
      <c r="D41" s="232"/>
      <c r="E41" s="232"/>
      <c r="F41" s="232"/>
      <c r="G41" s="232"/>
      <c r="H41" s="232"/>
      <c r="I41" s="913"/>
    </row>
    <row r="42" spans="1:9">
      <c r="A42">
        <v>225</v>
      </c>
      <c r="B42" s="912">
        <v>44075</v>
      </c>
      <c r="C42" s="232"/>
      <c r="D42" s="232"/>
      <c r="E42" s="232"/>
      <c r="F42" s="232"/>
      <c r="G42" s="232"/>
      <c r="H42" s="232"/>
      <c r="I42" s="913"/>
    </row>
    <row r="43" spans="1:9">
      <c r="A43">
        <v>228</v>
      </c>
      <c r="B43" s="912">
        <v>44075</v>
      </c>
      <c r="C43" s="232"/>
      <c r="D43" s="232"/>
      <c r="E43" s="232"/>
      <c r="F43" s="232"/>
      <c r="G43" s="232"/>
      <c r="H43" s="232"/>
      <c r="I43" s="913"/>
    </row>
    <row r="44" spans="1:9">
      <c r="A44">
        <v>220</v>
      </c>
      <c r="B44" s="912">
        <v>44075</v>
      </c>
      <c r="C44" s="232"/>
      <c r="D44" s="232"/>
      <c r="E44" s="232"/>
      <c r="F44" s="232"/>
      <c r="G44" s="232"/>
      <c r="H44" s="232"/>
      <c r="I44" s="913"/>
    </row>
    <row r="45" spans="1:9">
      <c r="A45">
        <v>201</v>
      </c>
      <c r="B45" s="912">
        <v>44136</v>
      </c>
      <c r="C45" s="232"/>
      <c r="D45" s="232"/>
      <c r="E45" s="232"/>
      <c r="F45" s="232"/>
      <c r="G45" s="232"/>
      <c r="H45" s="232"/>
      <c r="I45" s="913"/>
    </row>
    <row r="46" spans="1:9">
      <c r="A46">
        <v>213</v>
      </c>
      <c r="B46" s="912">
        <v>44136</v>
      </c>
      <c r="C46" s="232"/>
      <c r="D46" s="232"/>
      <c r="E46" s="232"/>
      <c r="F46" s="232"/>
      <c r="G46" s="232"/>
      <c r="H46" s="232"/>
      <c r="I46" s="913"/>
    </row>
    <row r="47" spans="1:9">
      <c r="A47">
        <v>219</v>
      </c>
      <c r="B47" s="912">
        <v>44136</v>
      </c>
      <c r="C47" s="232"/>
      <c r="D47" s="232"/>
      <c r="E47" s="232"/>
      <c r="F47" s="232"/>
      <c r="G47" s="232"/>
      <c r="H47" s="232"/>
      <c r="I47" s="913"/>
    </row>
    <row r="48" spans="1:9">
      <c r="A48">
        <v>205</v>
      </c>
      <c r="B48" s="912">
        <v>44136</v>
      </c>
      <c r="C48" s="232"/>
      <c r="D48" s="232"/>
      <c r="E48" s="232"/>
      <c r="F48" s="232"/>
      <c r="G48" s="232"/>
      <c r="H48" s="232"/>
      <c r="I48" s="913"/>
    </row>
    <row r="49" spans="1:10">
      <c r="A49">
        <v>208</v>
      </c>
      <c r="B49" s="912">
        <v>44136</v>
      </c>
      <c r="C49" s="232"/>
      <c r="D49" s="232"/>
      <c r="E49" s="232"/>
      <c r="F49" s="232"/>
      <c r="G49" s="232"/>
      <c r="H49" s="232"/>
      <c r="I49" s="913"/>
    </row>
    <row r="50" spans="1:10">
      <c r="A50">
        <v>263</v>
      </c>
      <c r="B50" s="912">
        <v>44166</v>
      </c>
      <c r="C50" s="232"/>
      <c r="D50" s="232"/>
      <c r="F50" s="232"/>
      <c r="G50" s="232"/>
      <c r="H50" s="232"/>
      <c r="I50" s="913"/>
      <c r="J50" s="232">
        <v>5389974.3136365721</v>
      </c>
    </row>
    <row r="51" spans="1:10">
      <c r="A51">
        <v>217</v>
      </c>
      <c r="B51" s="912">
        <v>44166</v>
      </c>
      <c r="C51" s="232"/>
      <c r="D51" s="232"/>
      <c r="E51" s="232"/>
      <c r="F51" s="232"/>
      <c r="G51" s="232"/>
      <c r="H51" s="232"/>
      <c r="I51" s="913"/>
      <c r="J51" s="232"/>
    </row>
    <row r="52" spans="1:10">
      <c r="A52">
        <v>264</v>
      </c>
      <c r="B52" s="912">
        <v>44166</v>
      </c>
      <c r="C52" s="232"/>
      <c r="D52" s="232"/>
      <c r="F52" s="232"/>
      <c r="G52" s="232"/>
      <c r="H52" s="232"/>
      <c r="I52" s="913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A54" zoomScale="90" zoomScaleNormal="90" workbookViewId="0">
      <selection activeCell="O86" sqref="O86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4" t="s">
        <v>12</v>
      </c>
      <c r="C1" s="935"/>
      <c r="D1" s="935"/>
      <c r="E1" s="936" t="s">
        <v>13</v>
      </c>
      <c r="F1" s="937">
        <f ca="1">LnkTXTIRTEco</f>
        <v>0.15570000000000001</v>
      </c>
    </row>
    <row r="2" spans="2:43" ht="28.5" customHeight="1">
      <c r="B2" s="136" t="str">
        <f>CAPA!C9</f>
        <v>Cegero</v>
      </c>
      <c r="C2" s="70"/>
      <c r="D2" s="70"/>
      <c r="E2" s="83" t="s">
        <v>14</v>
      </c>
      <c r="F2" s="84">
        <f ca="1">LnkTXTIRTTotal</f>
        <v>0.16300000000000001</v>
      </c>
      <c r="M2" s="85"/>
      <c r="N2" s="86"/>
      <c r="AA2" s="849"/>
      <c r="AB2" s="911"/>
      <c r="AC2" s="849"/>
      <c r="AD2" s="849"/>
    </row>
    <row r="3" spans="2:43" ht="21" customHeight="1">
      <c r="B3" s="938" t="s">
        <v>15</v>
      </c>
      <c r="C3" s="787"/>
      <c r="I3" s="938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9" t="s">
        <v>17</v>
      </c>
      <c r="C5" s="940">
        <v>180869.08199999999</v>
      </c>
      <c r="D5" s="1768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6" t="s">
        <v>27</v>
      </c>
      <c r="T5" s="480" t="s">
        <v>28</v>
      </c>
      <c r="U5" s="71" t="s">
        <v>29</v>
      </c>
      <c r="V5" s="786" t="s">
        <v>30</v>
      </c>
      <c r="AA5" s="68" t="s">
        <v>31</v>
      </c>
      <c r="AB5" s="68" t="s">
        <v>32</v>
      </c>
      <c r="AC5" s="68" t="s">
        <v>20</v>
      </c>
      <c r="AD5" s="849" t="s">
        <v>33</v>
      </c>
      <c r="AE5" s="849" t="s">
        <v>2035</v>
      </c>
      <c r="AI5" s="891" t="s">
        <v>34</v>
      </c>
      <c r="AJ5" s="891" t="s">
        <v>35</v>
      </c>
      <c r="AL5" s="899" t="s">
        <v>36</v>
      </c>
      <c r="AM5" s="899" t="s">
        <v>37</v>
      </c>
      <c r="AO5" s="849" t="s">
        <v>2059</v>
      </c>
      <c r="AP5" s="849" t="s">
        <v>37</v>
      </c>
      <c r="AQ5" s="849" t="s">
        <v>2060</v>
      </c>
    </row>
    <row r="6" spans="2:43" ht="16.5">
      <c r="B6" s="93"/>
      <c r="C6" s="88"/>
      <c r="D6" s="1769"/>
      <c r="E6" s="90"/>
      <c r="F6" s="72"/>
      <c r="G6" s="72"/>
      <c r="H6" s="68" t="str">
        <f>CONCATENATE(W6,J6,L6,O6)</f>
        <v>5697A2Não se aplicaEnergia</v>
      </c>
      <c r="I6" s="941">
        <v>2022</v>
      </c>
      <c r="J6" s="942" t="s">
        <v>538</v>
      </c>
      <c r="K6" s="942" t="s">
        <v>752</v>
      </c>
      <c r="L6" s="942" t="s">
        <v>1239</v>
      </c>
      <c r="M6" s="942" t="s">
        <v>2323</v>
      </c>
      <c r="N6" s="942">
        <v>5356</v>
      </c>
      <c r="O6" s="942" t="s">
        <v>108</v>
      </c>
      <c r="P6" s="942" t="s">
        <v>753</v>
      </c>
      <c r="Q6" s="943">
        <v>44795</v>
      </c>
      <c r="R6" s="943">
        <v>44785</v>
      </c>
      <c r="S6" s="508" t="s">
        <v>2324</v>
      </c>
      <c r="T6" s="943" t="s">
        <v>2325</v>
      </c>
      <c r="U6" s="942">
        <v>3.5</v>
      </c>
      <c r="V6" s="942">
        <v>111</v>
      </c>
      <c r="W6" s="68">
        <f>VLOOKUP(V6,DescontosTE[[#All],[idsreag supridora]:[codsariSUP]],2,FALSE)</f>
        <v>5697</v>
      </c>
      <c r="AA6" s="850" t="s">
        <v>1145</v>
      </c>
      <c r="AB6" s="851">
        <v>4.9452732515922109E-4</v>
      </c>
      <c r="AC6" s="850">
        <v>2022</v>
      </c>
      <c r="AD6" s="850">
        <v>349.15</v>
      </c>
      <c r="AE6" s="850">
        <v>6615.8447173387713</v>
      </c>
      <c r="AI6" s="897"/>
      <c r="AJ6" s="898"/>
      <c r="AL6" s="900" t="s">
        <v>2371</v>
      </c>
      <c r="AM6" s="901">
        <v>0</v>
      </c>
      <c r="AO6" s="1461" t="s">
        <v>2073</v>
      </c>
      <c r="AP6" s="1462">
        <v>0</v>
      </c>
      <c r="AQ6" s="1462"/>
    </row>
    <row r="7" spans="2:43" ht="16.5">
      <c r="B7" s="944" t="s">
        <v>38</v>
      </c>
      <c r="C7" s="945">
        <v>0</v>
      </c>
      <c r="D7" s="1769"/>
      <c r="E7" s="72"/>
      <c r="F7" s="72"/>
      <c r="G7" s="72"/>
      <c r="H7" s="68" t="str">
        <f t="shared" ref="H7:H30" si="0">CONCATENATE(W7,J7,L7,O7)</f>
        <v>5697A2PontaPotência</v>
      </c>
      <c r="I7" s="506">
        <v>2022</v>
      </c>
      <c r="J7" s="507" t="s">
        <v>538</v>
      </c>
      <c r="K7" s="507" t="s">
        <v>752</v>
      </c>
      <c r="L7" s="507" t="s">
        <v>893</v>
      </c>
      <c r="M7" s="507" t="s">
        <v>2323</v>
      </c>
      <c r="N7" s="507">
        <v>5356</v>
      </c>
      <c r="O7" s="507" t="s">
        <v>1238</v>
      </c>
      <c r="P7" s="507" t="s">
        <v>753</v>
      </c>
      <c r="Q7" s="508">
        <v>44795</v>
      </c>
      <c r="R7" s="508">
        <v>44785</v>
      </c>
      <c r="S7" s="508" t="s">
        <v>2324</v>
      </c>
      <c r="T7" s="508" t="s">
        <v>2325</v>
      </c>
      <c r="U7" s="507">
        <v>17.63</v>
      </c>
      <c r="V7" s="507">
        <v>111</v>
      </c>
      <c r="W7" s="68">
        <f>VLOOKUP(V7,DescontosTE[[#All],[idsreag supridora]:[codsariSUP]],2,FALSE)</f>
        <v>5697</v>
      </c>
      <c r="AA7" s="850"/>
      <c r="AB7" s="851"/>
      <c r="AC7" s="850"/>
      <c r="AD7" s="850"/>
      <c r="AE7" s="850"/>
      <c r="AI7" s="897"/>
      <c r="AJ7" s="898"/>
      <c r="AL7" s="900" t="s">
        <v>2372</v>
      </c>
      <c r="AM7" s="901">
        <v>0</v>
      </c>
      <c r="AO7" s="1461" t="s">
        <v>2074</v>
      </c>
      <c r="AP7" s="1462">
        <v>-823958.04</v>
      </c>
      <c r="AQ7" s="1462"/>
    </row>
    <row r="8" spans="2:43" ht="16.5">
      <c r="B8" s="93" t="s">
        <v>39</v>
      </c>
      <c r="C8" s="119">
        <v>0</v>
      </c>
      <c r="D8" s="1769"/>
      <c r="E8" s="72"/>
      <c r="F8" s="72"/>
      <c r="G8" s="72"/>
      <c r="H8" s="68" t="str">
        <f t="shared" si="0"/>
        <v>5697A2Fora pontaPotência</v>
      </c>
      <c r="I8" s="506">
        <v>2022</v>
      </c>
      <c r="J8" s="507" t="s">
        <v>538</v>
      </c>
      <c r="K8" s="507" t="s">
        <v>752</v>
      </c>
      <c r="L8" s="507" t="s">
        <v>2326</v>
      </c>
      <c r="M8" s="507" t="s">
        <v>2323</v>
      </c>
      <c r="N8" s="507">
        <v>5356</v>
      </c>
      <c r="O8" s="507" t="s">
        <v>1238</v>
      </c>
      <c r="P8" s="507" t="s">
        <v>753</v>
      </c>
      <c r="Q8" s="508">
        <v>44795</v>
      </c>
      <c r="R8" s="508">
        <v>44785</v>
      </c>
      <c r="S8" s="508" t="s">
        <v>2324</v>
      </c>
      <c r="T8" s="508" t="s">
        <v>2325</v>
      </c>
      <c r="U8" s="507">
        <v>11.14</v>
      </c>
      <c r="V8" s="507">
        <v>111</v>
      </c>
      <c r="W8" s="68">
        <f>VLOOKUP(V8,DescontosTE[[#All],[idsreag supridora]:[codsariSUP]],2,FALSE)</f>
        <v>5697</v>
      </c>
      <c r="AI8" s="897"/>
      <c r="AJ8" s="898"/>
      <c r="AL8" s="900" t="s">
        <v>2373</v>
      </c>
      <c r="AM8" s="901">
        <v>0</v>
      </c>
      <c r="AO8" s="1461" t="s">
        <v>2075</v>
      </c>
      <c r="AP8" s="1462">
        <v>-2115448.2999999998</v>
      </c>
      <c r="AQ8" s="1462"/>
    </row>
    <row r="9" spans="2:43" ht="16.5">
      <c r="B9" s="93" t="s">
        <v>40</v>
      </c>
      <c r="C9" s="119">
        <v>52508.6346985704</v>
      </c>
      <c r="D9" s="1769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7"/>
      <c r="AJ9" s="898"/>
      <c r="AL9" s="900" t="s">
        <v>2374</v>
      </c>
      <c r="AM9" s="901"/>
      <c r="AO9" s="1461"/>
      <c r="AP9" s="1462"/>
      <c r="AQ9" s="1462" t="s">
        <v>2076</v>
      </c>
    </row>
    <row r="10" spans="2:43" ht="16.5">
      <c r="B10" s="93" t="s">
        <v>41</v>
      </c>
      <c r="C10" s="119">
        <v>9737920.4871800095</v>
      </c>
      <c r="D10" s="1769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5" t="s">
        <v>45</v>
      </c>
      <c r="AI10" s="897"/>
      <c r="AJ10" s="898"/>
      <c r="AL10" s="900" t="s">
        <v>2375</v>
      </c>
      <c r="AM10" s="901">
        <v>0</v>
      </c>
    </row>
    <row r="11" spans="2:43" ht="16.5">
      <c r="B11" s="93" t="s">
        <v>46</v>
      </c>
      <c r="C11" s="119">
        <v>1124402.7930999999</v>
      </c>
      <c r="D11" s="1769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50">
        <v>0.87029999999999996</v>
      </c>
      <c r="AB11" s="851">
        <v>195.04</v>
      </c>
      <c r="AC11" s="850">
        <v>14739.74</v>
      </c>
      <c r="AD11" s="850">
        <v>5.2481529999999998E-4</v>
      </c>
      <c r="AI11" s="897"/>
      <c r="AJ11" s="898"/>
      <c r="AL11" s="900" t="s">
        <v>2376</v>
      </c>
      <c r="AM11" s="901">
        <v>0</v>
      </c>
    </row>
    <row r="12" spans="2:43" ht="16.5">
      <c r="B12" s="93" t="s">
        <v>47</v>
      </c>
      <c r="C12" s="119">
        <v>1680295.7447599999</v>
      </c>
      <c r="D12" s="1769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7"/>
      <c r="AJ12" s="898"/>
      <c r="AL12" s="900" t="s">
        <v>2377</v>
      </c>
      <c r="AM12" s="901">
        <v>0</v>
      </c>
    </row>
    <row r="13" spans="2:43" ht="16.5">
      <c r="B13" s="93" t="s">
        <v>48</v>
      </c>
      <c r="C13" s="119">
        <v>0</v>
      </c>
      <c r="D13" s="1769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7"/>
      <c r="AJ13" s="898"/>
      <c r="AL13" s="900" t="s">
        <v>2378</v>
      </c>
      <c r="AM13" s="901">
        <v>0</v>
      </c>
    </row>
    <row r="14" spans="2:43" ht="16.5">
      <c r="B14" s="93" t="s">
        <v>49</v>
      </c>
      <c r="C14" s="119">
        <v>0</v>
      </c>
      <c r="D14" s="1769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9"/>
      <c r="AB14" s="799"/>
      <c r="AC14" s="799"/>
      <c r="AI14" s="897"/>
      <c r="AJ14" s="898"/>
      <c r="AL14" s="900" t="s">
        <v>2379</v>
      </c>
      <c r="AM14" s="901">
        <v>0</v>
      </c>
    </row>
    <row r="15" spans="2:43" ht="16.5">
      <c r="B15" s="946" t="s">
        <v>2036</v>
      </c>
      <c r="C15" s="947">
        <v>1856987.5503404499</v>
      </c>
      <c r="D15" s="1769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3" t="s">
        <v>109</v>
      </c>
      <c r="AB15" s="903" t="s">
        <v>898</v>
      </c>
      <c r="AC15" s="799"/>
      <c r="AI15" s="897"/>
      <c r="AJ15" s="898"/>
      <c r="AL15" s="900"/>
      <c r="AM15" s="901"/>
    </row>
    <row r="16" spans="2:43" ht="16.5">
      <c r="D16" s="1769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50">
        <v>2022</v>
      </c>
      <c r="AB16" s="851">
        <v>3159.0104146825497</v>
      </c>
      <c r="AC16" s="849"/>
      <c r="AI16" s="897"/>
      <c r="AJ16" s="898"/>
      <c r="AL16" s="900"/>
      <c r="AM16" s="901"/>
    </row>
    <row r="17" spans="2:42" ht="16.5">
      <c r="B17" s="939" t="s">
        <v>50</v>
      </c>
      <c r="C17" s="948"/>
      <c r="D17" s="1769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7"/>
      <c r="AJ17" s="898"/>
      <c r="AL17" s="856"/>
      <c r="AM17" s="851"/>
    </row>
    <row r="18" spans="2:42" ht="16.5">
      <c r="B18" s="93" t="s">
        <v>51</v>
      </c>
      <c r="C18" s="119">
        <v>0</v>
      </c>
      <c r="D18" s="1769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7"/>
      <c r="AJ18" s="898"/>
      <c r="AL18" s="856"/>
      <c r="AM18" s="851"/>
    </row>
    <row r="19" spans="2:42" ht="16.5">
      <c r="B19" s="93" t="s">
        <v>52</v>
      </c>
      <c r="C19" s="119">
        <v>0</v>
      </c>
      <c r="D19" s="1769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7"/>
      <c r="AJ19" s="898"/>
    </row>
    <row r="20" spans="2:42" ht="16.5">
      <c r="B20" s="93" t="s">
        <v>53</v>
      </c>
      <c r="C20" s="119"/>
      <c r="D20" s="1769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52" t="s">
        <v>54</v>
      </c>
      <c r="AB20" s="852"/>
      <c r="AC20" s="853"/>
      <c r="AD20" s="853"/>
      <c r="AE20" s="853"/>
      <c r="AF20" s="853"/>
      <c r="AG20" s="854"/>
      <c r="AI20" s="856"/>
      <c r="AJ20" s="851"/>
    </row>
    <row r="21" spans="2:42" ht="16.5">
      <c r="B21" s="93" t="s">
        <v>55</v>
      </c>
      <c r="C21" s="119"/>
      <c r="D21" s="1769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69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50" t="s">
        <v>1146</v>
      </c>
      <c r="AB22" s="851"/>
      <c r="AC22" s="850"/>
      <c r="AD22" s="850"/>
      <c r="AE22" s="851">
        <v>14363.798360478617</v>
      </c>
      <c r="AF22" s="856">
        <v>44774</v>
      </c>
      <c r="AG22" s="850">
        <v>136.07034753314048</v>
      </c>
    </row>
    <row r="23" spans="2:42" ht="16.5">
      <c r="B23" s="93" t="s">
        <v>64</v>
      </c>
      <c r="C23" s="119"/>
      <c r="D23" s="1769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50" t="s">
        <v>1146</v>
      </c>
      <c r="AB23" s="851"/>
      <c r="AC23" s="850"/>
      <c r="AD23" s="850"/>
      <c r="AE23" s="851">
        <v>22940.797423032844</v>
      </c>
      <c r="AF23" s="850">
        <v>44774</v>
      </c>
      <c r="AG23" s="850">
        <v>157.18861095126169</v>
      </c>
      <c r="AI23" s="849" t="s">
        <v>2063</v>
      </c>
      <c r="AM23" s="849" t="s">
        <v>2067</v>
      </c>
    </row>
    <row r="24" spans="2:42" ht="16.5">
      <c r="B24" s="93" t="s">
        <v>65</v>
      </c>
      <c r="C24" s="119">
        <v>0</v>
      </c>
      <c r="D24" s="1769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2061</v>
      </c>
      <c r="AJ24" s="68" t="s">
        <v>2062</v>
      </c>
      <c r="AK24" s="68" t="s">
        <v>1417</v>
      </c>
      <c r="AM24" s="68" t="s">
        <v>2064</v>
      </c>
      <c r="AN24" s="68" t="s">
        <v>2065</v>
      </c>
      <c r="AO24" s="68" t="s">
        <v>2066</v>
      </c>
      <c r="AP24" s="68" t="s">
        <v>37</v>
      </c>
    </row>
    <row r="25" spans="2:42" ht="16.5">
      <c r="B25" s="93" t="s">
        <v>66</v>
      </c>
      <c r="C25" s="119">
        <v>9308865.3434200007</v>
      </c>
      <c r="D25" s="1769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9"/>
      <c r="AE25" s="911"/>
      <c r="AF25" s="849"/>
      <c r="AG25" s="849"/>
      <c r="AI25" s="257" t="s">
        <v>2077</v>
      </c>
      <c r="AJ25" s="257" t="s">
        <v>41</v>
      </c>
      <c r="AK25" s="69">
        <v>-1337530.19250747</v>
      </c>
      <c r="AM25" s="1465" t="s">
        <v>104</v>
      </c>
      <c r="AN25" s="1465"/>
      <c r="AO25" s="1465" t="s">
        <v>2284</v>
      </c>
      <c r="AP25" s="1464">
        <v>-1028855.98072764</v>
      </c>
    </row>
    <row r="26" spans="2:42" ht="16.5">
      <c r="B26" s="939" t="s">
        <v>67</v>
      </c>
      <c r="C26" s="949">
        <v>11751312.5149619</v>
      </c>
      <c r="D26" s="1769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3" t="s">
        <v>2068</v>
      </c>
      <c r="AB26" s="903" t="s">
        <v>37</v>
      </c>
      <c r="AD26" s="849"/>
      <c r="AE26" s="911"/>
      <c r="AF26" s="849"/>
      <c r="AG26" s="849"/>
      <c r="AI26" s="257" t="s">
        <v>2077</v>
      </c>
      <c r="AJ26" s="257" t="s">
        <v>47</v>
      </c>
      <c r="AK26" s="69">
        <v>-193643.349638721</v>
      </c>
      <c r="AM26" s="1465"/>
      <c r="AN26" s="1465"/>
      <c r="AO26" s="1465"/>
      <c r="AP26" s="1464"/>
    </row>
    <row r="27" spans="2:42" ht="16.5">
      <c r="C27" s="69"/>
      <c r="D27" s="1769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50" t="s">
        <v>2070</v>
      </c>
      <c r="AB27" s="851">
        <v>6338.0548499999995</v>
      </c>
      <c r="AI27" s="257" t="s">
        <v>2077</v>
      </c>
      <c r="AJ27" s="257" t="s">
        <v>40</v>
      </c>
      <c r="AK27" s="69">
        <v>-8218.9244290824499</v>
      </c>
      <c r="AM27" s="1465"/>
      <c r="AN27" s="1465"/>
      <c r="AO27" s="1465"/>
      <c r="AP27" s="1464"/>
    </row>
    <row r="28" spans="2:42" ht="16.5">
      <c r="B28" s="938" t="s">
        <v>68</v>
      </c>
      <c r="C28" s="950"/>
      <c r="D28" s="1769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50" t="s">
        <v>2071</v>
      </c>
      <c r="AB28" s="851">
        <v>0</v>
      </c>
      <c r="AI28" s="257" t="s">
        <v>2078</v>
      </c>
      <c r="AJ28" s="257" t="s">
        <v>2079</v>
      </c>
      <c r="AK28" s="69">
        <v>4260944.1691434998</v>
      </c>
      <c r="AM28" s="1465"/>
      <c r="AN28" s="1465"/>
      <c r="AO28" s="1465"/>
      <c r="AP28" s="1464"/>
    </row>
    <row r="29" spans="2:42" ht="18" customHeight="1">
      <c r="D29" s="1769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50"/>
      <c r="AB29" s="851"/>
      <c r="AI29" s="257" t="s">
        <v>2080</v>
      </c>
      <c r="AJ29" s="257" t="s">
        <v>2081</v>
      </c>
      <c r="AK29" s="69">
        <v>419202.64300098701</v>
      </c>
      <c r="AM29" s="1465"/>
      <c r="AN29" s="1465"/>
      <c r="AO29" s="1465"/>
      <c r="AP29" s="1464"/>
    </row>
    <row r="30" spans="2:42" ht="16.5">
      <c r="B30" s="951"/>
      <c r="C30" s="952"/>
      <c r="D30" s="1769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50"/>
      <c r="AB30" s="851"/>
      <c r="AI30" s="257" t="s">
        <v>104</v>
      </c>
      <c r="AJ30" s="257"/>
      <c r="AK30" s="69">
        <v>-2540570.3605687628</v>
      </c>
      <c r="AM30" s="1465"/>
      <c r="AN30" s="1465"/>
      <c r="AO30" s="1465"/>
      <c r="AP30" s="1464"/>
    </row>
    <row r="31" spans="2:42">
      <c r="B31" s="654" t="s">
        <v>69</v>
      </c>
      <c r="C31" s="655">
        <v>4.7130579225647798E-2</v>
      </c>
      <c r="D31" s="1770"/>
      <c r="AI31" s="257"/>
      <c r="AJ31" s="257"/>
      <c r="AK31" s="69"/>
      <c r="AM31" s="1465"/>
      <c r="AN31" s="1465"/>
      <c r="AO31" s="1465"/>
      <c r="AP31" s="1464"/>
    </row>
    <row r="32" spans="2:42">
      <c r="B32" s="953" t="s">
        <v>70</v>
      </c>
      <c r="C32" s="954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2175</v>
      </c>
      <c r="AI33" s="257"/>
      <c r="AJ33" s="257"/>
      <c r="AK33" s="69"/>
    </row>
    <row r="34" spans="1:37">
      <c r="B34" s="938"/>
      <c r="C34" s="950"/>
      <c r="AA34" s="68" t="s">
        <v>34</v>
      </c>
      <c r="AB34" s="68" t="s">
        <v>2176</v>
      </c>
      <c r="AC34" s="68" t="s">
        <v>2177</v>
      </c>
      <c r="AD34" s="68" t="s">
        <v>2178</v>
      </c>
      <c r="AI34" s="257"/>
      <c r="AJ34" s="257"/>
      <c r="AK34" s="69"/>
    </row>
    <row r="35" spans="1:37">
      <c r="B35" s="951" t="s">
        <v>41</v>
      </c>
      <c r="C35" s="955">
        <v>8163288.3735000016</v>
      </c>
      <c r="AA35" s="196">
        <v>44501</v>
      </c>
      <c r="AB35" s="1577">
        <v>16922.480299999999</v>
      </c>
      <c r="AC35" s="1577">
        <v>459.7921</v>
      </c>
      <c r="AD35" s="1577">
        <v>0</v>
      </c>
      <c r="AI35" s="257"/>
      <c r="AJ35" s="257"/>
      <c r="AK35" s="69"/>
    </row>
    <row r="36" spans="1:37">
      <c r="B36" s="654" t="s">
        <v>47</v>
      </c>
      <c r="C36" s="87">
        <v>1156720.9378500001</v>
      </c>
      <c r="AA36" s="196">
        <v>44531</v>
      </c>
      <c r="AB36" s="1577">
        <v>15157.683199999999</v>
      </c>
      <c r="AC36" s="1577">
        <v>459.44229999999999</v>
      </c>
      <c r="AD36" s="1577">
        <v>0</v>
      </c>
      <c r="AI36" s="257"/>
      <c r="AJ36" s="257"/>
      <c r="AK36" s="69"/>
    </row>
    <row r="37" spans="1:37">
      <c r="B37" s="953" t="s">
        <v>40</v>
      </c>
      <c r="C37" s="956">
        <v>52307.651183266651</v>
      </c>
      <c r="AA37" s="196">
        <v>44562</v>
      </c>
      <c r="AB37" s="1577">
        <v>16630.0056</v>
      </c>
      <c r="AC37" s="1577">
        <v>573.74699999999996</v>
      </c>
      <c r="AD37" s="1577">
        <v>0</v>
      </c>
      <c r="AI37" s="257"/>
      <c r="AJ37" s="257"/>
      <c r="AK37" s="69"/>
    </row>
    <row r="38" spans="1:37">
      <c r="AA38" s="196">
        <v>44593</v>
      </c>
      <c r="AB38" s="1577">
        <v>16314.9809</v>
      </c>
      <c r="AC38" s="1577">
        <v>585.8048</v>
      </c>
      <c r="AD38" s="1577">
        <v>0</v>
      </c>
      <c r="AI38" s="257"/>
      <c r="AJ38" s="257"/>
      <c r="AK38" s="69"/>
    </row>
    <row r="39" spans="1:37">
      <c r="D39" s="89"/>
      <c r="AA39" s="196">
        <v>44621</v>
      </c>
      <c r="AB39" s="1577">
        <v>17652.553400000001</v>
      </c>
      <c r="AC39" s="1577">
        <v>628.5752</v>
      </c>
      <c r="AD39" s="1577">
        <v>0</v>
      </c>
      <c r="AI39" s="257"/>
      <c r="AJ39" s="257"/>
      <c r="AK39" s="69"/>
    </row>
    <row r="40" spans="1:37" ht="16.5">
      <c r="B40" s="953"/>
      <c r="C40" s="72"/>
      <c r="D40" s="9"/>
      <c r="E40" s="9" t="s">
        <v>74</v>
      </c>
      <c r="F40" s="9"/>
      <c r="AA40" s="196">
        <v>44652</v>
      </c>
      <c r="AB40" s="1577">
        <v>15534.6608</v>
      </c>
      <c r="AC40" s="1577">
        <v>528.52589999999998</v>
      </c>
      <c r="AD40" s="1577">
        <v>0</v>
      </c>
      <c r="AI40" s="257"/>
      <c r="AJ40" s="257"/>
      <c r="AK40" s="69"/>
    </row>
    <row r="41" spans="1:37" ht="16.5">
      <c r="A41" s="957">
        <f>DATE(YEAR(B41),MONTH(B41),1)</f>
        <v>44470</v>
      </c>
      <c r="B41" s="943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>
        <v>44682</v>
      </c>
      <c r="AB41" s="1577">
        <v>16382.0942</v>
      </c>
      <c r="AC41" s="1577">
        <v>578.16880000000003</v>
      </c>
      <c r="AD41" s="1577">
        <v>0</v>
      </c>
      <c r="AI41" s="257"/>
      <c r="AJ41" s="257"/>
      <c r="AK41" s="69"/>
    </row>
    <row r="42" spans="1:37" ht="16.5">
      <c r="A42" s="957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6" t="s">
        <v>20</v>
      </c>
      <c r="J42" s="786" t="s">
        <v>21</v>
      </c>
      <c r="K42" s="786"/>
      <c r="L42" s="786" t="s">
        <v>22</v>
      </c>
      <c r="M42" s="786" t="s">
        <v>23</v>
      </c>
      <c r="N42" s="786" t="s">
        <v>24</v>
      </c>
      <c r="O42" s="786" t="s">
        <v>25</v>
      </c>
      <c r="P42" s="786" t="s">
        <v>26</v>
      </c>
      <c r="Q42" s="786" t="s">
        <v>27</v>
      </c>
      <c r="R42" s="786" t="s">
        <v>28</v>
      </c>
      <c r="S42" s="787" t="s">
        <v>29</v>
      </c>
      <c r="T42" s="786" t="s">
        <v>30</v>
      </c>
      <c r="AA42" s="196">
        <v>44713</v>
      </c>
      <c r="AB42" s="1577">
        <v>16065.6119</v>
      </c>
      <c r="AC42" s="1577">
        <v>411.31380000000001</v>
      </c>
      <c r="AD42" s="1577">
        <v>0</v>
      </c>
      <c r="AI42" s="257"/>
      <c r="AJ42" s="257"/>
      <c r="AK42" s="69"/>
    </row>
    <row r="43" spans="1:37" ht="16.5">
      <c r="A43" s="957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5697A2</v>
      </c>
      <c r="I43" s="506">
        <v>2022</v>
      </c>
      <c r="J43" s="507" t="s">
        <v>538</v>
      </c>
      <c r="K43" s="507" t="s">
        <v>2327</v>
      </c>
      <c r="L43" s="507" t="s">
        <v>1239</v>
      </c>
      <c r="M43" s="507" t="s">
        <v>2323</v>
      </c>
      <c r="N43" s="507">
        <v>5356</v>
      </c>
      <c r="O43" s="508">
        <v>44795</v>
      </c>
      <c r="P43" s="508">
        <v>44785</v>
      </c>
      <c r="Q43" s="508" t="s">
        <v>2324</v>
      </c>
      <c r="R43" s="508" t="s">
        <v>2325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>
        <v>44743</v>
      </c>
      <c r="AB43" s="1577">
        <v>16534.652300000002</v>
      </c>
      <c r="AC43" s="1577">
        <v>376.82780000000002</v>
      </c>
      <c r="AD43" s="1577">
        <v>0</v>
      </c>
      <c r="AI43" s="257"/>
      <c r="AJ43" s="257"/>
      <c r="AK43" s="69"/>
    </row>
    <row r="44" spans="1:37" ht="16.5">
      <c r="A44" s="957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/>
      <c r="AB44" s="1577"/>
      <c r="AC44" s="1577"/>
      <c r="AD44" s="1577"/>
      <c r="AI44" s="257"/>
      <c r="AJ44" s="257"/>
      <c r="AK44" s="69"/>
    </row>
    <row r="45" spans="1:37" ht="16.5">
      <c r="A45" s="957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7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7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7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7">
        <f t="shared" si="1"/>
        <v>44713</v>
      </c>
      <c r="B49" s="508">
        <v>44718</v>
      </c>
      <c r="C49" s="532">
        <v>977247.97620000003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7">
        <f t="shared" si="1"/>
        <v>44743</v>
      </c>
      <c r="B50" s="508">
        <v>44749</v>
      </c>
      <c r="C50" s="532">
        <v>44274.991699999999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2181</v>
      </c>
    </row>
    <row r="51" spans="1:28" ht="16.5">
      <c r="A51" s="957">
        <f t="shared" si="1"/>
        <v>44774</v>
      </c>
      <c r="B51" s="508">
        <v>44781</v>
      </c>
      <c r="C51" s="532">
        <v>22962.716100000001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2179</v>
      </c>
      <c r="AB51" s="68" t="s">
        <v>2180</v>
      </c>
    </row>
    <row r="52" spans="1:28" ht="16.5">
      <c r="A52" s="957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8"/>
    </row>
    <row r="53" spans="1:28" ht="16.5">
      <c r="A53" s="957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0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8"/>
    </row>
    <row r="54" spans="1:28" ht="16.5">
      <c r="A54" s="957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0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8"/>
    </row>
    <row r="55" spans="1:28" ht="16.5">
      <c r="A55" s="957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8"/>
    </row>
    <row r="56" spans="1:28" ht="16.5">
      <c r="A56" s="957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8"/>
    </row>
    <row r="57" spans="1:28" ht="16.5">
      <c r="A57" s="957">
        <f t="shared" si="1"/>
        <v>1</v>
      </c>
      <c r="B57" s="958"/>
      <c r="C57" s="822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8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8"/>
    </row>
    <row r="59" spans="1:28" ht="16.5">
      <c r="H59" s="68" t="e">
        <f t="shared" si="2"/>
        <v>#N/A</v>
      </c>
      <c r="I59" s="959"/>
      <c r="J59" s="960"/>
      <c r="K59" s="960"/>
      <c r="L59" s="960"/>
      <c r="M59" s="960"/>
      <c r="N59" s="960"/>
      <c r="O59" s="960"/>
      <c r="P59" s="960"/>
      <c r="Q59" s="958"/>
      <c r="R59" s="958"/>
      <c r="S59" s="958"/>
      <c r="T59" s="960"/>
      <c r="U59" s="68" t="e">
        <f>VLOOKUP(T59,DescontosTE[[#All],[idsreag supridora]:[codsariSUP]],2,FALSE)</f>
        <v>#N/A</v>
      </c>
      <c r="AA59" s="196"/>
      <c r="AB59" s="1578"/>
    </row>
    <row r="60" spans="1:28">
      <c r="B60" s="953" t="s">
        <v>75</v>
      </c>
      <c r="C60" s="72"/>
      <c r="AA60" s="196"/>
      <c r="AB60" s="1578"/>
    </row>
    <row r="61" spans="1:28" ht="16.5">
      <c r="B61" s="961" t="s">
        <v>697</v>
      </c>
      <c r="C61" s="823">
        <v>0</v>
      </c>
      <c r="D61" s="68">
        <v>0</v>
      </c>
      <c r="AA61" s="196"/>
      <c r="AB61" s="1578"/>
    </row>
    <row r="62" spans="1:28" ht="16.5">
      <c r="B62" s="691" t="s">
        <v>699</v>
      </c>
      <c r="C62" s="532">
        <v>471.25</v>
      </c>
      <c r="D62" s="69">
        <v>0</v>
      </c>
      <c r="AA62" s="196"/>
      <c r="AB62" s="1578"/>
    </row>
    <row r="63" spans="1:28" ht="16.5">
      <c r="B63" s="691" t="s">
        <v>701</v>
      </c>
      <c r="C63" s="532">
        <v>0</v>
      </c>
      <c r="D63" s="69">
        <v>0</v>
      </c>
      <c r="AA63" s="196"/>
      <c r="AB63" s="1578"/>
    </row>
    <row r="64" spans="1:28" ht="16.5">
      <c r="B64" s="691" t="s">
        <v>702</v>
      </c>
      <c r="C64" s="532">
        <v>968.51</v>
      </c>
      <c r="D64" s="69">
        <v>0</v>
      </c>
      <c r="I64" s="68" t="s">
        <v>2174</v>
      </c>
    </row>
    <row r="65" spans="2:16" ht="16.5">
      <c r="B65" s="691" t="s">
        <v>705</v>
      </c>
      <c r="C65" s="532">
        <v>36428.620000000003</v>
      </c>
      <c r="D65" s="69">
        <v>0</v>
      </c>
      <c r="I65" s="68" t="s">
        <v>27</v>
      </c>
      <c r="J65" s="68" t="s">
        <v>2169</v>
      </c>
      <c r="K65" s="68" t="s">
        <v>2170</v>
      </c>
      <c r="L65" s="68" t="s">
        <v>21</v>
      </c>
      <c r="M65" s="68" t="s">
        <v>1123</v>
      </c>
    </row>
    <row r="66" spans="2:16" ht="16.5">
      <c r="B66" s="962" t="s">
        <v>707</v>
      </c>
      <c r="C66" s="822">
        <v>14128.35</v>
      </c>
      <c r="D66" s="69">
        <v>0</v>
      </c>
      <c r="I66" s="68" t="s">
        <v>2367</v>
      </c>
      <c r="J66" s="68">
        <v>5697</v>
      </c>
      <c r="K66" s="1576">
        <v>44469</v>
      </c>
      <c r="L66" s="68" t="s">
        <v>2329</v>
      </c>
      <c r="M66" s="68">
        <v>0.29289999999999999</v>
      </c>
    </row>
    <row r="67" spans="2:16">
      <c r="K67" s="1576"/>
    </row>
    <row r="68" spans="2:16">
      <c r="K68" s="1576"/>
    </row>
    <row r="69" spans="2:16">
      <c r="K69" s="1576"/>
    </row>
    <row r="70" spans="2:16">
      <c r="B70" s="903" t="s">
        <v>72</v>
      </c>
      <c r="C70" s="903" t="s">
        <v>37</v>
      </c>
      <c r="D70" s="903" t="s">
        <v>73</v>
      </c>
      <c r="K70" s="1576"/>
    </row>
    <row r="71" spans="2:16">
      <c r="B71" s="850" t="s">
        <v>49</v>
      </c>
      <c r="C71" s="1463"/>
      <c r="D71" s="851"/>
      <c r="K71" s="1576"/>
    </row>
    <row r="72" spans="2:16">
      <c r="B72" s="850" t="s">
        <v>768</v>
      </c>
      <c r="C72" s="1463">
        <f>4613800.7+E72</f>
        <v>4685193.28</v>
      </c>
      <c r="D72" s="851"/>
      <c r="E72" s="68">
        <v>71392.58</v>
      </c>
      <c r="K72" s="1576"/>
    </row>
    <row r="73" spans="2:16">
      <c r="B73" s="850" t="s">
        <v>2316</v>
      </c>
      <c r="C73" s="1463">
        <v>4613800.7</v>
      </c>
      <c r="D73" s="851"/>
      <c r="K73" s="1576"/>
    </row>
    <row r="74" spans="2:16">
      <c r="B74" s="850" t="s">
        <v>2072</v>
      </c>
      <c r="C74" s="1463">
        <v>-2436745.54</v>
      </c>
      <c r="D74" s="851" t="s">
        <v>2317</v>
      </c>
      <c r="K74" s="1576"/>
    </row>
    <row r="75" spans="2:16">
      <c r="B75" s="850" t="s">
        <v>2318</v>
      </c>
      <c r="C75" s="1463">
        <v>1856987.5503404515</v>
      </c>
      <c r="D75" s="851" t="s">
        <v>2319</v>
      </c>
      <c r="K75" s="1576"/>
    </row>
    <row r="76" spans="2:16">
      <c r="B76" s="850" t="s">
        <v>2320</v>
      </c>
      <c r="C76" s="1463">
        <v>1</v>
      </c>
      <c r="D76" s="851"/>
    </row>
    <row r="77" spans="2:16">
      <c r="B77" s="850" t="s">
        <v>2321</v>
      </c>
      <c r="C77" s="1463">
        <v>0</v>
      </c>
      <c r="D77" s="851"/>
    </row>
    <row r="78" spans="2:16">
      <c r="I78" s="68" t="s">
        <v>2173</v>
      </c>
    </row>
    <row r="79" spans="2:16">
      <c r="I79" s="68" t="s">
        <v>27</v>
      </c>
      <c r="J79" s="68" t="s">
        <v>2169</v>
      </c>
      <c r="K79" s="68" t="s">
        <v>2170</v>
      </c>
      <c r="L79" s="68" t="s">
        <v>21</v>
      </c>
      <c r="M79" s="68" t="s">
        <v>22</v>
      </c>
      <c r="N79" s="68" t="s">
        <v>2171</v>
      </c>
      <c r="O79" s="68" t="s">
        <v>2172</v>
      </c>
      <c r="P79" s="68" t="s">
        <v>1123</v>
      </c>
    </row>
    <row r="80" spans="2:16">
      <c r="I80" s="68" t="s">
        <v>2367</v>
      </c>
      <c r="J80" s="68">
        <v>5697</v>
      </c>
      <c r="K80" s="1576">
        <v>44469</v>
      </c>
      <c r="L80" s="68" t="s">
        <v>2329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2367</v>
      </c>
      <c r="J81" s="68">
        <v>5697</v>
      </c>
      <c r="K81" s="1576">
        <v>44469</v>
      </c>
      <c r="L81" s="68" t="s">
        <v>2329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903" t="s">
        <v>695</v>
      </c>
      <c r="C82" s="903" t="s">
        <v>2168</v>
      </c>
      <c r="D82" s="903" t="s">
        <v>37</v>
      </c>
      <c r="I82" s="68" t="s">
        <v>2367</v>
      </c>
      <c r="J82" s="68">
        <v>5697</v>
      </c>
      <c r="K82" s="1576">
        <v>44469</v>
      </c>
      <c r="L82" s="68" t="s">
        <v>2329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50" t="s">
        <v>1438</v>
      </c>
      <c r="C83" s="1463" t="s">
        <v>2368</v>
      </c>
      <c r="D83" s="851">
        <v>164.87852382432999</v>
      </c>
      <c r="I83" s="68" t="s">
        <v>2367</v>
      </c>
      <c r="J83" s="68">
        <v>5697</v>
      </c>
      <c r="K83" s="1576">
        <v>44469</v>
      </c>
      <c r="L83" s="68" t="s">
        <v>2329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50" t="s">
        <v>2369</v>
      </c>
      <c r="C84" s="1463" t="s">
        <v>2370</v>
      </c>
      <c r="D84" s="851">
        <v>0</v>
      </c>
      <c r="K84" s="1576"/>
    </row>
    <row r="85" spans="2:16">
      <c r="B85" s="850" t="s">
        <v>1431</v>
      </c>
      <c r="C85" s="1463" t="s">
        <v>2370</v>
      </c>
      <c r="D85" s="851">
        <v>0</v>
      </c>
      <c r="K85" s="1576"/>
    </row>
    <row r="86" spans="2:16">
      <c r="B86" s="850" t="s">
        <v>1430</v>
      </c>
      <c r="C86" s="1463" t="s">
        <v>2370</v>
      </c>
      <c r="D86" s="851">
        <v>4.7130579225647798E-2</v>
      </c>
      <c r="K86" s="1576"/>
    </row>
    <row r="87" spans="2:16">
      <c r="K87" s="1576"/>
    </row>
    <row r="88" spans="2:16">
      <c r="K88" s="1576"/>
    </row>
    <row r="89" spans="2:16">
      <c r="K89" s="1576"/>
    </row>
    <row r="90" spans="2:16">
      <c r="K90" s="1576"/>
    </row>
    <row r="91" spans="2:16">
      <c r="K91" s="1576"/>
    </row>
    <row r="92" spans="2:16">
      <c r="K92" s="1576"/>
    </row>
    <row r="93" spans="2:16">
      <c r="K93" s="1576"/>
    </row>
    <row r="94" spans="2:16">
      <c r="K94" s="1576"/>
    </row>
    <row r="95" spans="2:16">
      <c r="K95" s="1576"/>
    </row>
    <row r="96" spans="2:16">
      <c r="K96" s="1576"/>
    </row>
    <row r="97" spans="2:11">
      <c r="K97" s="1576"/>
    </row>
    <row r="98" spans="2:11">
      <c r="K98" s="1576"/>
    </row>
    <row r="103" spans="2:11" ht="25.5" customHeight="1">
      <c r="B103" s="68" t="s">
        <v>2184</v>
      </c>
      <c r="C103" s="1579" t="s">
        <v>2186</v>
      </c>
      <c r="D103" s="68" t="s">
        <v>2185</v>
      </c>
    </row>
    <row r="104" spans="2:11">
      <c r="B104" s="69">
        <v>12311896.529185077</v>
      </c>
      <c r="C104" s="196">
        <v>44531</v>
      </c>
      <c r="D104" s="68" t="s">
        <v>2322</v>
      </c>
    </row>
    <row r="108" spans="2:11" ht="28.5">
      <c r="B108" s="1579" t="s">
        <v>2182</v>
      </c>
      <c r="C108" s="1579" t="s">
        <v>2183</v>
      </c>
      <c r="D108" s="1579" t="s">
        <v>213</v>
      </c>
      <c r="E108" s="1579" t="s">
        <v>214</v>
      </c>
      <c r="F108" s="1579" t="s">
        <v>2187</v>
      </c>
      <c r="G108" s="1579" t="s">
        <v>2188</v>
      </c>
      <c r="H108" s="1579" t="s">
        <v>2189</v>
      </c>
    </row>
    <row r="109" spans="2:11">
      <c r="B109" s="1579" t="s">
        <v>479</v>
      </c>
      <c r="C109" s="1579">
        <v>111</v>
      </c>
      <c r="D109" s="1579">
        <v>349.3569320960537</v>
      </c>
      <c r="E109" s="1579">
        <v>180.36</v>
      </c>
      <c r="F109" s="1580">
        <v>0</v>
      </c>
      <c r="G109" s="1581">
        <v>44430</v>
      </c>
      <c r="H109" s="1581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" workbookViewId="0">
      <selection activeCell="H19" sqref="H19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2159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2160</v>
      </c>
      <c r="H1" t="s">
        <v>2161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2162</v>
      </c>
      <c r="R1" t="s">
        <v>2163</v>
      </c>
      <c r="S1" t="s">
        <v>2164</v>
      </c>
      <c r="T1" t="s">
        <v>2165</v>
      </c>
      <c r="U1" t="s">
        <v>2166</v>
      </c>
      <c r="V1" t="s">
        <v>192</v>
      </c>
      <c r="W1" t="s">
        <v>176</v>
      </c>
      <c r="X1" t="s">
        <v>2167</v>
      </c>
      <c r="AA1" s="232" t="s">
        <v>2190</v>
      </c>
      <c r="AB1" s="232" t="s">
        <v>2191</v>
      </c>
    </row>
    <row r="2" spans="1:28">
      <c r="A2" t="s">
        <v>2330</v>
      </c>
      <c r="B2">
        <v>5356</v>
      </c>
      <c r="C2" t="s">
        <v>2328</v>
      </c>
      <c r="D2">
        <v>5697</v>
      </c>
      <c r="E2" t="s">
        <v>2197</v>
      </c>
      <c r="F2" t="s">
        <v>2329</v>
      </c>
      <c r="G2">
        <v>2021</v>
      </c>
      <c r="H2">
        <v>6</v>
      </c>
      <c r="I2" s="8">
        <v>44348</v>
      </c>
      <c r="J2">
        <v>29904</v>
      </c>
      <c r="K2">
        <v>26174</v>
      </c>
      <c r="L2">
        <v>13138876</v>
      </c>
      <c r="M2">
        <v>1492663</v>
      </c>
      <c r="N2">
        <v>12981521</v>
      </c>
      <c r="O2">
        <v>1503474</v>
      </c>
      <c r="P2">
        <v>256426</v>
      </c>
      <c r="Q2">
        <v>8.59</v>
      </c>
      <c r="R2">
        <v>14.57</v>
      </c>
      <c r="S2">
        <v>2.6</v>
      </c>
      <c r="T2">
        <v>193.46</v>
      </c>
      <c r="U2">
        <v>116850.36</v>
      </c>
      <c r="V2">
        <v>0</v>
      </c>
      <c r="W2">
        <v>0</v>
      </c>
      <c r="X2">
        <v>3595395.84</v>
      </c>
      <c r="AA2" s="232">
        <f>J2*Q2+K2*R2+((L2+M2)/1000)*S2</f>
        <v>676272.54139999999</v>
      </c>
      <c r="AB2" s="232">
        <f>((N2+O2)/1000)*T2</f>
        <v>2802267.1327000004</v>
      </c>
    </row>
    <row r="3" spans="1:28">
      <c r="A3" t="s">
        <v>2331</v>
      </c>
      <c r="B3">
        <v>5356</v>
      </c>
      <c r="C3" t="s">
        <v>2328</v>
      </c>
      <c r="D3">
        <v>5697</v>
      </c>
      <c r="E3" t="s">
        <v>2197</v>
      </c>
      <c r="F3" t="s">
        <v>2329</v>
      </c>
      <c r="G3">
        <v>2021</v>
      </c>
      <c r="H3">
        <v>7</v>
      </c>
      <c r="I3" s="8">
        <v>44378</v>
      </c>
      <c r="J3">
        <v>29870</v>
      </c>
      <c r="K3">
        <v>26006</v>
      </c>
      <c r="L3">
        <v>13758897</v>
      </c>
      <c r="M3">
        <v>1609935</v>
      </c>
      <c r="N3">
        <v>13591842</v>
      </c>
      <c r="O3">
        <v>1619415</v>
      </c>
      <c r="P3">
        <v>263648</v>
      </c>
      <c r="Q3">
        <v>8.59</v>
      </c>
      <c r="R3">
        <v>14.57</v>
      </c>
      <c r="S3">
        <v>2.6</v>
      </c>
      <c r="T3">
        <v>193.46</v>
      </c>
      <c r="U3">
        <v>6524.56</v>
      </c>
      <c r="V3">
        <v>0</v>
      </c>
      <c r="W3">
        <v>0</v>
      </c>
      <c r="X3">
        <v>3624753.26</v>
      </c>
      <c r="AA3" s="232">
        <f t="shared" ref="AA3:AA66" si="0">J3*Q3+K3*R3+((L3+M3)/1000)*S3</f>
        <v>675449.68319999997</v>
      </c>
      <c r="AB3" s="232">
        <f t="shared" ref="AB3:AB66" si="1">((N3+O3)/1000)*T3</f>
        <v>2942769.7792199999</v>
      </c>
    </row>
    <row r="4" spans="1:28">
      <c r="A4" t="s">
        <v>2332</v>
      </c>
      <c r="B4">
        <v>5356</v>
      </c>
      <c r="C4" t="s">
        <v>2328</v>
      </c>
      <c r="D4">
        <v>5697</v>
      </c>
      <c r="E4" t="s">
        <v>2197</v>
      </c>
      <c r="F4" t="s">
        <v>2329</v>
      </c>
      <c r="G4">
        <v>2021</v>
      </c>
      <c r="H4">
        <v>8</v>
      </c>
      <c r="I4" s="8">
        <v>44409</v>
      </c>
      <c r="J4">
        <v>30408</v>
      </c>
      <c r="K4">
        <v>26981</v>
      </c>
      <c r="L4">
        <v>14026941</v>
      </c>
      <c r="M4">
        <v>1645770</v>
      </c>
      <c r="N4">
        <v>13789809</v>
      </c>
      <c r="O4">
        <v>1649130</v>
      </c>
      <c r="P4">
        <v>274388</v>
      </c>
      <c r="Q4">
        <v>8.59</v>
      </c>
      <c r="R4">
        <v>14.57</v>
      </c>
      <c r="S4">
        <v>2.6</v>
      </c>
      <c r="T4">
        <v>193.46</v>
      </c>
      <c r="U4">
        <v>14786.67</v>
      </c>
      <c r="V4">
        <v>0</v>
      </c>
      <c r="W4">
        <v>0</v>
      </c>
      <c r="X4">
        <v>3696667.8</v>
      </c>
      <c r="AA4" s="232">
        <f t="shared" si="0"/>
        <v>695066.93859999999</v>
      </c>
      <c r="AB4" s="232">
        <f t="shared" si="1"/>
        <v>2986817.13894</v>
      </c>
    </row>
    <row r="5" spans="1:28">
      <c r="A5" t="s">
        <v>2333</v>
      </c>
      <c r="B5">
        <v>5356</v>
      </c>
      <c r="C5" t="s">
        <v>2328</v>
      </c>
      <c r="D5">
        <v>5697</v>
      </c>
      <c r="E5" t="s">
        <v>2197</v>
      </c>
      <c r="F5" t="s">
        <v>2329</v>
      </c>
      <c r="G5">
        <v>2021</v>
      </c>
      <c r="H5">
        <v>9</v>
      </c>
      <c r="I5" s="8">
        <v>44440</v>
      </c>
      <c r="J5">
        <v>31315</v>
      </c>
      <c r="K5">
        <v>26947</v>
      </c>
      <c r="L5">
        <v>14110135</v>
      </c>
      <c r="M5">
        <v>1576646</v>
      </c>
      <c r="N5">
        <v>13878400</v>
      </c>
      <c r="O5">
        <v>1581307</v>
      </c>
      <c r="P5">
        <v>274328</v>
      </c>
      <c r="Q5">
        <v>8.6199999999999992</v>
      </c>
      <c r="R5">
        <v>14.59</v>
      </c>
      <c r="S5">
        <v>2.65</v>
      </c>
      <c r="T5">
        <v>194.4</v>
      </c>
      <c r="U5">
        <v>99815.7</v>
      </c>
      <c r="V5">
        <v>0</v>
      </c>
      <c r="W5">
        <v>0</v>
      </c>
      <c r="X5">
        <v>3809759.74</v>
      </c>
      <c r="AA5" s="232">
        <f t="shared" si="0"/>
        <v>704661.99965000001</v>
      </c>
      <c r="AB5" s="232">
        <f t="shared" si="1"/>
        <v>3005367.0408000001</v>
      </c>
    </row>
    <row r="6" spans="1:28">
      <c r="A6" t="s">
        <v>2334</v>
      </c>
      <c r="B6">
        <v>5356</v>
      </c>
      <c r="C6" t="s">
        <v>2328</v>
      </c>
      <c r="D6">
        <v>5697</v>
      </c>
      <c r="E6" t="s">
        <v>2197</v>
      </c>
      <c r="F6" t="s">
        <v>2329</v>
      </c>
      <c r="G6">
        <v>2021</v>
      </c>
      <c r="H6">
        <v>10</v>
      </c>
      <c r="I6" s="8">
        <v>44470</v>
      </c>
      <c r="J6">
        <v>33365</v>
      </c>
      <c r="K6">
        <v>27754</v>
      </c>
      <c r="L6">
        <v>14481322</v>
      </c>
      <c r="M6">
        <v>1551068</v>
      </c>
      <c r="N6">
        <v>14295220</v>
      </c>
      <c r="O6">
        <v>1559973</v>
      </c>
      <c r="P6">
        <v>292094</v>
      </c>
      <c r="Q6">
        <v>9.33</v>
      </c>
      <c r="R6">
        <v>15.29</v>
      </c>
      <c r="S6">
        <v>4.17</v>
      </c>
      <c r="T6">
        <v>221.53</v>
      </c>
      <c r="U6">
        <v>158817.01999999999</v>
      </c>
      <c r="V6">
        <v>0</v>
      </c>
      <c r="W6">
        <v>0</v>
      </c>
      <c r="X6">
        <v>4473719.09</v>
      </c>
      <c r="AA6" s="232">
        <f t="shared" si="0"/>
        <v>802509.17629999993</v>
      </c>
      <c r="AB6" s="232">
        <f t="shared" si="1"/>
        <v>3512400.9052899997</v>
      </c>
    </row>
    <row r="7" spans="1:28">
      <c r="A7" t="s">
        <v>2335</v>
      </c>
      <c r="B7">
        <v>5356</v>
      </c>
      <c r="C7" t="s">
        <v>2328</v>
      </c>
      <c r="D7">
        <v>5697</v>
      </c>
      <c r="E7" t="s">
        <v>2197</v>
      </c>
      <c r="F7" t="s">
        <v>2329</v>
      </c>
      <c r="G7">
        <v>2021</v>
      </c>
      <c r="H7">
        <v>11</v>
      </c>
      <c r="I7" s="8">
        <v>44501</v>
      </c>
      <c r="J7">
        <v>33835</v>
      </c>
      <c r="K7">
        <v>29366</v>
      </c>
      <c r="L7">
        <v>14820355</v>
      </c>
      <c r="M7">
        <v>1582929</v>
      </c>
      <c r="N7">
        <v>0</v>
      </c>
      <c r="O7">
        <v>0</v>
      </c>
      <c r="P7">
        <v>0</v>
      </c>
      <c r="Q7">
        <v>9.33</v>
      </c>
      <c r="R7">
        <v>15.29</v>
      </c>
      <c r="S7">
        <v>4.17</v>
      </c>
      <c r="T7">
        <v>0</v>
      </c>
      <c r="U7">
        <v>32368.37</v>
      </c>
      <c r="V7">
        <v>0</v>
      </c>
      <c r="W7">
        <v>0</v>
      </c>
      <c r="X7">
        <v>865464.72</v>
      </c>
      <c r="AA7" s="232">
        <f t="shared" si="0"/>
        <v>833088.38427999988</v>
      </c>
      <c r="AB7" s="232">
        <f t="shared" si="1"/>
        <v>0</v>
      </c>
    </row>
    <row r="8" spans="1:28">
      <c r="A8" t="s">
        <v>2336</v>
      </c>
      <c r="B8">
        <v>5356</v>
      </c>
      <c r="C8" t="s">
        <v>2328</v>
      </c>
      <c r="D8">
        <v>5697</v>
      </c>
      <c r="E8" t="s">
        <v>2197</v>
      </c>
      <c r="F8" t="s">
        <v>2329</v>
      </c>
      <c r="G8">
        <v>2021</v>
      </c>
      <c r="H8">
        <v>12</v>
      </c>
      <c r="I8" s="8">
        <v>44531</v>
      </c>
      <c r="J8">
        <v>33197</v>
      </c>
      <c r="K8">
        <v>28090</v>
      </c>
      <c r="L8">
        <v>13138574</v>
      </c>
      <c r="M8">
        <v>1506010</v>
      </c>
      <c r="N8">
        <v>0</v>
      </c>
      <c r="O8">
        <v>0</v>
      </c>
      <c r="Q8">
        <v>9.33</v>
      </c>
      <c r="R8">
        <v>15.29</v>
      </c>
      <c r="S8">
        <v>4.17</v>
      </c>
      <c r="T8">
        <v>0</v>
      </c>
      <c r="U8">
        <v>31093.52</v>
      </c>
      <c r="V8">
        <v>0</v>
      </c>
      <c r="W8">
        <v>0</v>
      </c>
      <c r="X8">
        <v>831377.55</v>
      </c>
      <c r="AA8" s="232">
        <f t="shared" si="0"/>
        <v>800292.02527999994</v>
      </c>
      <c r="AB8" s="232">
        <f t="shared" si="1"/>
        <v>0</v>
      </c>
    </row>
    <row r="9" spans="1:28">
      <c r="A9" t="s">
        <v>2337</v>
      </c>
      <c r="B9">
        <v>5356</v>
      </c>
      <c r="C9" t="s">
        <v>2328</v>
      </c>
      <c r="D9">
        <v>5697</v>
      </c>
      <c r="E9" t="s">
        <v>2197</v>
      </c>
      <c r="F9" t="s">
        <v>2329</v>
      </c>
      <c r="G9">
        <v>2022</v>
      </c>
      <c r="H9">
        <v>1</v>
      </c>
      <c r="I9" s="8">
        <v>44562</v>
      </c>
      <c r="J9">
        <v>34877</v>
      </c>
      <c r="K9">
        <v>29131</v>
      </c>
      <c r="L9">
        <v>14412980</v>
      </c>
      <c r="M9">
        <v>1603014</v>
      </c>
      <c r="N9">
        <v>0</v>
      </c>
      <c r="O9">
        <v>0</v>
      </c>
      <c r="Q9">
        <v>9.33</v>
      </c>
      <c r="R9">
        <v>15.29</v>
      </c>
      <c r="S9">
        <v>4.17</v>
      </c>
      <c r="T9">
        <v>0</v>
      </c>
      <c r="U9">
        <v>41585.629999999997</v>
      </c>
      <c r="V9">
        <v>0</v>
      </c>
      <c r="W9">
        <v>0</v>
      </c>
      <c r="X9">
        <v>879188.89</v>
      </c>
      <c r="AA9" s="232">
        <f t="shared" si="0"/>
        <v>837602.09497999994</v>
      </c>
      <c r="AB9" s="232">
        <f t="shared" si="1"/>
        <v>0</v>
      </c>
    </row>
    <row r="10" spans="1:28">
      <c r="A10" t="s">
        <v>2338</v>
      </c>
      <c r="B10">
        <v>5356</v>
      </c>
      <c r="C10" t="s">
        <v>2328</v>
      </c>
      <c r="D10">
        <v>5697</v>
      </c>
      <c r="E10" t="s">
        <v>2197</v>
      </c>
      <c r="F10" t="s">
        <v>2329</v>
      </c>
      <c r="G10">
        <v>2022</v>
      </c>
      <c r="H10">
        <v>2</v>
      </c>
      <c r="I10" s="8">
        <v>44593</v>
      </c>
      <c r="J10">
        <v>33835</v>
      </c>
      <c r="K10">
        <v>29266</v>
      </c>
      <c r="L10">
        <v>14119921</v>
      </c>
      <c r="M10">
        <v>1573370</v>
      </c>
      <c r="N10">
        <v>0</v>
      </c>
      <c r="O10">
        <v>0</v>
      </c>
      <c r="Q10">
        <v>9.33</v>
      </c>
      <c r="R10">
        <v>15.29</v>
      </c>
      <c r="S10">
        <v>4.17</v>
      </c>
      <c r="T10">
        <v>0</v>
      </c>
      <c r="U10">
        <v>24395.51</v>
      </c>
      <c r="V10">
        <v>0</v>
      </c>
      <c r="W10">
        <v>0</v>
      </c>
      <c r="X10">
        <v>852989.96</v>
      </c>
      <c r="AA10" s="232">
        <f t="shared" si="0"/>
        <v>828598.71346999996</v>
      </c>
      <c r="AB10" s="232">
        <f t="shared" si="1"/>
        <v>0</v>
      </c>
    </row>
    <row r="11" spans="1:28">
      <c r="A11" t="s">
        <v>2339</v>
      </c>
      <c r="B11">
        <v>5356</v>
      </c>
      <c r="C11" t="s">
        <v>2328</v>
      </c>
      <c r="D11">
        <v>5697</v>
      </c>
      <c r="E11" t="s">
        <v>2197</v>
      </c>
      <c r="F11" t="s">
        <v>2329</v>
      </c>
      <c r="G11">
        <v>2022</v>
      </c>
      <c r="H11">
        <v>3</v>
      </c>
      <c r="I11" s="8">
        <v>44621</v>
      </c>
      <c r="J11">
        <v>34070</v>
      </c>
      <c r="K11">
        <v>28190</v>
      </c>
      <c r="L11">
        <v>15287865</v>
      </c>
      <c r="M11">
        <v>1699857</v>
      </c>
      <c r="N11">
        <v>0</v>
      </c>
      <c r="O11">
        <v>0</v>
      </c>
      <c r="Q11">
        <v>9.33</v>
      </c>
      <c r="R11">
        <v>15.29</v>
      </c>
      <c r="S11">
        <v>4.17</v>
      </c>
      <c r="T11">
        <v>0</v>
      </c>
      <c r="U11">
        <v>27799.52</v>
      </c>
      <c r="V11">
        <v>0</v>
      </c>
      <c r="W11">
        <v>0</v>
      </c>
      <c r="X11">
        <v>847546.35</v>
      </c>
      <c r="AA11" s="232">
        <f t="shared" si="0"/>
        <v>819737.00073999993</v>
      </c>
      <c r="AB11" s="232">
        <f t="shared" si="1"/>
        <v>0</v>
      </c>
    </row>
    <row r="12" spans="1:28">
      <c r="A12" t="s">
        <v>2340</v>
      </c>
      <c r="B12">
        <v>5356</v>
      </c>
      <c r="C12" t="s">
        <v>2328</v>
      </c>
      <c r="D12">
        <v>5697</v>
      </c>
      <c r="E12" t="s">
        <v>2197</v>
      </c>
      <c r="F12" t="s">
        <v>2329</v>
      </c>
      <c r="G12">
        <v>2022</v>
      </c>
      <c r="H12">
        <v>4</v>
      </c>
      <c r="I12" s="8">
        <v>44652</v>
      </c>
      <c r="J12">
        <v>32021</v>
      </c>
      <c r="K12">
        <v>26779</v>
      </c>
      <c r="L12">
        <v>13547116</v>
      </c>
      <c r="M12">
        <v>1415467</v>
      </c>
      <c r="N12">
        <v>0</v>
      </c>
      <c r="O12">
        <v>0</v>
      </c>
      <c r="Q12">
        <v>9.33</v>
      </c>
      <c r="R12">
        <v>15.29</v>
      </c>
      <c r="S12">
        <v>4.17</v>
      </c>
      <c r="T12">
        <v>0</v>
      </c>
      <c r="U12">
        <v>16851.5</v>
      </c>
      <c r="V12">
        <v>0</v>
      </c>
      <c r="W12">
        <v>0</v>
      </c>
      <c r="X12">
        <v>787453.48</v>
      </c>
      <c r="AA12" s="232">
        <f t="shared" si="0"/>
        <v>770600.81111000001</v>
      </c>
      <c r="AB12" s="232">
        <f t="shared" si="1"/>
        <v>0</v>
      </c>
    </row>
    <row r="13" spans="1:28">
      <c r="A13" t="s">
        <v>2341</v>
      </c>
      <c r="B13">
        <v>5356</v>
      </c>
      <c r="C13" t="s">
        <v>2328</v>
      </c>
      <c r="D13">
        <v>5697</v>
      </c>
      <c r="E13" t="s">
        <v>2197</v>
      </c>
      <c r="F13" t="s">
        <v>2329</v>
      </c>
      <c r="G13">
        <v>2022</v>
      </c>
      <c r="H13">
        <v>5</v>
      </c>
      <c r="I13" s="8">
        <v>44682</v>
      </c>
      <c r="J13">
        <v>30610</v>
      </c>
      <c r="K13">
        <v>26678</v>
      </c>
      <c r="L13">
        <v>14052704</v>
      </c>
      <c r="M13">
        <v>1627810</v>
      </c>
      <c r="N13">
        <v>0</v>
      </c>
      <c r="O13">
        <v>0</v>
      </c>
      <c r="Q13">
        <v>9.33</v>
      </c>
      <c r="R13">
        <v>15.29</v>
      </c>
      <c r="S13">
        <v>4.17</v>
      </c>
      <c r="T13">
        <v>0</v>
      </c>
      <c r="U13">
        <v>24682.48</v>
      </c>
      <c r="V13">
        <v>0</v>
      </c>
      <c r="W13">
        <v>0</v>
      </c>
      <c r="X13">
        <v>783570.5</v>
      </c>
      <c r="AA13" s="232">
        <f t="shared" si="0"/>
        <v>758885.66337999993</v>
      </c>
      <c r="AB13" s="232">
        <f t="shared" si="1"/>
        <v>0</v>
      </c>
    </row>
    <row r="14" spans="1:28">
      <c r="A14" t="s">
        <v>2342</v>
      </c>
      <c r="B14">
        <v>5356</v>
      </c>
      <c r="C14" t="s">
        <v>2328</v>
      </c>
      <c r="D14">
        <v>5697</v>
      </c>
      <c r="E14" t="s">
        <v>2197</v>
      </c>
      <c r="F14" t="s">
        <v>2329</v>
      </c>
      <c r="G14">
        <v>2022</v>
      </c>
      <c r="H14">
        <v>6</v>
      </c>
      <c r="I14" s="8">
        <v>44713</v>
      </c>
      <c r="J14">
        <v>31853</v>
      </c>
      <c r="K14">
        <v>27250</v>
      </c>
      <c r="L14">
        <v>13937649</v>
      </c>
      <c r="M14">
        <v>1587222</v>
      </c>
      <c r="N14">
        <v>0</v>
      </c>
      <c r="O14">
        <v>0</v>
      </c>
      <c r="Q14">
        <v>9.33</v>
      </c>
      <c r="R14">
        <v>15.29</v>
      </c>
      <c r="S14">
        <v>4.17</v>
      </c>
      <c r="T14">
        <v>0</v>
      </c>
      <c r="U14">
        <v>32018.3</v>
      </c>
      <c r="V14">
        <v>0</v>
      </c>
      <c r="W14">
        <v>0</v>
      </c>
      <c r="X14">
        <v>810590</v>
      </c>
      <c r="AA14" s="232">
        <f t="shared" si="0"/>
        <v>778579.70207</v>
      </c>
      <c r="AB14" s="232">
        <f t="shared" si="1"/>
        <v>0</v>
      </c>
    </row>
    <row r="15" spans="1:28">
      <c r="A15" t="s">
        <v>2382</v>
      </c>
      <c r="B15">
        <v>5356</v>
      </c>
      <c r="C15" t="s">
        <v>2328</v>
      </c>
      <c r="D15">
        <v>5697</v>
      </c>
      <c r="E15" t="s">
        <v>2197</v>
      </c>
      <c r="F15" t="s">
        <v>2329</v>
      </c>
      <c r="G15">
        <v>2022</v>
      </c>
      <c r="H15">
        <v>7</v>
      </c>
      <c r="I15" s="8">
        <v>44743</v>
      </c>
      <c r="J15">
        <v>31013</v>
      </c>
      <c r="K15">
        <v>27283</v>
      </c>
      <c r="L15">
        <v>14446882</v>
      </c>
      <c r="M15">
        <v>1607919</v>
      </c>
      <c r="N15">
        <v>0</v>
      </c>
      <c r="O15">
        <v>0</v>
      </c>
      <c r="Q15">
        <v>9.33</v>
      </c>
      <c r="R15">
        <v>15.29</v>
      </c>
      <c r="S15">
        <v>4.17</v>
      </c>
      <c r="T15">
        <v>0</v>
      </c>
      <c r="U15">
        <v>40794.03</v>
      </c>
      <c r="V15">
        <v>0</v>
      </c>
      <c r="W15">
        <v>0</v>
      </c>
      <c r="X15">
        <v>814252.08</v>
      </c>
      <c r="AA15" s="232">
        <f t="shared" si="0"/>
        <v>773456.8801699999</v>
      </c>
      <c r="AB15" s="232">
        <f t="shared" si="1"/>
        <v>0</v>
      </c>
    </row>
    <row r="16" spans="1:28">
      <c r="A16" t="s">
        <v>2395</v>
      </c>
      <c r="B16">
        <v>5356</v>
      </c>
      <c r="C16" t="s">
        <v>2328</v>
      </c>
      <c r="D16">
        <v>5697</v>
      </c>
      <c r="E16" t="s">
        <v>2197</v>
      </c>
      <c r="F16" t="s">
        <v>2329</v>
      </c>
      <c r="G16">
        <v>2022</v>
      </c>
      <c r="H16">
        <v>8</v>
      </c>
      <c r="I16" s="8">
        <v>44774</v>
      </c>
      <c r="J16">
        <v>31214</v>
      </c>
      <c r="K16">
        <v>27182</v>
      </c>
      <c r="L16">
        <v>14614790</v>
      </c>
      <c r="M16">
        <v>1780237</v>
      </c>
      <c r="N16">
        <v>0</v>
      </c>
      <c r="O16">
        <v>0</v>
      </c>
      <c r="Q16">
        <v>9.33</v>
      </c>
      <c r="R16">
        <v>15.29</v>
      </c>
      <c r="S16">
        <v>4.17</v>
      </c>
      <c r="T16">
        <v>0</v>
      </c>
      <c r="U16">
        <v>44771.34</v>
      </c>
      <c r="V16">
        <v>0</v>
      </c>
      <c r="W16">
        <v>0</v>
      </c>
      <c r="X16">
        <v>819987.83</v>
      </c>
      <c r="AA16" s="232">
        <f t="shared" si="0"/>
        <v>775206.66258999985</v>
      </c>
      <c r="AB16" s="232">
        <f t="shared" si="1"/>
        <v>0</v>
      </c>
    </row>
    <row r="17" spans="27:28">
      <c r="AA17" s="232">
        <f t="shared" si="0"/>
        <v>0</v>
      </c>
      <c r="AB17" s="232">
        <f t="shared" si="1"/>
        <v>0</v>
      </c>
    </row>
    <row r="18" spans="27:28">
      <c r="AA18" s="232">
        <f t="shared" si="0"/>
        <v>0</v>
      </c>
      <c r="AB18" s="232">
        <f t="shared" si="1"/>
        <v>0</v>
      </c>
    </row>
    <row r="19" spans="27:28">
      <c r="AA19" s="232">
        <f t="shared" si="0"/>
        <v>0</v>
      </c>
      <c r="AB19" s="232">
        <f t="shared" si="1"/>
        <v>0</v>
      </c>
    </row>
    <row r="20" spans="27:28">
      <c r="AA20" s="232">
        <f t="shared" si="0"/>
        <v>0</v>
      </c>
      <c r="AB20" s="232">
        <f t="shared" si="1"/>
        <v>0</v>
      </c>
    </row>
    <row r="21" spans="27:28">
      <c r="AA21" s="232">
        <f t="shared" si="0"/>
        <v>0</v>
      </c>
      <c r="AB21" s="232">
        <f t="shared" si="1"/>
        <v>0</v>
      </c>
    </row>
    <row r="22" spans="27:28">
      <c r="AA22" s="232">
        <f t="shared" si="0"/>
        <v>0</v>
      </c>
      <c r="AB22" s="232">
        <f t="shared" si="1"/>
        <v>0</v>
      </c>
    </row>
    <row r="23" spans="27:28">
      <c r="AA23" s="232">
        <f t="shared" si="0"/>
        <v>0</v>
      </c>
      <c r="AB23" s="232">
        <f t="shared" si="1"/>
        <v>0</v>
      </c>
    </row>
    <row r="24" spans="27:28">
      <c r="AA24" s="232">
        <f t="shared" si="0"/>
        <v>0</v>
      </c>
      <c r="AB24" s="232">
        <f t="shared" si="1"/>
        <v>0</v>
      </c>
    </row>
    <row r="25" spans="27:28">
      <c r="AA25" s="232">
        <f t="shared" si="0"/>
        <v>0</v>
      </c>
      <c r="AB25" s="232">
        <f t="shared" si="1"/>
        <v>0</v>
      </c>
    </row>
    <row r="26" spans="27:28">
      <c r="AA26" s="232">
        <f t="shared" si="0"/>
        <v>0</v>
      </c>
      <c r="AB26" s="232">
        <f t="shared" si="1"/>
        <v>0</v>
      </c>
    </row>
    <row r="27" spans="27:28">
      <c r="AA27" s="232">
        <f t="shared" si="0"/>
        <v>0</v>
      </c>
      <c r="AB27" s="232">
        <f t="shared" si="1"/>
        <v>0</v>
      </c>
    </row>
    <row r="28" spans="27:28">
      <c r="AA28" s="232">
        <f t="shared" si="0"/>
        <v>0</v>
      </c>
      <c r="AB28" s="232">
        <f t="shared" si="1"/>
        <v>0</v>
      </c>
    </row>
    <row r="29" spans="27:28">
      <c r="AA29" s="232">
        <f t="shared" si="0"/>
        <v>0</v>
      </c>
      <c r="AB29" s="232">
        <f t="shared" si="1"/>
        <v>0</v>
      </c>
    </row>
    <row r="30" spans="27:28">
      <c r="AA30" s="232">
        <f t="shared" si="0"/>
        <v>0</v>
      </c>
      <c r="AB30" s="232">
        <f t="shared" si="1"/>
        <v>0</v>
      </c>
    </row>
    <row r="31" spans="27:28">
      <c r="AA31" s="232">
        <f t="shared" si="0"/>
        <v>0</v>
      </c>
      <c r="AB31" s="232">
        <f t="shared" si="1"/>
        <v>0</v>
      </c>
    </row>
    <row r="32" spans="27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17"/>
  <sheetViews>
    <sheetView topLeftCell="O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2" t="s">
        <v>169</v>
      </c>
      <c r="K1" s="722" t="s">
        <v>175</v>
      </c>
      <c r="L1" s="722" t="s">
        <v>174</v>
      </c>
      <c r="M1" s="722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5356</v>
      </c>
      <c r="B2" t="s">
        <v>2328</v>
      </c>
      <c r="C2">
        <v>5697</v>
      </c>
      <c r="D2" t="s">
        <v>2197</v>
      </c>
      <c r="E2" t="s">
        <v>2329</v>
      </c>
      <c r="F2">
        <v>202106</v>
      </c>
      <c r="G2" t="s">
        <v>190</v>
      </c>
      <c r="H2">
        <v>12981521</v>
      </c>
      <c r="J2" s="723">
        <f>CAPA!K12</f>
        <v>5356</v>
      </c>
      <c r="K2" s="723" t="s">
        <v>177</v>
      </c>
      <c r="L2" s="723" t="str">
        <f>"&gt;="&amp;K6</f>
        <v>&gt;=202109</v>
      </c>
      <c r="M2" s="723" t="str">
        <f>"&lt;="&amp;K7</f>
        <v>&lt;=202208</v>
      </c>
      <c r="O2">
        <v>5356</v>
      </c>
      <c r="P2" t="s">
        <v>2328</v>
      </c>
      <c r="Q2">
        <v>5697</v>
      </c>
      <c r="R2" t="s">
        <v>2197</v>
      </c>
      <c r="S2" t="s">
        <v>2329</v>
      </c>
      <c r="T2">
        <v>202109</v>
      </c>
      <c r="U2" t="s">
        <v>190</v>
      </c>
      <c r="V2">
        <v>13878400</v>
      </c>
      <c r="X2">
        <v>5697</v>
      </c>
      <c r="Y2" t="s">
        <v>2197</v>
      </c>
      <c r="Z2" t="s">
        <v>2329</v>
      </c>
      <c r="AB2">
        <v>5697</v>
      </c>
      <c r="AC2" t="s">
        <v>2197</v>
      </c>
      <c r="AD2" t="s">
        <v>2329</v>
      </c>
      <c r="AE2" t="s">
        <v>178</v>
      </c>
      <c r="AH2">
        <v>5697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5356</v>
      </c>
      <c r="B3" t="s">
        <v>2328</v>
      </c>
      <c r="C3">
        <v>5697</v>
      </c>
      <c r="D3" t="s">
        <v>2197</v>
      </c>
      <c r="E3" t="s">
        <v>2329</v>
      </c>
      <c r="F3">
        <v>202106</v>
      </c>
      <c r="G3" t="s">
        <v>191</v>
      </c>
      <c r="H3">
        <v>1503474</v>
      </c>
      <c r="J3" s="723">
        <f>J2</f>
        <v>5356</v>
      </c>
      <c r="K3" s="723" t="s">
        <v>179</v>
      </c>
      <c r="L3" s="723" t="str">
        <f>L2</f>
        <v>&gt;=202109</v>
      </c>
      <c r="M3" s="723" t="str">
        <f>M2</f>
        <v>&lt;=202208</v>
      </c>
      <c r="O3">
        <v>5356</v>
      </c>
      <c r="P3" t="s">
        <v>2328</v>
      </c>
      <c r="Q3">
        <v>5697</v>
      </c>
      <c r="R3" t="s">
        <v>2197</v>
      </c>
      <c r="S3" t="s">
        <v>2329</v>
      </c>
      <c r="T3">
        <v>202109</v>
      </c>
      <c r="U3" t="s">
        <v>191</v>
      </c>
      <c r="V3">
        <v>1581307</v>
      </c>
      <c r="AB3">
        <v>5697</v>
      </c>
      <c r="AC3" t="s">
        <v>2197</v>
      </c>
      <c r="AD3" t="s">
        <v>2329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5356</v>
      </c>
      <c r="B4" t="s">
        <v>2328</v>
      </c>
      <c r="C4">
        <v>5697</v>
      </c>
      <c r="D4" t="s">
        <v>2197</v>
      </c>
      <c r="E4" t="s">
        <v>2329</v>
      </c>
      <c r="F4">
        <v>202106</v>
      </c>
      <c r="G4" t="s">
        <v>176</v>
      </c>
      <c r="H4">
        <v>0</v>
      </c>
      <c r="J4" s="725">
        <f>J3</f>
        <v>5356</v>
      </c>
      <c r="K4" s="723" t="s">
        <v>181</v>
      </c>
      <c r="L4" s="724" t="str">
        <f>L2</f>
        <v>&gt;=202109</v>
      </c>
      <c r="M4" s="724" t="str">
        <f>M2</f>
        <v>&lt;=202208</v>
      </c>
      <c r="O4">
        <v>5356</v>
      </c>
      <c r="P4" t="s">
        <v>2328</v>
      </c>
      <c r="Q4">
        <v>5697</v>
      </c>
      <c r="R4" t="s">
        <v>2197</v>
      </c>
      <c r="S4" t="s">
        <v>2329</v>
      </c>
      <c r="T4">
        <v>202109</v>
      </c>
      <c r="U4" t="s">
        <v>178</v>
      </c>
      <c r="V4">
        <v>31315</v>
      </c>
      <c r="AB4">
        <v>5697</v>
      </c>
      <c r="AC4" t="s">
        <v>2197</v>
      </c>
      <c r="AD4" t="s">
        <v>2329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5356</v>
      </c>
      <c r="B5" t="s">
        <v>2328</v>
      </c>
      <c r="C5">
        <v>5697</v>
      </c>
      <c r="D5" t="s">
        <v>2197</v>
      </c>
      <c r="E5" t="s">
        <v>2329</v>
      </c>
      <c r="F5">
        <v>202106</v>
      </c>
      <c r="G5" t="s">
        <v>178</v>
      </c>
      <c r="H5">
        <v>29904</v>
      </c>
      <c r="J5" s="725">
        <f>J4</f>
        <v>5356</v>
      </c>
      <c r="K5" s="904" t="s">
        <v>183</v>
      </c>
      <c r="L5" s="724" t="str">
        <f>L3</f>
        <v>&gt;=202109</v>
      </c>
      <c r="M5" s="724" t="str">
        <f>M3</f>
        <v>&lt;=202208</v>
      </c>
      <c r="O5">
        <v>5356</v>
      </c>
      <c r="P5" t="s">
        <v>2328</v>
      </c>
      <c r="Q5">
        <v>5697</v>
      </c>
      <c r="R5" t="s">
        <v>2197</v>
      </c>
      <c r="S5" t="s">
        <v>2329</v>
      </c>
      <c r="T5">
        <v>202109</v>
      </c>
      <c r="U5" t="s">
        <v>180</v>
      </c>
      <c r="V5">
        <v>26947</v>
      </c>
      <c r="AB5">
        <v>5697</v>
      </c>
      <c r="AC5" t="s">
        <v>2197</v>
      </c>
      <c r="AD5" t="s">
        <v>2329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5356</v>
      </c>
      <c r="B6" t="s">
        <v>2328</v>
      </c>
      <c r="C6">
        <v>5697</v>
      </c>
      <c r="D6" t="s">
        <v>2197</v>
      </c>
      <c r="E6" t="s">
        <v>2329</v>
      </c>
      <c r="F6">
        <v>202106</v>
      </c>
      <c r="G6" t="s">
        <v>180</v>
      </c>
      <c r="H6">
        <v>26174</v>
      </c>
      <c r="J6" t="s">
        <v>185</v>
      </c>
      <c r="K6">
        <f>(YEAR(SAS_RA0_DataInicio)*100+MONTH(SAS_RA0_DataInicio))</f>
        <v>202109</v>
      </c>
      <c r="O6">
        <v>5356</v>
      </c>
      <c r="P6" t="s">
        <v>2328</v>
      </c>
      <c r="Q6">
        <v>5697</v>
      </c>
      <c r="R6" t="s">
        <v>2197</v>
      </c>
      <c r="S6" t="s">
        <v>2329</v>
      </c>
      <c r="T6">
        <v>202109</v>
      </c>
      <c r="U6" t="s">
        <v>182</v>
      </c>
      <c r="V6">
        <v>14110135</v>
      </c>
      <c r="AB6">
        <v>5697</v>
      </c>
      <c r="AC6" t="s">
        <v>2197</v>
      </c>
      <c r="AD6" t="s">
        <v>2329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5356</v>
      </c>
      <c r="B7" t="s">
        <v>2328</v>
      </c>
      <c r="C7">
        <v>5697</v>
      </c>
      <c r="D7" t="s">
        <v>2197</v>
      </c>
      <c r="E7" t="s">
        <v>2329</v>
      </c>
      <c r="F7">
        <v>202106</v>
      </c>
      <c r="G7" t="s">
        <v>182</v>
      </c>
      <c r="H7">
        <v>13138876</v>
      </c>
      <c r="J7" t="s">
        <v>187</v>
      </c>
      <c r="K7">
        <f>YEAR(SAS_RA0_DataFim)*100+MONTH(SAS_RA0_DataFim)</f>
        <v>202208</v>
      </c>
      <c r="O7">
        <v>5356</v>
      </c>
      <c r="P7" t="s">
        <v>2328</v>
      </c>
      <c r="Q7">
        <v>5697</v>
      </c>
      <c r="R7" t="s">
        <v>2197</v>
      </c>
      <c r="S7" t="s">
        <v>2329</v>
      </c>
      <c r="T7">
        <v>202109</v>
      </c>
      <c r="U7" t="s">
        <v>184</v>
      </c>
      <c r="V7">
        <v>1576646</v>
      </c>
      <c r="AI7">
        <f t="shared" si="0"/>
        <v>0</v>
      </c>
      <c r="AJ7" t="str">
        <f t="shared" si="1"/>
        <v>Nada</v>
      </c>
    </row>
    <row r="8" spans="1:36">
      <c r="A8">
        <v>5356</v>
      </c>
      <c r="B8" t="s">
        <v>2328</v>
      </c>
      <c r="C8">
        <v>5697</v>
      </c>
      <c r="D8" t="s">
        <v>2197</v>
      </c>
      <c r="E8" t="s">
        <v>2329</v>
      </c>
      <c r="F8">
        <v>202106</v>
      </c>
      <c r="G8" t="s">
        <v>184</v>
      </c>
      <c r="H8">
        <v>1492663</v>
      </c>
      <c r="J8" t="s">
        <v>188</v>
      </c>
      <c r="K8" s="631">
        <f>MAX(AI:AI)</f>
        <v>202208</v>
      </c>
      <c r="O8">
        <v>5356</v>
      </c>
      <c r="P8" t="s">
        <v>2328</v>
      </c>
      <c r="Q8">
        <v>5697</v>
      </c>
      <c r="R8" t="s">
        <v>2197</v>
      </c>
      <c r="S8" t="s">
        <v>2329</v>
      </c>
      <c r="T8">
        <v>202109</v>
      </c>
      <c r="U8" t="s">
        <v>186</v>
      </c>
      <c r="V8">
        <v>274328</v>
      </c>
      <c r="AI8">
        <f t="shared" si="0"/>
        <v>0</v>
      </c>
      <c r="AJ8" t="str">
        <f t="shared" si="1"/>
        <v>Nada</v>
      </c>
    </row>
    <row r="9" spans="1:36">
      <c r="A9">
        <v>5356</v>
      </c>
      <c r="B9" t="s">
        <v>2328</v>
      </c>
      <c r="C9">
        <v>5697</v>
      </c>
      <c r="D9" t="s">
        <v>2197</v>
      </c>
      <c r="E9" t="s">
        <v>2329</v>
      </c>
      <c r="F9">
        <v>202106</v>
      </c>
      <c r="G9" t="s">
        <v>192</v>
      </c>
      <c r="H9">
        <v>0</v>
      </c>
      <c r="J9" t="s">
        <v>189</v>
      </c>
      <c r="K9" s="631">
        <f>MAX(AJ:AJ)</f>
        <v>0</v>
      </c>
      <c r="O9">
        <v>5356</v>
      </c>
      <c r="P9" t="s">
        <v>2328</v>
      </c>
      <c r="Q9">
        <v>5697</v>
      </c>
      <c r="R9" t="s">
        <v>2197</v>
      </c>
      <c r="S9" t="s">
        <v>2329</v>
      </c>
      <c r="T9">
        <v>202110</v>
      </c>
      <c r="U9" t="s">
        <v>190</v>
      </c>
      <c r="V9">
        <v>14295220</v>
      </c>
    </row>
    <row r="10" spans="1:36">
      <c r="A10">
        <v>5356</v>
      </c>
      <c r="B10" t="s">
        <v>2328</v>
      </c>
      <c r="C10">
        <v>5697</v>
      </c>
      <c r="D10" t="s">
        <v>2197</v>
      </c>
      <c r="E10" t="s">
        <v>2329</v>
      </c>
      <c r="F10">
        <v>202106</v>
      </c>
      <c r="G10" t="s">
        <v>2166</v>
      </c>
      <c r="H10">
        <v>116850.36</v>
      </c>
      <c r="O10">
        <v>5356</v>
      </c>
      <c r="P10" t="s">
        <v>2328</v>
      </c>
      <c r="Q10">
        <v>5697</v>
      </c>
      <c r="R10" t="s">
        <v>2197</v>
      </c>
      <c r="S10" t="s">
        <v>2329</v>
      </c>
      <c r="T10">
        <v>202110</v>
      </c>
      <c r="U10" t="s">
        <v>191</v>
      </c>
      <c r="V10">
        <v>1559973</v>
      </c>
    </row>
    <row r="11" spans="1:36">
      <c r="A11">
        <v>5356</v>
      </c>
      <c r="B11" t="s">
        <v>2328</v>
      </c>
      <c r="C11">
        <v>5697</v>
      </c>
      <c r="D11" t="s">
        <v>2197</v>
      </c>
      <c r="E11" t="s">
        <v>2329</v>
      </c>
      <c r="F11">
        <v>202106</v>
      </c>
      <c r="G11" t="s">
        <v>186</v>
      </c>
      <c r="H11">
        <v>256426</v>
      </c>
      <c r="J11" s="782">
        <f>VALUE(A2)</f>
        <v>5356</v>
      </c>
      <c r="O11">
        <v>5356</v>
      </c>
      <c r="P11" t="s">
        <v>2328</v>
      </c>
      <c r="Q11">
        <v>5697</v>
      </c>
      <c r="R11" t="s">
        <v>2197</v>
      </c>
      <c r="S11" t="s">
        <v>2329</v>
      </c>
      <c r="T11">
        <v>202110</v>
      </c>
      <c r="U11" t="s">
        <v>178</v>
      </c>
      <c r="V11">
        <v>33365</v>
      </c>
    </row>
    <row r="12" spans="1:36">
      <c r="A12">
        <v>5356</v>
      </c>
      <c r="B12" t="s">
        <v>2328</v>
      </c>
      <c r="C12">
        <v>5697</v>
      </c>
      <c r="D12" t="s">
        <v>2197</v>
      </c>
      <c r="E12" t="s">
        <v>2329</v>
      </c>
      <c r="F12">
        <v>202106</v>
      </c>
      <c r="G12" t="s">
        <v>2165</v>
      </c>
      <c r="H12">
        <v>193.46</v>
      </c>
      <c r="K12" s="8"/>
      <c r="O12">
        <v>5356</v>
      </c>
      <c r="P12" t="s">
        <v>2328</v>
      </c>
      <c r="Q12">
        <v>5697</v>
      </c>
      <c r="R12" t="s">
        <v>2197</v>
      </c>
      <c r="S12" t="s">
        <v>2329</v>
      </c>
      <c r="T12">
        <v>202110</v>
      </c>
      <c r="U12" t="s">
        <v>180</v>
      </c>
      <c r="V12">
        <v>27754</v>
      </c>
    </row>
    <row r="13" spans="1:36">
      <c r="A13">
        <v>5356</v>
      </c>
      <c r="B13" t="s">
        <v>2328</v>
      </c>
      <c r="C13">
        <v>5697</v>
      </c>
      <c r="D13" t="s">
        <v>2197</v>
      </c>
      <c r="E13" t="s">
        <v>2329</v>
      </c>
      <c r="F13">
        <v>202106</v>
      </c>
      <c r="G13" t="s">
        <v>2162</v>
      </c>
      <c r="H13">
        <v>8.59</v>
      </c>
      <c r="O13">
        <v>5356</v>
      </c>
      <c r="P13" t="s">
        <v>2328</v>
      </c>
      <c r="Q13">
        <v>5697</v>
      </c>
      <c r="R13" t="s">
        <v>2197</v>
      </c>
      <c r="S13" t="s">
        <v>2329</v>
      </c>
      <c r="T13">
        <v>202110</v>
      </c>
      <c r="U13" t="s">
        <v>182</v>
      </c>
      <c r="V13">
        <v>14481322</v>
      </c>
    </row>
    <row r="14" spans="1:36">
      <c r="A14">
        <v>5356</v>
      </c>
      <c r="B14" t="s">
        <v>2328</v>
      </c>
      <c r="C14">
        <v>5697</v>
      </c>
      <c r="D14" t="s">
        <v>2197</v>
      </c>
      <c r="E14" t="s">
        <v>2329</v>
      </c>
      <c r="F14">
        <v>202106</v>
      </c>
      <c r="G14" t="s">
        <v>2163</v>
      </c>
      <c r="H14">
        <v>14.57</v>
      </c>
      <c r="O14">
        <v>5356</v>
      </c>
      <c r="P14" t="s">
        <v>2328</v>
      </c>
      <c r="Q14">
        <v>5697</v>
      </c>
      <c r="R14" t="s">
        <v>2197</v>
      </c>
      <c r="S14" t="s">
        <v>2329</v>
      </c>
      <c r="T14">
        <v>202110</v>
      </c>
      <c r="U14" t="s">
        <v>184</v>
      </c>
      <c r="V14">
        <v>1551068</v>
      </c>
    </row>
    <row r="15" spans="1:36">
      <c r="A15">
        <v>5356</v>
      </c>
      <c r="B15" t="s">
        <v>2328</v>
      </c>
      <c r="C15">
        <v>5697</v>
      </c>
      <c r="D15" t="s">
        <v>2197</v>
      </c>
      <c r="E15" t="s">
        <v>2329</v>
      </c>
      <c r="F15">
        <v>202106</v>
      </c>
      <c r="G15" t="s">
        <v>2164</v>
      </c>
      <c r="H15">
        <v>2.6</v>
      </c>
      <c r="O15">
        <v>5356</v>
      </c>
      <c r="P15" t="s">
        <v>2328</v>
      </c>
      <c r="Q15">
        <v>5697</v>
      </c>
      <c r="R15" t="s">
        <v>2197</v>
      </c>
      <c r="S15" t="s">
        <v>2329</v>
      </c>
      <c r="T15">
        <v>202110</v>
      </c>
      <c r="U15" t="s">
        <v>186</v>
      </c>
      <c r="V15">
        <v>292094</v>
      </c>
    </row>
    <row r="16" spans="1:36">
      <c r="A16">
        <v>5356</v>
      </c>
      <c r="B16" t="s">
        <v>2328</v>
      </c>
      <c r="C16">
        <v>5697</v>
      </c>
      <c r="D16" t="s">
        <v>2197</v>
      </c>
      <c r="E16" t="s">
        <v>2329</v>
      </c>
      <c r="F16">
        <v>202106</v>
      </c>
      <c r="G16" t="s">
        <v>2167</v>
      </c>
      <c r="H16">
        <v>3595395.84</v>
      </c>
      <c r="O16">
        <v>5356</v>
      </c>
      <c r="P16" t="s">
        <v>2328</v>
      </c>
      <c r="Q16">
        <v>5697</v>
      </c>
      <c r="R16" t="s">
        <v>2197</v>
      </c>
      <c r="S16" t="s">
        <v>2329</v>
      </c>
      <c r="T16">
        <v>202111</v>
      </c>
      <c r="U16" t="s">
        <v>190</v>
      </c>
      <c r="V16">
        <v>0</v>
      </c>
    </row>
    <row r="17" spans="1:22">
      <c r="A17">
        <v>5356</v>
      </c>
      <c r="B17" t="s">
        <v>2328</v>
      </c>
      <c r="C17">
        <v>5697</v>
      </c>
      <c r="D17" t="s">
        <v>2197</v>
      </c>
      <c r="E17" t="s">
        <v>2329</v>
      </c>
      <c r="F17">
        <v>202107</v>
      </c>
      <c r="G17" t="s">
        <v>190</v>
      </c>
      <c r="H17">
        <v>13591842</v>
      </c>
      <c r="O17">
        <v>5356</v>
      </c>
      <c r="P17" t="s">
        <v>2328</v>
      </c>
      <c r="Q17">
        <v>5697</v>
      </c>
      <c r="R17" t="s">
        <v>2197</v>
      </c>
      <c r="S17" t="s">
        <v>2329</v>
      </c>
      <c r="T17">
        <v>202111</v>
      </c>
      <c r="U17" t="s">
        <v>191</v>
      </c>
      <c r="V17">
        <v>0</v>
      </c>
    </row>
    <row r="18" spans="1:22">
      <c r="A18">
        <v>5356</v>
      </c>
      <c r="B18" t="s">
        <v>2328</v>
      </c>
      <c r="C18">
        <v>5697</v>
      </c>
      <c r="D18" t="s">
        <v>2197</v>
      </c>
      <c r="E18" t="s">
        <v>2329</v>
      </c>
      <c r="F18">
        <v>202107</v>
      </c>
      <c r="G18" t="s">
        <v>191</v>
      </c>
      <c r="H18">
        <v>1619415</v>
      </c>
      <c r="O18">
        <v>5356</v>
      </c>
      <c r="P18" t="s">
        <v>2328</v>
      </c>
      <c r="Q18">
        <v>5697</v>
      </c>
      <c r="R18" t="s">
        <v>2197</v>
      </c>
      <c r="S18" t="s">
        <v>2329</v>
      </c>
      <c r="T18">
        <v>202111</v>
      </c>
      <c r="U18" t="s">
        <v>178</v>
      </c>
      <c r="V18">
        <v>33835</v>
      </c>
    </row>
    <row r="19" spans="1:22">
      <c r="A19">
        <v>5356</v>
      </c>
      <c r="B19" t="s">
        <v>2328</v>
      </c>
      <c r="C19">
        <v>5697</v>
      </c>
      <c r="D19" t="s">
        <v>2197</v>
      </c>
      <c r="E19" t="s">
        <v>2329</v>
      </c>
      <c r="F19">
        <v>202107</v>
      </c>
      <c r="G19" t="s">
        <v>176</v>
      </c>
      <c r="H19">
        <v>0</v>
      </c>
      <c r="O19">
        <v>5356</v>
      </c>
      <c r="P19" t="s">
        <v>2328</v>
      </c>
      <c r="Q19">
        <v>5697</v>
      </c>
      <c r="R19" t="s">
        <v>2197</v>
      </c>
      <c r="S19" t="s">
        <v>2329</v>
      </c>
      <c r="T19">
        <v>202111</v>
      </c>
      <c r="U19" t="s">
        <v>180</v>
      </c>
      <c r="V19">
        <v>29366</v>
      </c>
    </row>
    <row r="20" spans="1:22">
      <c r="A20">
        <v>5356</v>
      </c>
      <c r="B20" t="s">
        <v>2328</v>
      </c>
      <c r="C20">
        <v>5697</v>
      </c>
      <c r="D20" t="s">
        <v>2197</v>
      </c>
      <c r="E20" t="s">
        <v>2329</v>
      </c>
      <c r="F20">
        <v>202107</v>
      </c>
      <c r="G20" t="s">
        <v>178</v>
      </c>
      <c r="H20">
        <v>29870</v>
      </c>
      <c r="O20">
        <v>5356</v>
      </c>
      <c r="P20" t="s">
        <v>2328</v>
      </c>
      <c r="Q20">
        <v>5697</v>
      </c>
      <c r="R20" t="s">
        <v>2197</v>
      </c>
      <c r="S20" t="s">
        <v>2329</v>
      </c>
      <c r="T20">
        <v>202111</v>
      </c>
      <c r="U20" t="s">
        <v>182</v>
      </c>
      <c r="V20">
        <v>14820355</v>
      </c>
    </row>
    <row r="21" spans="1:22">
      <c r="A21">
        <v>5356</v>
      </c>
      <c r="B21" t="s">
        <v>2328</v>
      </c>
      <c r="C21">
        <v>5697</v>
      </c>
      <c r="D21" t="s">
        <v>2197</v>
      </c>
      <c r="E21" t="s">
        <v>2329</v>
      </c>
      <c r="F21">
        <v>202107</v>
      </c>
      <c r="G21" t="s">
        <v>180</v>
      </c>
      <c r="H21">
        <v>26006</v>
      </c>
      <c r="O21">
        <v>5356</v>
      </c>
      <c r="P21" t="s">
        <v>2328</v>
      </c>
      <c r="Q21">
        <v>5697</v>
      </c>
      <c r="R21" t="s">
        <v>2197</v>
      </c>
      <c r="S21" t="s">
        <v>2329</v>
      </c>
      <c r="T21">
        <v>202111</v>
      </c>
      <c r="U21" t="s">
        <v>184</v>
      </c>
      <c r="V21">
        <v>1582929</v>
      </c>
    </row>
    <row r="22" spans="1:22">
      <c r="A22">
        <v>5356</v>
      </c>
      <c r="B22" t="s">
        <v>2328</v>
      </c>
      <c r="C22">
        <v>5697</v>
      </c>
      <c r="D22" t="s">
        <v>2197</v>
      </c>
      <c r="E22" t="s">
        <v>2329</v>
      </c>
      <c r="F22">
        <v>202107</v>
      </c>
      <c r="G22" t="s">
        <v>182</v>
      </c>
      <c r="H22">
        <v>13758897</v>
      </c>
      <c r="O22">
        <v>5356</v>
      </c>
      <c r="P22" t="s">
        <v>2328</v>
      </c>
      <c r="Q22">
        <v>5697</v>
      </c>
      <c r="R22" t="s">
        <v>2197</v>
      </c>
      <c r="S22" t="s">
        <v>2329</v>
      </c>
      <c r="T22">
        <v>202111</v>
      </c>
      <c r="U22" t="s">
        <v>186</v>
      </c>
      <c r="V22">
        <v>0</v>
      </c>
    </row>
    <row r="23" spans="1:22">
      <c r="A23">
        <v>5356</v>
      </c>
      <c r="B23" t="s">
        <v>2328</v>
      </c>
      <c r="C23">
        <v>5697</v>
      </c>
      <c r="D23" t="s">
        <v>2197</v>
      </c>
      <c r="E23" t="s">
        <v>2329</v>
      </c>
      <c r="F23">
        <v>202107</v>
      </c>
      <c r="G23" t="s">
        <v>184</v>
      </c>
      <c r="H23">
        <v>1609935</v>
      </c>
      <c r="O23">
        <v>5356</v>
      </c>
      <c r="P23" t="s">
        <v>2328</v>
      </c>
      <c r="Q23">
        <v>5697</v>
      </c>
      <c r="R23" t="s">
        <v>2197</v>
      </c>
      <c r="S23" t="s">
        <v>2329</v>
      </c>
      <c r="T23">
        <v>202112</v>
      </c>
      <c r="U23" t="s">
        <v>190</v>
      </c>
      <c r="V23">
        <v>0</v>
      </c>
    </row>
    <row r="24" spans="1:22">
      <c r="A24">
        <v>5356</v>
      </c>
      <c r="B24" t="s">
        <v>2328</v>
      </c>
      <c r="C24">
        <v>5697</v>
      </c>
      <c r="D24" t="s">
        <v>2197</v>
      </c>
      <c r="E24" t="s">
        <v>2329</v>
      </c>
      <c r="F24">
        <v>202107</v>
      </c>
      <c r="G24" t="s">
        <v>192</v>
      </c>
      <c r="H24">
        <v>0</v>
      </c>
      <c r="O24">
        <v>5356</v>
      </c>
      <c r="P24" t="s">
        <v>2328</v>
      </c>
      <c r="Q24">
        <v>5697</v>
      </c>
      <c r="R24" t="s">
        <v>2197</v>
      </c>
      <c r="S24" t="s">
        <v>2329</v>
      </c>
      <c r="T24">
        <v>202112</v>
      </c>
      <c r="U24" t="s">
        <v>191</v>
      </c>
      <c r="V24">
        <v>0</v>
      </c>
    </row>
    <row r="25" spans="1:22">
      <c r="A25">
        <v>5356</v>
      </c>
      <c r="B25" t="s">
        <v>2328</v>
      </c>
      <c r="C25">
        <v>5697</v>
      </c>
      <c r="D25" t="s">
        <v>2197</v>
      </c>
      <c r="E25" t="s">
        <v>2329</v>
      </c>
      <c r="F25">
        <v>202107</v>
      </c>
      <c r="G25" t="s">
        <v>2166</v>
      </c>
      <c r="H25">
        <v>6524.56</v>
      </c>
      <c r="O25">
        <v>5356</v>
      </c>
      <c r="P25" t="s">
        <v>2328</v>
      </c>
      <c r="Q25">
        <v>5697</v>
      </c>
      <c r="R25" t="s">
        <v>2197</v>
      </c>
      <c r="S25" t="s">
        <v>2329</v>
      </c>
      <c r="T25">
        <v>202112</v>
      </c>
      <c r="U25" t="s">
        <v>178</v>
      </c>
      <c r="V25">
        <v>33197</v>
      </c>
    </row>
    <row r="26" spans="1:22">
      <c r="A26">
        <v>5356</v>
      </c>
      <c r="B26" t="s">
        <v>2328</v>
      </c>
      <c r="C26">
        <v>5697</v>
      </c>
      <c r="D26" t="s">
        <v>2197</v>
      </c>
      <c r="E26" t="s">
        <v>2329</v>
      </c>
      <c r="F26">
        <v>202107</v>
      </c>
      <c r="G26" t="s">
        <v>186</v>
      </c>
      <c r="H26">
        <v>263648</v>
      </c>
      <c r="O26">
        <v>5356</v>
      </c>
      <c r="P26" t="s">
        <v>2328</v>
      </c>
      <c r="Q26">
        <v>5697</v>
      </c>
      <c r="R26" t="s">
        <v>2197</v>
      </c>
      <c r="S26" t="s">
        <v>2329</v>
      </c>
      <c r="T26">
        <v>202112</v>
      </c>
      <c r="U26" t="s">
        <v>180</v>
      </c>
      <c r="V26">
        <v>28090</v>
      </c>
    </row>
    <row r="27" spans="1:22">
      <c r="A27">
        <v>5356</v>
      </c>
      <c r="B27" t="s">
        <v>2328</v>
      </c>
      <c r="C27">
        <v>5697</v>
      </c>
      <c r="D27" t="s">
        <v>2197</v>
      </c>
      <c r="E27" t="s">
        <v>2329</v>
      </c>
      <c r="F27">
        <v>202107</v>
      </c>
      <c r="G27" t="s">
        <v>2165</v>
      </c>
      <c r="H27">
        <v>193.46</v>
      </c>
      <c r="O27">
        <v>5356</v>
      </c>
      <c r="P27" t="s">
        <v>2328</v>
      </c>
      <c r="Q27">
        <v>5697</v>
      </c>
      <c r="R27" t="s">
        <v>2197</v>
      </c>
      <c r="S27" t="s">
        <v>2329</v>
      </c>
      <c r="T27">
        <v>202112</v>
      </c>
      <c r="U27" t="s">
        <v>182</v>
      </c>
      <c r="V27">
        <v>13138574</v>
      </c>
    </row>
    <row r="28" spans="1:22">
      <c r="A28">
        <v>5356</v>
      </c>
      <c r="B28" t="s">
        <v>2328</v>
      </c>
      <c r="C28">
        <v>5697</v>
      </c>
      <c r="D28" t="s">
        <v>2197</v>
      </c>
      <c r="E28" t="s">
        <v>2329</v>
      </c>
      <c r="F28">
        <v>202107</v>
      </c>
      <c r="G28" t="s">
        <v>2162</v>
      </c>
      <c r="H28">
        <v>8.59</v>
      </c>
      <c r="O28">
        <v>5356</v>
      </c>
      <c r="P28" t="s">
        <v>2328</v>
      </c>
      <c r="Q28">
        <v>5697</v>
      </c>
      <c r="R28" t="s">
        <v>2197</v>
      </c>
      <c r="S28" t="s">
        <v>2329</v>
      </c>
      <c r="T28">
        <v>202112</v>
      </c>
      <c r="U28" t="s">
        <v>184</v>
      </c>
      <c r="V28">
        <v>1506010</v>
      </c>
    </row>
    <row r="29" spans="1:22">
      <c r="A29">
        <v>5356</v>
      </c>
      <c r="B29" t="s">
        <v>2328</v>
      </c>
      <c r="C29">
        <v>5697</v>
      </c>
      <c r="D29" t="s">
        <v>2197</v>
      </c>
      <c r="E29" t="s">
        <v>2329</v>
      </c>
      <c r="F29">
        <v>202107</v>
      </c>
      <c r="G29" t="s">
        <v>2163</v>
      </c>
      <c r="H29">
        <v>14.57</v>
      </c>
      <c r="O29">
        <v>5356</v>
      </c>
      <c r="P29" t="s">
        <v>2328</v>
      </c>
      <c r="Q29">
        <v>5697</v>
      </c>
      <c r="R29" t="s">
        <v>2197</v>
      </c>
      <c r="S29" t="s">
        <v>2329</v>
      </c>
      <c r="T29">
        <v>202201</v>
      </c>
      <c r="U29" t="s">
        <v>190</v>
      </c>
      <c r="V29">
        <v>0</v>
      </c>
    </row>
    <row r="30" spans="1:22">
      <c r="A30">
        <v>5356</v>
      </c>
      <c r="B30" t="s">
        <v>2328</v>
      </c>
      <c r="C30">
        <v>5697</v>
      </c>
      <c r="D30" t="s">
        <v>2197</v>
      </c>
      <c r="E30" t="s">
        <v>2329</v>
      </c>
      <c r="F30">
        <v>202107</v>
      </c>
      <c r="G30" t="s">
        <v>2164</v>
      </c>
      <c r="H30">
        <v>2.6</v>
      </c>
      <c r="O30">
        <v>5356</v>
      </c>
      <c r="P30" t="s">
        <v>2328</v>
      </c>
      <c r="Q30">
        <v>5697</v>
      </c>
      <c r="R30" t="s">
        <v>2197</v>
      </c>
      <c r="S30" t="s">
        <v>2329</v>
      </c>
      <c r="T30">
        <v>202201</v>
      </c>
      <c r="U30" t="s">
        <v>191</v>
      </c>
      <c r="V30">
        <v>0</v>
      </c>
    </row>
    <row r="31" spans="1:22">
      <c r="A31">
        <v>5356</v>
      </c>
      <c r="B31" t="s">
        <v>2328</v>
      </c>
      <c r="C31">
        <v>5697</v>
      </c>
      <c r="D31" t="s">
        <v>2197</v>
      </c>
      <c r="E31" t="s">
        <v>2329</v>
      </c>
      <c r="F31">
        <v>202107</v>
      </c>
      <c r="G31" t="s">
        <v>2167</v>
      </c>
      <c r="H31">
        <v>3624753.26</v>
      </c>
      <c r="O31">
        <v>5356</v>
      </c>
      <c r="P31" t="s">
        <v>2328</v>
      </c>
      <c r="Q31">
        <v>5697</v>
      </c>
      <c r="R31" t="s">
        <v>2197</v>
      </c>
      <c r="S31" t="s">
        <v>2329</v>
      </c>
      <c r="T31">
        <v>202201</v>
      </c>
      <c r="U31" t="s">
        <v>178</v>
      </c>
      <c r="V31">
        <v>34877</v>
      </c>
    </row>
    <row r="32" spans="1:22">
      <c r="A32">
        <v>5356</v>
      </c>
      <c r="B32" t="s">
        <v>2328</v>
      </c>
      <c r="C32">
        <v>5697</v>
      </c>
      <c r="D32" t="s">
        <v>2197</v>
      </c>
      <c r="E32" t="s">
        <v>2329</v>
      </c>
      <c r="F32">
        <v>202108</v>
      </c>
      <c r="G32" t="s">
        <v>190</v>
      </c>
      <c r="H32">
        <v>13789809</v>
      </c>
      <c r="O32">
        <v>5356</v>
      </c>
      <c r="P32" t="s">
        <v>2328</v>
      </c>
      <c r="Q32">
        <v>5697</v>
      </c>
      <c r="R32" t="s">
        <v>2197</v>
      </c>
      <c r="S32" t="s">
        <v>2329</v>
      </c>
      <c r="T32">
        <v>202201</v>
      </c>
      <c r="U32" t="s">
        <v>180</v>
      </c>
      <c r="V32">
        <v>29131</v>
      </c>
    </row>
    <row r="33" spans="1:22">
      <c r="A33">
        <v>5356</v>
      </c>
      <c r="B33" t="s">
        <v>2328</v>
      </c>
      <c r="C33">
        <v>5697</v>
      </c>
      <c r="D33" t="s">
        <v>2197</v>
      </c>
      <c r="E33" t="s">
        <v>2329</v>
      </c>
      <c r="F33">
        <v>202108</v>
      </c>
      <c r="G33" t="s">
        <v>191</v>
      </c>
      <c r="H33">
        <v>1649130</v>
      </c>
      <c r="O33">
        <v>5356</v>
      </c>
      <c r="P33" t="s">
        <v>2328</v>
      </c>
      <c r="Q33">
        <v>5697</v>
      </c>
      <c r="R33" t="s">
        <v>2197</v>
      </c>
      <c r="S33" t="s">
        <v>2329</v>
      </c>
      <c r="T33">
        <v>202201</v>
      </c>
      <c r="U33" t="s">
        <v>182</v>
      </c>
      <c r="V33">
        <v>14412980</v>
      </c>
    </row>
    <row r="34" spans="1:22">
      <c r="A34">
        <v>5356</v>
      </c>
      <c r="B34" t="s">
        <v>2328</v>
      </c>
      <c r="C34">
        <v>5697</v>
      </c>
      <c r="D34" t="s">
        <v>2197</v>
      </c>
      <c r="E34" t="s">
        <v>2329</v>
      </c>
      <c r="F34">
        <v>202108</v>
      </c>
      <c r="G34" t="s">
        <v>176</v>
      </c>
      <c r="H34">
        <v>0</v>
      </c>
      <c r="O34">
        <v>5356</v>
      </c>
      <c r="P34" t="s">
        <v>2328</v>
      </c>
      <c r="Q34">
        <v>5697</v>
      </c>
      <c r="R34" t="s">
        <v>2197</v>
      </c>
      <c r="S34" t="s">
        <v>2329</v>
      </c>
      <c r="T34">
        <v>202201</v>
      </c>
      <c r="U34" t="s">
        <v>184</v>
      </c>
      <c r="V34">
        <v>1603014</v>
      </c>
    </row>
    <row r="35" spans="1:22">
      <c r="A35">
        <v>5356</v>
      </c>
      <c r="B35" t="s">
        <v>2328</v>
      </c>
      <c r="C35">
        <v>5697</v>
      </c>
      <c r="D35" t="s">
        <v>2197</v>
      </c>
      <c r="E35" t="s">
        <v>2329</v>
      </c>
      <c r="F35">
        <v>202108</v>
      </c>
      <c r="G35" t="s">
        <v>178</v>
      </c>
      <c r="H35">
        <v>30408</v>
      </c>
      <c r="O35">
        <v>5356</v>
      </c>
      <c r="P35" t="s">
        <v>2328</v>
      </c>
      <c r="Q35">
        <v>5697</v>
      </c>
      <c r="R35" t="s">
        <v>2197</v>
      </c>
      <c r="S35" t="s">
        <v>2329</v>
      </c>
      <c r="T35">
        <v>202202</v>
      </c>
      <c r="U35" t="s">
        <v>190</v>
      </c>
      <c r="V35">
        <v>0</v>
      </c>
    </row>
    <row r="36" spans="1:22">
      <c r="A36">
        <v>5356</v>
      </c>
      <c r="B36" t="s">
        <v>2328</v>
      </c>
      <c r="C36">
        <v>5697</v>
      </c>
      <c r="D36" t="s">
        <v>2197</v>
      </c>
      <c r="E36" t="s">
        <v>2329</v>
      </c>
      <c r="F36">
        <v>202108</v>
      </c>
      <c r="G36" t="s">
        <v>180</v>
      </c>
      <c r="H36">
        <v>26981</v>
      </c>
      <c r="O36">
        <v>5356</v>
      </c>
      <c r="P36" t="s">
        <v>2328</v>
      </c>
      <c r="Q36">
        <v>5697</v>
      </c>
      <c r="R36" t="s">
        <v>2197</v>
      </c>
      <c r="S36" t="s">
        <v>2329</v>
      </c>
      <c r="T36">
        <v>202202</v>
      </c>
      <c r="U36" t="s">
        <v>191</v>
      </c>
      <c r="V36">
        <v>0</v>
      </c>
    </row>
    <row r="37" spans="1:22">
      <c r="A37">
        <v>5356</v>
      </c>
      <c r="B37" t="s">
        <v>2328</v>
      </c>
      <c r="C37">
        <v>5697</v>
      </c>
      <c r="D37" t="s">
        <v>2197</v>
      </c>
      <c r="E37" t="s">
        <v>2329</v>
      </c>
      <c r="F37">
        <v>202108</v>
      </c>
      <c r="G37" t="s">
        <v>182</v>
      </c>
      <c r="H37">
        <v>14026941</v>
      </c>
      <c r="O37">
        <v>5356</v>
      </c>
      <c r="P37" t="s">
        <v>2328</v>
      </c>
      <c r="Q37">
        <v>5697</v>
      </c>
      <c r="R37" t="s">
        <v>2197</v>
      </c>
      <c r="S37" t="s">
        <v>2329</v>
      </c>
      <c r="T37">
        <v>202202</v>
      </c>
      <c r="U37" t="s">
        <v>178</v>
      </c>
      <c r="V37">
        <v>33835</v>
      </c>
    </row>
    <row r="38" spans="1:22">
      <c r="A38">
        <v>5356</v>
      </c>
      <c r="B38" t="s">
        <v>2328</v>
      </c>
      <c r="C38">
        <v>5697</v>
      </c>
      <c r="D38" t="s">
        <v>2197</v>
      </c>
      <c r="E38" t="s">
        <v>2329</v>
      </c>
      <c r="F38">
        <v>202108</v>
      </c>
      <c r="G38" t="s">
        <v>184</v>
      </c>
      <c r="H38">
        <v>1645770</v>
      </c>
      <c r="O38">
        <v>5356</v>
      </c>
      <c r="P38" t="s">
        <v>2328</v>
      </c>
      <c r="Q38">
        <v>5697</v>
      </c>
      <c r="R38" t="s">
        <v>2197</v>
      </c>
      <c r="S38" t="s">
        <v>2329</v>
      </c>
      <c r="T38">
        <v>202202</v>
      </c>
      <c r="U38" t="s">
        <v>180</v>
      </c>
      <c r="V38">
        <v>29266</v>
      </c>
    </row>
    <row r="39" spans="1:22">
      <c r="A39">
        <v>5356</v>
      </c>
      <c r="B39" t="s">
        <v>2328</v>
      </c>
      <c r="C39">
        <v>5697</v>
      </c>
      <c r="D39" t="s">
        <v>2197</v>
      </c>
      <c r="E39" t="s">
        <v>2329</v>
      </c>
      <c r="F39">
        <v>202108</v>
      </c>
      <c r="G39" t="s">
        <v>192</v>
      </c>
      <c r="H39">
        <v>0</v>
      </c>
      <c r="O39">
        <v>5356</v>
      </c>
      <c r="P39" t="s">
        <v>2328</v>
      </c>
      <c r="Q39">
        <v>5697</v>
      </c>
      <c r="R39" t="s">
        <v>2197</v>
      </c>
      <c r="S39" t="s">
        <v>2329</v>
      </c>
      <c r="T39">
        <v>202202</v>
      </c>
      <c r="U39" t="s">
        <v>182</v>
      </c>
      <c r="V39">
        <v>14119921</v>
      </c>
    </row>
    <row r="40" spans="1:22">
      <c r="A40">
        <v>5356</v>
      </c>
      <c r="B40" t="s">
        <v>2328</v>
      </c>
      <c r="C40">
        <v>5697</v>
      </c>
      <c r="D40" t="s">
        <v>2197</v>
      </c>
      <c r="E40" t="s">
        <v>2329</v>
      </c>
      <c r="F40">
        <v>202108</v>
      </c>
      <c r="G40" t="s">
        <v>2166</v>
      </c>
      <c r="H40">
        <v>14786.67</v>
      </c>
      <c r="O40">
        <v>5356</v>
      </c>
      <c r="P40" t="s">
        <v>2328</v>
      </c>
      <c r="Q40">
        <v>5697</v>
      </c>
      <c r="R40" t="s">
        <v>2197</v>
      </c>
      <c r="S40" t="s">
        <v>2329</v>
      </c>
      <c r="T40">
        <v>202202</v>
      </c>
      <c r="U40" t="s">
        <v>184</v>
      </c>
      <c r="V40">
        <v>1573370</v>
      </c>
    </row>
    <row r="41" spans="1:22">
      <c r="A41">
        <v>5356</v>
      </c>
      <c r="B41" t="s">
        <v>2328</v>
      </c>
      <c r="C41">
        <v>5697</v>
      </c>
      <c r="D41" t="s">
        <v>2197</v>
      </c>
      <c r="E41" t="s">
        <v>2329</v>
      </c>
      <c r="F41">
        <v>202108</v>
      </c>
      <c r="G41" t="s">
        <v>186</v>
      </c>
      <c r="H41">
        <v>274388</v>
      </c>
      <c r="O41">
        <v>5356</v>
      </c>
      <c r="P41" t="s">
        <v>2328</v>
      </c>
      <c r="Q41">
        <v>5697</v>
      </c>
      <c r="R41" t="s">
        <v>2197</v>
      </c>
      <c r="S41" t="s">
        <v>2329</v>
      </c>
      <c r="T41">
        <v>202203</v>
      </c>
      <c r="U41" t="s">
        <v>190</v>
      </c>
      <c r="V41">
        <v>0</v>
      </c>
    </row>
    <row r="42" spans="1:22">
      <c r="A42">
        <v>5356</v>
      </c>
      <c r="B42" t="s">
        <v>2328</v>
      </c>
      <c r="C42">
        <v>5697</v>
      </c>
      <c r="D42" t="s">
        <v>2197</v>
      </c>
      <c r="E42" t="s">
        <v>2329</v>
      </c>
      <c r="F42">
        <v>202108</v>
      </c>
      <c r="G42" t="s">
        <v>2165</v>
      </c>
      <c r="H42">
        <v>193.46</v>
      </c>
      <c r="O42">
        <v>5356</v>
      </c>
      <c r="P42" t="s">
        <v>2328</v>
      </c>
      <c r="Q42">
        <v>5697</v>
      </c>
      <c r="R42" t="s">
        <v>2197</v>
      </c>
      <c r="S42" t="s">
        <v>2329</v>
      </c>
      <c r="T42">
        <v>202203</v>
      </c>
      <c r="U42" t="s">
        <v>191</v>
      </c>
      <c r="V42">
        <v>0</v>
      </c>
    </row>
    <row r="43" spans="1:22">
      <c r="A43">
        <v>5356</v>
      </c>
      <c r="B43" t="s">
        <v>2328</v>
      </c>
      <c r="C43">
        <v>5697</v>
      </c>
      <c r="D43" t="s">
        <v>2197</v>
      </c>
      <c r="E43" t="s">
        <v>2329</v>
      </c>
      <c r="F43">
        <v>202108</v>
      </c>
      <c r="G43" t="s">
        <v>2162</v>
      </c>
      <c r="H43">
        <v>8.59</v>
      </c>
      <c r="O43">
        <v>5356</v>
      </c>
      <c r="P43" t="s">
        <v>2328</v>
      </c>
      <c r="Q43">
        <v>5697</v>
      </c>
      <c r="R43" t="s">
        <v>2197</v>
      </c>
      <c r="S43" t="s">
        <v>2329</v>
      </c>
      <c r="T43">
        <v>202203</v>
      </c>
      <c r="U43" t="s">
        <v>178</v>
      </c>
      <c r="V43">
        <v>34070</v>
      </c>
    </row>
    <row r="44" spans="1:22">
      <c r="A44">
        <v>5356</v>
      </c>
      <c r="B44" t="s">
        <v>2328</v>
      </c>
      <c r="C44">
        <v>5697</v>
      </c>
      <c r="D44" t="s">
        <v>2197</v>
      </c>
      <c r="E44" t="s">
        <v>2329</v>
      </c>
      <c r="F44">
        <v>202108</v>
      </c>
      <c r="G44" t="s">
        <v>2163</v>
      </c>
      <c r="H44">
        <v>14.57</v>
      </c>
      <c r="O44">
        <v>5356</v>
      </c>
      <c r="P44" t="s">
        <v>2328</v>
      </c>
      <c r="Q44">
        <v>5697</v>
      </c>
      <c r="R44" t="s">
        <v>2197</v>
      </c>
      <c r="S44" t="s">
        <v>2329</v>
      </c>
      <c r="T44">
        <v>202203</v>
      </c>
      <c r="U44" t="s">
        <v>180</v>
      </c>
      <c r="V44">
        <v>28190</v>
      </c>
    </row>
    <row r="45" spans="1:22">
      <c r="A45">
        <v>5356</v>
      </c>
      <c r="B45" t="s">
        <v>2328</v>
      </c>
      <c r="C45">
        <v>5697</v>
      </c>
      <c r="D45" t="s">
        <v>2197</v>
      </c>
      <c r="E45" t="s">
        <v>2329</v>
      </c>
      <c r="F45">
        <v>202108</v>
      </c>
      <c r="G45" t="s">
        <v>2164</v>
      </c>
      <c r="H45">
        <v>2.6</v>
      </c>
      <c r="O45">
        <v>5356</v>
      </c>
      <c r="P45" t="s">
        <v>2328</v>
      </c>
      <c r="Q45">
        <v>5697</v>
      </c>
      <c r="R45" t="s">
        <v>2197</v>
      </c>
      <c r="S45" t="s">
        <v>2329</v>
      </c>
      <c r="T45">
        <v>202203</v>
      </c>
      <c r="U45" t="s">
        <v>182</v>
      </c>
      <c r="V45">
        <v>15287865</v>
      </c>
    </row>
    <row r="46" spans="1:22">
      <c r="A46">
        <v>5356</v>
      </c>
      <c r="B46" t="s">
        <v>2328</v>
      </c>
      <c r="C46">
        <v>5697</v>
      </c>
      <c r="D46" t="s">
        <v>2197</v>
      </c>
      <c r="E46" t="s">
        <v>2329</v>
      </c>
      <c r="F46">
        <v>202108</v>
      </c>
      <c r="G46" t="s">
        <v>2167</v>
      </c>
      <c r="H46">
        <v>3696667.8</v>
      </c>
      <c r="O46">
        <v>5356</v>
      </c>
      <c r="P46" t="s">
        <v>2328</v>
      </c>
      <c r="Q46">
        <v>5697</v>
      </c>
      <c r="R46" t="s">
        <v>2197</v>
      </c>
      <c r="S46" t="s">
        <v>2329</v>
      </c>
      <c r="T46">
        <v>202203</v>
      </c>
      <c r="U46" t="s">
        <v>184</v>
      </c>
      <c r="V46">
        <v>1699857</v>
      </c>
    </row>
    <row r="47" spans="1:22">
      <c r="A47">
        <v>5356</v>
      </c>
      <c r="B47" t="s">
        <v>2328</v>
      </c>
      <c r="C47">
        <v>5697</v>
      </c>
      <c r="D47" t="s">
        <v>2197</v>
      </c>
      <c r="E47" t="s">
        <v>2329</v>
      </c>
      <c r="F47">
        <v>202109</v>
      </c>
      <c r="G47" t="s">
        <v>190</v>
      </c>
      <c r="H47">
        <v>13878400</v>
      </c>
      <c r="O47">
        <v>5356</v>
      </c>
      <c r="P47" t="s">
        <v>2328</v>
      </c>
      <c r="Q47">
        <v>5697</v>
      </c>
      <c r="R47" t="s">
        <v>2197</v>
      </c>
      <c r="S47" t="s">
        <v>2329</v>
      </c>
      <c r="T47">
        <v>202204</v>
      </c>
      <c r="U47" t="s">
        <v>190</v>
      </c>
      <c r="V47">
        <v>0</v>
      </c>
    </row>
    <row r="48" spans="1:22">
      <c r="A48">
        <v>5356</v>
      </c>
      <c r="B48" t="s">
        <v>2328</v>
      </c>
      <c r="C48">
        <v>5697</v>
      </c>
      <c r="D48" t="s">
        <v>2197</v>
      </c>
      <c r="E48" t="s">
        <v>2329</v>
      </c>
      <c r="F48">
        <v>202109</v>
      </c>
      <c r="G48" t="s">
        <v>191</v>
      </c>
      <c r="H48">
        <v>1581307</v>
      </c>
      <c r="O48">
        <v>5356</v>
      </c>
      <c r="P48" t="s">
        <v>2328</v>
      </c>
      <c r="Q48">
        <v>5697</v>
      </c>
      <c r="R48" t="s">
        <v>2197</v>
      </c>
      <c r="S48" t="s">
        <v>2329</v>
      </c>
      <c r="T48">
        <v>202204</v>
      </c>
      <c r="U48" t="s">
        <v>191</v>
      </c>
      <c r="V48">
        <v>0</v>
      </c>
    </row>
    <row r="49" spans="1:22">
      <c r="A49">
        <v>5356</v>
      </c>
      <c r="B49" t="s">
        <v>2328</v>
      </c>
      <c r="C49">
        <v>5697</v>
      </c>
      <c r="D49" t="s">
        <v>2197</v>
      </c>
      <c r="E49" t="s">
        <v>2329</v>
      </c>
      <c r="F49">
        <v>202109</v>
      </c>
      <c r="G49" t="s">
        <v>176</v>
      </c>
      <c r="H49">
        <v>0</v>
      </c>
      <c r="O49">
        <v>5356</v>
      </c>
      <c r="P49" t="s">
        <v>2328</v>
      </c>
      <c r="Q49">
        <v>5697</v>
      </c>
      <c r="R49" t="s">
        <v>2197</v>
      </c>
      <c r="S49" t="s">
        <v>2329</v>
      </c>
      <c r="T49">
        <v>202204</v>
      </c>
      <c r="U49" t="s">
        <v>178</v>
      </c>
      <c r="V49">
        <v>32021</v>
      </c>
    </row>
    <row r="50" spans="1:22">
      <c r="A50">
        <v>5356</v>
      </c>
      <c r="B50" t="s">
        <v>2328</v>
      </c>
      <c r="C50">
        <v>5697</v>
      </c>
      <c r="D50" t="s">
        <v>2197</v>
      </c>
      <c r="E50" t="s">
        <v>2329</v>
      </c>
      <c r="F50">
        <v>202109</v>
      </c>
      <c r="G50" t="s">
        <v>178</v>
      </c>
      <c r="H50">
        <v>31315</v>
      </c>
      <c r="O50">
        <v>5356</v>
      </c>
      <c r="P50" t="s">
        <v>2328</v>
      </c>
      <c r="Q50">
        <v>5697</v>
      </c>
      <c r="R50" t="s">
        <v>2197</v>
      </c>
      <c r="S50" t="s">
        <v>2329</v>
      </c>
      <c r="T50">
        <v>202204</v>
      </c>
      <c r="U50" t="s">
        <v>180</v>
      </c>
      <c r="V50">
        <v>26779</v>
      </c>
    </row>
    <row r="51" spans="1:22">
      <c r="A51">
        <v>5356</v>
      </c>
      <c r="B51" t="s">
        <v>2328</v>
      </c>
      <c r="C51">
        <v>5697</v>
      </c>
      <c r="D51" t="s">
        <v>2197</v>
      </c>
      <c r="E51" t="s">
        <v>2329</v>
      </c>
      <c r="F51">
        <v>202109</v>
      </c>
      <c r="G51" t="s">
        <v>180</v>
      </c>
      <c r="H51">
        <v>26947</v>
      </c>
      <c r="O51">
        <v>5356</v>
      </c>
      <c r="P51" t="s">
        <v>2328</v>
      </c>
      <c r="Q51">
        <v>5697</v>
      </c>
      <c r="R51" t="s">
        <v>2197</v>
      </c>
      <c r="S51" t="s">
        <v>2329</v>
      </c>
      <c r="T51">
        <v>202204</v>
      </c>
      <c r="U51" t="s">
        <v>182</v>
      </c>
      <c r="V51">
        <v>13547116</v>
      </c>
    </row>
    <row r="52" spans="1:22">
      <c r="A52">
        <v>5356</v>
      </c>
      <c r="B52" t="s">
        <v>2328</v>
      </c>
      <c r="C52">
        <v>5697</v>
      </c>
      <c r="D52" t="s">
        <v>2197</v>
      </c>
      <c r="E52" t="s">
        <v>2329</v>
      </c>
      <c r="F52">
        <v>202109</v>
      </c>
      <c r="G52" t="s">
        <v>182</v>
      </c>
      <c r="H52">
        <v>14110135</v>
      </c>
      <c r="O52">
        <v>5356</v>
      </c>
      <c r="P52" t="s">
        <v>2328</v>
      </c>
      <c r="Q52">
        <v>5697</v>
      </c>
      <c r="R52" t="s">
        <v>2197</v>
      </c>
      <c r="S52" t="s">
        <v>2329</v>
      </c>
      <c r="T52">
        <v>202204</v>
      </c>
      <c r="U52" t="s">
        <v>184</v>
      </c>
      <c r="V52">
        <v>1415467</v>
      </c>
    </row>
    <row r="53" spans="1:22">
      <c r="A53">
        <v>5356</v>
      </c>
      <c r="B53" t="s">
        <v>2328</v>
      </c>
      <c r="C53">
        <v>5697</v>
      </c>
      <c r="D53" t="s">
        <v>2197</v>
      </c>
      <c r="E53" t="s">
        <v>2329</v>
      </c>
      <c r="F53">
        <v>202109</v>
      </c>
      <c r="G53" t="s">
        <v>184</v>
      </c>
      <c r="H53">
        <v>1576646</v>
      </c>
      <c r="O53">
        <v>5356</v>
      </c>
      <c r="P53" t="s">
        <v>2328</v>
      </c>
      <c r="Q53">
        <v>5697</v>
      </c>
      <c r="R53" t="s">
        <v>2197</v>
      </c>
      <c r="S53" t="s">
        <v>2329</v>
      </c>
      <c r="T53">
        <v>202205</v>
      </c>
      <c r="U53" t="s">
        <v>190</v>
      </c>
      <c r="V53">
        <v>0</v>
      </c>
    </row>
    <row r="54" spans="1:22">
      <c r="A54">
        <v>5356</v>
      </c>
      <c r="B54" t="s">
        <v>2328</v>
      </c>
      <c r="C54">
        <v>5697</v>
      </c>
      <c r="D54" t="s">
        <v>2197</v>
      </c>
      <c r="E54" t="s">
        <v>2329</v>
      </c>
      <c r="F54">
        <v>202109</v>
      </c>
      <c r="G54" t="s">
        <v>192</v>
      </c>
      <c r="H54">
        <v>0</v>
      </c>
      <c r="O54">
        <v>5356</v>
      </c>
      <c r="P54" t="s">
        <v>2328</v>
      </c>
      <c r="Q54">
        <v>5697</v>
      </c>
      <c r="R54" t="s">
        <v>2197</v>
      </c>
      <c r="S54" t="s">
        <v>2329</v>
      </c>
      <c r="T54">
        <v>202205</v>
      </c>
      <c r="U54" t="s">
        <v>191</v>
      </c>
      <c r="V54">
        <v>0</v>
      </c>
    </row>
    <row r="55" spans="1:22">
      <c r="A55">
        <v>5356</v>
      </c>
      <c r="B55" t="s">
        <v>2328</v>
      </c>
      <c r="C55">
        <v>5697</v>
      </c>
      <c r="D55" t="s">
        <v>2197</v>
      </c>
      <c r="E55" t="s">
        <v>2329</v>
      </c>
      <c r="F55">
        <v>202109</v>
      </c>
      <c r="G55" t="s">
        <v>2166</v>
      </c>
      <c r="H55">
        <v>99815.7</v>
      </c>
      <c r="O55">
        <v>5356</v>
      </c>
      <c r="P55" t="s">
        <v>2328</v>
      </c>
      <c r="Q55">
        <v>5697</v>
      </c>
      <c r="R55" t="s">
        <v>2197</v>
      </c>
      <c r="S55" t="s">
        <v>2329</v>
      </c>
      <c r="T55">
        <v>202205</v>
      </c>
      <c r="U55" t="s">
        <v>178</v>
      </c>
      <c r="V55">
        <v>30610</v>
      </c>
    </row>
    <row r="56" spans="1:22">
      <c r="A56">
        <v>5356</v>
      </c>
      <c r="B56" t="s">
        <v>2328</v>
      </c>
      <c r="C56">
        <v>5697</v>
      </c>
      <c r="D56" t="s">
        <v>2197</v>
      </c>
      <c r="E56" t="s">
        <v>2329</v>
      </c>
      <c r="F56">
        <v>202109</v>
      </c>
      <c r="G56" t="s">
        <v>186</v>
      </c>
      <c r="H56">
        <v>274328</v>
      </c>
      <c r="O56">
        <v>5356</v>
      </c>
      <c r="P56" t="s">
        <v>2328</v>
      </c>
      <c r="Q56">
        <v>5697</v>
      </c>
      <c r="R56" t="s">
        <v>2197</v>
      </c>
      <c r="S56" t="s">
        <v>2329</v>
      </c>
      <c r="T56">
        <v>202205</v>
      </c>
      <c r="U56" t="s">
        <v>180</v>
      </c>
      <c r="V56">
        <v>26678</v>
      </c>
    </row>
    <row r="57" spans="1:22">
      <c r="A57">
        <v>5356</v>
      </c>
      <c r="B57" t="s">
        <v>2328</v>
      </c>
      <c r="C57">
        <v>5697</v>
      </c>
      <c r="D57" t="s">
        <v>2197</v>
      </c>
      <c r="E57" t="s">
        <v>2329</v>
      </c>
      <c r="F57">
        <v>202109</v>
      </c>
      <c r="G57" t="s">
        <v>2165</v>
      </c>
      <c r="H57">
        <v>194.4</v>
      </c>
      <c r="O57">
        <v>5356</v>
      </c>
      <c r="P57" t="s">
        <v>2328</v>
      </c>
      <c r="Q57">
        <v>5697</v>
      </c>
      <c r="R57" t="s">
        <v>2197</v>
      </c>
      <c r="S57" t="s">
        <v>2329</v>
      </c>
      <c r="T57">
        <v>202205</v>
      </c>
      <c r="U57" t="s">
        <v>182</v>
      </c>
      <c r="V57">
        <v>14052704</v>
      </c>
    </row>
    <row r="58" spans="1:22">
      <c r="A58">
        <v>5356</v>
      </c>
      <c r="B58" t="s">
        <v>2328</v>
      </c>
      <c r="C58">
        <v>5697</v>
      </c>
      <c r="D58" t="s">
        <v>2197</v>
      </c>
      <c r="E58" t="s">
        <v>2329</v>
      </c>
      <c r="F58">
        <v>202109</v>
      </c>
      <c r="G58" t="s">
        <v>2162</v>
      </c>
      <c r="H58">
        <v>8.6199999999999992</v>
      </c>
      <c r="O58">
        <v>5356</v>
      </c>
      <c r="P58" t="s">
        <v>2328</v>
      </c>
      <c r="Q58">
        <v>5697</v>
      </c>
      <c r="R58" t="s">
        <v>2197</v>
      </c>
      <c r="S58" t="s">
        <v>2329</v>
      </c>
      <c r="T58">
        <v>202205</v>
      </c>
      <c r="U58" t="s">
        <v>184</v>
      </c>
      <c r="V58">
        <v>1627810</v>
      </c>
    </row>
    <row r="59" spans="1:22">
      <c r="A59">
        <v>5356</v>
      </c>
      <c r="B59" t="s">
        <v>2328</v>
      </c>
      <c r="C59">
        <v>5697</v>
      </c>
      <c r="D59" t="s">
        <v>2197</v>
      </c>
      <c r="E59" t="s">
        <v>2329</v>
      </c>
      <c r="F59">
        <v>202109</v>
      </c>
      <c r="G59" t="s">
        <v>2163</v>
      </c>
      <c r="H59">
        <v>14.59</v>
      </c>
      <c r="O59">
        <v>5356</v>
      </c>
      <c r="P59" t="s">
        <v>2328</v>
      </c>
      <c r="Q59">
        <v>5697</v>
      </c>
      <c r="R59" t="s">
        <v>2197</v>
      </c>
      <c r="S59" t="s">
        <v>2329</v>
      </c>
      <c r="T59">
        <v>202206</v>
      </c>
      <c r="U59" t="s">
        <v>190</v>
      </c>
      <c r="V59">
        <v>0</v>
      </c>
    </row>
    <row r="60" spans="1:22">
      <c r="A60">
        <v>5356</v>
      </c>
      <c r="B60" t="s">
        <v>2328</v>
      </c>
      <c r="C60">
        <v>5697</v>
      </c>
      <c r="D60" t="s">
        <v>2197</v>
      </c>
      <c r="E60" t="s">
        <v>2329</v>
      </c>
      <c r="F60">
        <v>202109</v>
      </c>
      <c r="G60" t="s">
        <v>2164</v>
      </c>
      <c r="H60">
        <v>2.65</v>
      </c>
      <c r="O60">
        <v>5356</v>
      </c>
      <c r="P60" t="s">
        <v>2328</v>
      </c>
      <c r="Q60">
        <v>5697</v>
      </c>
      <c r="R60" t="s">
        <v>2197</v>
      </c>
      <c r="S60" t="s">
        <v>2329</v>
      </c>
      <c r="T60">
        <v>202206</v>
      </c>
      <c r="U60" t="s">
        <v>191</v>
      </c>
      <c r="V60">
        <v>0</v>
      </c>
    </row>
    <row r="61" spans="1:22">
      <c r="A61">
        <v>5356</v>
      </c>
      <c r="B61" t="s">
        <v>2328</v>
      </c>
      <c r="C61">
        <v>5697</v>
      </c>
      <c r="D61" t="s">
        <v>2197</v>
      </c>
      <c r="E61" t="s">
        <v>2329</v>
      </c>
      <c r="F61">
        <v>202109</v>
      </c>
      <c r="G61" t="s">
        <v>2167</v>
      </c>
      <c r="H61">
        <v>3809759.74</v>
      </c>
      <c r="O61">
        <v>5356</v>
      </c>
      <c r="P61" t="s">
        <v>2328</v>
      </c>
      <c r="Q61">
        <v>5697</v>
      </c>
      <c r="R61" t="s">
        <v>2197</v>
      </c>
      <c r="S61" t="s">
        <v>2329</v>
      </c>
      <c r="T61">
        <v>202206</v>
      </c>
      <c r="U61" t="s">
        <v>178</v>
      </c>
      <c r="V61">
        <v>31853</v>
      </c>
    </row>
    <row r="62" spans="1:22">
      <c r="A62">
        <v>5356</v>
      </c>
      <c r="B62" t="s">
        <v>2328</v>
      </c>
      <c r="C62">
        <v>5697</v>
      </c>
      <c r="D62" t="s">
        <v>2197</v>
      </c>
      <c r="E62" t="s">
        <v>2329</v>
      </c>
      <c r="F62">
        <v>202110</v>
      </c>
      <c r="G62" t="s">
        <v>190</v>
      </c>
      <c r="H62">
        <v>14295220</v>
      </c>
      <c r="O62">
        <v>5356</v>
      </c>
      <c r="P62" t="s">
        <v>2328</v>
      </c>
      <c r="Q62">
        <v>5697</v>
      </c>
      <c r="R62" t="s">
        <v>2197</v>
      </c>
      <c r="S62" t="s">
        <v>2329</v>
      </c>
      <c r="T62">
        <v>202206</v>
      </c>
      <c r="U62" t="s">
        <v>180</v>
      </c>
      <c r="V62">
        <v>27250</v>
      </c>
    </row>
    <row r="63" spans="1:22">
      <c r="A63">
        <v>5356</v>
      </c>
      <c r="B63" t="s">
        <v>2328</v>
      </c>
      <c r="C63">
        <v>5697</v>
      </c>
      <c r="D63" t="s">
        <v>2197</v>
      </c>
      <c r="E63" t="s">
        <v>2329</v>
      </c>
      <c r="F63">
        <v>202110</v>
      </c>
      <c r="G63" t="s">
        <v>191</v>
      </c>
      <c r="H63">
        <v>1559973</v>
      </c>
      <c r="O63">
        <v>5356</v>
      </c>
      <c r="P63" t="s">
        <v>2328</v>
      </c>
      <c r="Q63">
        <v>5697</v>
      </c>
      <c r="R63" t="s">
        <v>2197</v>
      </c>
      <c r="S63" t="s">
        <v>2329</v>
      </c>
      <c r="T63">
        <v>202206</v>
      </c>
      <c r="U63" t="s">
        <v>182</v>
      </c>
      <c r="V63">
        <v>13937649</v>
      </c>
    </row>
    <row r="64" spans="1:22">
      <c r="A64">
        <v>5356</v>
      </c>
      <c r="B64" t="s">
        <v>2328</v>
      </c>
      <c r="C64">
        <v>5697</v>
      </c>
      <c r="D64" t="s">
        <v>2197</v>
      </c>
      <c r="E64" t="s">
        <v>2329</v>
      </c>
      <c r="F64">
        <v>202110</v>
      </c>
      <c r="G64" t="s">
        <v>176</v>
      </c>
      <c r="H64">
        <v>0</v>
      </c>
      <c r="O64">
        <v>5356</v>
      </c>
      <c r="P64" t="s">
        <v>2328</v>
      </c>
      <c r="Q64">
        <v>5697</v>
      </c>
      <c r="R64" t="s">
        <v>2197</v>
      </c>
      <c r="S64" t="s">
        <v>2329</v>
      </c>
      <c r="T64">
        <v>202206</v>
      </c>
      <c r="U64" t="s">
        <v>184</v>
      </c>
      <c r="V64">
        <v>1587222</v>
      </c>
    </row>
    <row r="65" spans="1:22">
      <c r="A65">
        <v>5356</v>
      </c>
      <c r="B65" t="s">
        <v>2328</v>
      </c>
      <c r="C65">
        <v>5697</v>
      </c>
      <c r="D65" t="s">
        <v>2197</v>
      </c>
      <c r="E65" t="s">
        <v>2329</v>
      </c>
      <c r="F65">
        <v>202110</v>
      </c>
      <c r="G65" t="s">
        <v>178</v>
      </c>
      <c r="H65">
        <v>33365</v>
      </c>
      <c r="O65">
        <v>5356</v>
      </c>
      <c r="P65" t="s">
        <v>2328</v>
      </c>
      <c r="Q65">
        <v>5697</v>
      </c>
      <c r="R65" t="s">
        <v>2197</v>
      </c>
      <c r="S65" t="s">
        <v>2329</v>
      </c>
      <c r="T65">
        <v>202207</v>
      </c>
      <c r="U65" t="s">
        <v>190</v>
      </c>
      <c r="V65">
        <v>0</v>
      </c>
    </row>
    <row r="66" spans="1:22">
      <c r="A66">
        <v>5356</v>
      </c>
      <c r="B66" t="s">
        <v>2328</v>
      </c>
      <c r="C66">
        <v>5697</v>
      </c>
      <c r="D66" t="s">
        <v>2197</v>
      </c>
      <c r="E66" t="s">
        <v>2329</v>
      </c>
      <c r="F66">
        <v>202110</v>
      </c>
      <c r="G66" t="s">
        <v>180</v>
      </c>
      <c r="H66">
        <v>27754</v>
      </c>
      <c r="O66">
        <v>5356</v>
      </c>
      <c r="P66" t="s">
        <v>2328</v>
      </c>
      <c r="Q66">
        <v>5697</v>
      </c>
      <c r="R66" t="s">
        <v>2197</v>
      </c>
      <c r="S66" t="s">
        <v>2329</v>
      </c>
      <c r="T66">
        <v>202207</v>
      </c>
      <c r="U66" t="s">
        <v>191</v>
      </c>
      <c r="V66">
        <v>0</v>
      </c>
    </row>
    <row r="67" spans="1:22">
      <c r="A67">
        <v>5356</v>
      </c>
      <c r="B67" t="s">
        <v>2328</v>
      </c>
      <c r="C67">
        <v>5697</v>
      </c>
      <c r="D67" t="s">
        <v>2197</v>
      </c>
      <c r="E67" t="s">
        <v>2329</v>
      </c>
      <c r="F67">
        <v>202110</v>
      </c>
      <c r="G67" t="s">
        <v>182</v>
      </c>
      <c r="H67">
        <v>14481322</v>
      </c>
      <c r="O67">
        <v>5356</v>
      </c>
      <c r="P67" t="s">
        <v>2328</v>
      </c>
      <c r="Q67">
        <v>5697</v>
      </c>
      <c r="R67" t="s">
        <v>2197</v>
      </c>
      <c r="S67" t="s">
        <v>2329</v>
      </c>
      <c r="T67">
        <v>202207</v>
      </c>
      <c r="U67" t="s">
        <v>178</v>
      </c>
      <c r="V67">
        <v>31013</v>
      </c>
    </row>
    <row r="68" spans="1:22">
      <c r="A68">
        <v>5356</v>
      </c>
      <c r="B68" t="s">
        <v>2328</v>
      </c>
      <c r="C68">
        <v>5697</v>
      </c>
      <c r="D68" t="s">
        <v>2197</v>
      </c>
      <c r="E68" t="s">
        <v>2329</v>
      </c>
      <c r="F68">
        <v>202110</v>
      </c>
      <c r="G68" t="s">
        <v>184</v>
      </c>
      <c r="H68">
        <v>1551068</v>
      </c>
      <c r="O68">
        <v>5356</v>
      </c>
      <c r="P68" t="s">
        <v>2328</v>
      </c>
      <c r="Q68">
        <v>5697</v>
      </c>
      <c r="R68" t="s">
        <v>2197</v>
      </c>
      <c r="S68" t="s">
        <v>2329</v>
      </c>
      <c r="T68">
        <v>202207</v>
      </c>
      <c r="U68" t="s">
        <v>180</v>
      </c>
      <c r="V68">
        <v>27283</v>
      </c>
    </row>
    <row r="69" spans="1:22">
      <c r="A69">
        <v>5356</v>
      </c>
      <c r="B69" t="s">
        <v>2328</v>
      </c>
      <c r="C69">
        <v>5697</v>
      </c>
      <c r="D69" t="s">
        <v>2197</v>
      </c>
      <c r="E69" t="s">
        <v>2329</v>
      </c>
      <c r="F69">
        <v>202110</v>
      </c>
      <c r="G69" t="s">
        <v>192</v>
      </c>
      <c r="H69">
        <v>0</v>
      </c>
      <c r="O69">
        <v>5356</v>
      </c>
      <c r="P69" t="s">
        <v>2328</v>
      </c>
      <c r="Q69">
        <v>5697</v>
      </c>
      <c r="R69" t="s">
        <v>2197</v>
      </c>
      <c r="S69" t="s">
        <v>2329</v>
      </c>
      <c r="T69">
        <v>202207</v>
      </c>
      <c r="U69" t="s">
        <v>182</v>
      </c>
      <c r="V69">
        <v>14446882</v>
      </c>
    </row>
    <row r="70" spans="1:22">
      <c r="A70">
        <v>5356</v>
      </c>
      <c r="B70" t="s">
        <v>2328</v>
      </c>
      <c r="C70">
        <v>5697</v>
      </c>
      <c r="D70" t="s">
        <v>2197</v>
      </c>
      <c r="E70" t="s">
        <v>2329</v>
      </c>
      <c r="F70">
        <v>202110</v>
      </c>
      <c r="G70" t="s">
        <v>2166</v>
      </c>
      <c r="H70">
        <v>158817.01999999999</v>
      </c>
      <c r="O70">
        <v>5356</v>
      </c>
      <c r="P70" t="s">
        <v>2328</v>
      </c>
      <c r="Q70">
        <v>5697</v>
      </c>
      <c r="R70" t="s">
        <v>2197</v>
      </c>
      <c r="S70" t="s">
        <v>2329</v>
      </c>
      <c r="T70">
        <v>202207</v>
      </c>
      <c r="U70" t="s">
        <v>184</v>
      </c>
      <c r="V70">
        <v>1607919</v>
      </c>
    </row>
    <row r="71" spans="1:22">
      <c r="A71">
        <v>5356</v>
      </c>
      <c r="B71" t="s">
        <v>2328</v>
      </c>
      <c r="C71">
        <v>5697</v>
      </c>
      <c r="D71" t="s">
        <v>2197</v>
      </c>
      <c r="E71" t="s">
        <v>2329</v>
      </c>
      <c r="F71">
        <v>202110</v>
      </c>
      <c r="G71" t="s">
        <v>186</v>
      </c>
      <c r="H71">
        <v>292094</v>
      </c>
      <c r="O71">
        <v>5356</v>
      </c>
      <c r="P71" t="s">
        <v>2328</v>
      </c>
      <c r="Q71">
        <v>5697</v>
      </c>
      <c r="R71" t="s">
        <v>2197</v>
      </c>
      <c r="S71" t="s">
        <v>2329</v>
      </c>
      <c r="T71">
        <v>202208</v>
      </c>
      <c r="U71" t="s">
        <v>190</v>
      </c>
      <c r="V71">
        <v>0</v>
      </c>
    </row>
    <row r="72" spans="1:22">
      <c r="A72">
        <v>5356</v>
      </c>
      <c r="B72" t="s">
        <v>2328</v>
      </c>
      <c r="C72">
        <v>5697</v>
      </c>
      <c r="D72" t="s">
        <v>2197</v>
      </c>
      <c r="E72" t="s">
        <v>2329</v>
      </c>
      <c r="F72">
        <v>202110</v>
      </c>
      <c r="G72" t="s">
        <v>2165</v>
      </c>
      <c r="H72">
        <v>221.53</v>
      </c>
      <c r="O72">
        <v>5356</v>
      </c>
      <c r="P72" t="s">
        <v>2328</v>
      </c>
      <c r="Q72">
        <v>5697</v>
      </c>
      <c r="R72" t="s">
        <v>2197</v>
      </c>
      <c r="S72" t="s">
        <v>2329</v>
      </c>
      <c r="T72">
        <v>202208</v>
      </c>
      <c r="U72" t="s">
        <v>191</v>
      </c>
      <c r="V72">
        <v>0</v>
      </c>
    </row>
    <row r="73" spans="1:22">
      <c r="A73">
        <v>5356</v>
      </c>
      <c r="B73" t="s">
        <v>2328</v>
      </c>
      <c r="C73">
        <v>5697</v>
      </c>
      <c r="D73" t="s">
        <v>2197</v>
      </c>
      <c r="E73" t="s">
        <v>2329</v>
      </c>
      <c r="F73">
        <v>202110</v>
      </c>
      <c r="G73" t="s">
        <v>2162</v>
      </c>
      <c r="H73">
        <v>9.33</v>
      </c>
      <c r="O73">
        <v>5356</v>
      </c>
      <c r="P73" t="s">
        <v>2328</v>
      </c>
      <c r="Q73">
        <v>5697</v>
      </c>
      <c r="R73" t="s">
        <v>2197</v>
      </c>
      <c r="S73" t="s">
        <v>2329</v>
      </c>
      <c r="T73">
        <v>202208</v>
      </c>
      <c r="U73" t="s">
        <v>178</v>
      </c>
      <c r="V73">
        <v>31214</v>
      </c>
    </row>
    <row r="74" spans="1:22">
      <c r="A74">
        <v>5356</v>
      </c>
      <c r="B74" t="s">
        <v>2328</v>
      </c>
      <c r="C74">
        <v>5697</v>
      </c>
      <c r="D74" t="s">
        <v>2197</v>
      </c>
      <c r="E74" t="s">
        <v>2329</v>
      </c>
      <c r="F74">
        <v>202110</v>
      </c>
      <c r="G74" t="s">
        <v>2163</v>
      </c>
      <c r="H74">
        <v>15.29</v>
      </c>
      <c r="O74">
        <v>5356</v>
      </c>
      <c r="P74" t="s">
        <v>2328</v>
      </c>
      <c r="Q74">
        <v>5697</v>
      </c>
      <c r="R74" t="s">
        <v>2197</v>
      </c>
      <c r="S74" t="s">
        <v>2329</v>
      </c>
      <c r="T74">
        <v>202208</v>
      </c>
      <c r="U74" t="s">
        <v>180</v>
      </c>
      <c r="V74">
        <v>27182</v>
      </c>
    </row>
    <row r="75" spans="1:22">
      <c r="A75">
        <v>5356</v>
      </c>
      <c r="B75" t="s">
        <v>2328</v>
      </c>
      <c r="C75">
        <v>5697</v>
      </c>
      <c r="D75" t="s">
        <v>2197</v>
      </c>
      <c r="E75" t="s">
        <v>2329</v>
      </c>
      <c r="F75">
        <v>202110</v>
      </c>
      <c r="G75" t="s">
        <v>2164</v>
      </c>
      <c r="H75">
        <v>4.17</v>
      </c>
      <c r="O75">
        <v>5356</v>
      </c>
      <c r="P75" t="s">
        <v>2328</v>
      </c>
      <c r="Q75">
        <v>5697</v>
      </c>
      <c r="R75" t="s">
        <v>2197</v>
      </c>
      <c r="S75" t="s">
        <v>2329</v>
      </c>
      <c r="T75">
        <v>202208</v>
      </c>
      <c r="U75" t="s">
        <v>182</v>
      </c>
      <c r="V75">
        <v>14614790</v>
      </c>
    </row>
    <row r="76" spans="1:22">
      <c r="A76">
        <v>5356</v>
      </c>
      <c r="B76" t="s">
        <v>2328</v>
      </c>
      <c r="C76">
        <v>5697</v>
      </c>
      <c r="D76" t="s">
        <v>2197</v>
      </c>
      <c r="E76" t="s">
        <v>2329</v>
      </c>
      <c r="F76">
        <v>202110</v>
      </c>
      <c r="G76" t="s">
        <v>2167</v>
      </c>
      <c r="H76">
        <v>4473719.09</v>
      </c>
      <c r="O76">
        <v>5356</v>
      </c>
      <c r="P76" t="s">
        <v>2328</v>
      </c>
      <c r="Q76">
        <v>5697</v>
      </c>
      <c r="R76" t="s">
        <v>2197</v>
      </c>
      <c r="S76" t="s">
        <v>2329</v>
      </c>
      <c r="T76">
        <v>202208</v>
      </c>
      <c r="U76" t="s">
        <v>184</v>
      </c>
      <c r="V76">
        <v>1780237</v>
      </c>
    </row>
    <row r="77" spans="1:22">
      <c r="A77">
        <v>5356</v>
      </c>
      <c r="B77" t="s">
        <v>2328</v>
      </c>
      <c r="C77">
        <v>5697</v>
      </c>
      <c r="D77" t="s">
        <v>2197</v>
      </c>
      <c r="E77" t="s">
        <v>2329</v>
      </c>
      <c r="F77">
        <v>202111</v>
      </c>
      <c r="G77" t="s">
        <v>190</v>
      </c>
      <c r="H77">
        <v>0</v>
      </c>
    </row>
    <row r="78" spans="1:22">
      <c r="A78">
        <v>5356</v>
      </c>
      <c r="B78" t="s">
        <v>2328</v>
      </c>
      <c r="C78">
        <v>5697</v>
      </c>
      <c r="D78" t="s">
        <v>2197</v>
      </c>
      <c r="E78" t="s">
        <v>2329</v>
      </c>
      <c r="F78">
        <v>202111</v>
      </c>
      <c r="G78" t="s">
        <v>191</v>
      </c>
      <c r="H78">
        <v>0</v>
      </c>
    </row>
    <row r="79" spans="1:22">
      <c r="A79">
        <v>5356</v>
      </c>
      <c r="B79" t="s">
        <v>2328</v>
      </c>
      <c r="C79">
        <v>5697</v>
      </c>
      <c r="D79" t="s">
        <v>2197</v>
      </c>
      <c r="E79" t="s">
        <v>2329</v>
      </c>
      <c r="F79">
        <v>202111</v>
      </c>
      <c r="G79" t="s">
        <v>176</v>
      </c>
      <c r="H79">
        <v>0</v>
      </c>
    </row>
    <row r="80" spans="1:22">
      <c r="A80">
        <v>5356</v>
      </c>
      <c r="B80" t="s">
        <v>2328</v>
      </c>
      <c r="C80">
        <v>5697</v>
      </c>
      <c r="D80" t="s">
        <v>2197</v>
      </c>
      <c r="E80" t="s">
        <v>2329</v>
      </c>
      <c r="F80">
        <v>202111</v>
      </c>
      <c r="G80" t="s">
        <v>178</v>
      </c>
      <c r="H80">
        <v>33835</v>
      </c>
    </row>
    <row r="81" spans="1:8">
      <c r="A81">
        <v>5356</v>
      </c>
      <c r="B81" t="s">
        <v>2328</v>
      </c>
      <c r="C81">
        <v>5697</v>
      </c>
      <c r="D81" t="s">
        <v>2197</v>
      </c>
      <c r="E81" t="s">
        <v>2329</v>
      </c>
      <c r="F81">
        <v>202111</v>
      </c>
      <c r="G81" t="s">
        <v>180</v>
      </c>
      <c r="H81">
        <v>29366</v>
      </c>
    </row>
    <row r="82" spans="1:8">
      <c r="A82">
        <v>5356</v>
      </c>
      <c r="B82" t="s">
        <v>2328</v>
      </c>
      <c r="C82">
        <v>5697</v>
      </c>
      <c r="D82" t="s">
        <v>2197</v>
      </c>
      <c r="E82" t="s">
        <v>2329</v>
      </c>
      <c r="F82">
        <v>202111</v>
      </c>
      <c r="G82" t="s">
        <v>182</v>
      </c>
      <c r="H82">
        <v>14820355</v>
      </c>
    </row>
    <row r="83" spans="1:8">
      <c r="A83">
        <v>5356</v>
      </c>
      <c r="B83" t="s">
        <v>2328</v>
      </c>
      <c r="C83">
        <v>5697</v>
      </c>
      <c r="D83" t="s">
        <v>2197</v>
      </c>
      <c r="E83" t="s">
        <v>2329</v>
      </c>
      <c r="F83">
        <v>202111</v>
      </c>
      <c r="G83" t="s">
        <v>184</v>
      </c>
      <c r="H83">
        <v>1582929</v>
      </c>
    </row>
    <row r="84" spans="1:8">
      <c r="A84">
        <v>5356</v>
      </c>
      <c r="B84" t="s">
        <v>2328</v>
      </c>
      <c r="C84">
        <v>5697</v>
      </c>
      <c r="D84" t="s">
        <v>2197</v>
      </c>
      <c r="E84" t="s">
        <v>2329</v>
      </c>
      <c r="F84">
        <v>202111</v>
      </c>
      <c r="G84" t="s">
        <v>192</v>
      </c>
      <c r="H84">
        <v>0</v>
      </c>
    </row>
    <row r="85" spans="1:8">
      <c r="A85">
        <v>5356</v>
      </c>
      <c r="B85" t="s">
        <v>2328</v>
      </c>
      <c r="C85">
        <v>5697</v>
      </c>
      <c r="D85" t="s">
        <v>2197</v>
      </c>
      <c r="E85" t="s">
        <v>2329</v>
      </c>
      <c r="F85">
        <v>202111</v>
      </c>
      <c r="G85" t="s">
        <v>2166</v>
      </c>
      <c r="H85">
        <v>32368.37</v>
      </c>
    </row>
    <row r="86" spans="1:8">
      <c r="A86">
        <v>5356</v>
      </c>
      <c r="B86" t="s">
        <v>2328</v>
      </c>
      <c r="C86">
        <v>5697</v>
      </c>
      <c r="D86" t="s">
        <v>2197</v>
      </c>
      <c r="E86" t="s">
        <v>2329</v>
      </c>
      <c r="F86">
        <v>202111</v>
      </c>
      <c r="G86" t="s">
        <v>186</v>
      </c>
      <c r="H86">
        <v>0</v>
      </c>
    </row>
    <row r="87" spans="1:8">
      <c r="A87">
        <v>5356</v>
      </c>
      <c r="B87" t="s">
        <v>2328</v>
      </c>
      <c r="C87">
        <v>5697</v>
      </c>
      <c r="D87" t="s">
        <v>2197</v>
      </c>
      <c r="E87" t="s">
        <v>2329</v>
      </c>
      <c r="F87">
        <v>202111</v>
      </c>
      <c r="G87" t="s">
        <v>2165</v>
      </c>
      <c r="H87">
        <v>0</v>
      </c>
    </row>
    <row r="88" spans="1:8">
      <c r="A88">
        <v>5356</v>
      </c>
      <c r="B88" t="s">
        <v>2328</v>
      </c>
      <c r="C88">
        <v>5697</v>
      </c>
      <c r="D88" t="s">
        <v>2197</v>
      </c>
      <c r="E88" t="s">
        <v>2329</v>
      </c>
      <c r="F88">
        <v>202111</v>
      </c>
      <c r="G88" t="s">
        <v>2162</v>
      </c>
      <c r="H88">
        <v>9.33</v>
      </c>
    </row>
    <row r="89" spans="1:8">
      <c r="A89">
        <v>5356</v>
      </c>
      <c r="B89" t="s">
        <v>2328</v>
      </c>
      <c r="C89">
        <v>5697</v>
      </c>
      <c r="D89" t="s">
        <v>2197</v>
      </c>
      <c r="E89" t="s">
        <v>2329</v>
      </c>
      <c r="F89">
        <v>202111</v>
      </c>
      <c r="G89" t="s">
        <v>2163</v>
      </c>
      <c r="H89">
        <v>15.29</v>
      </c>
    </row>
    <row r="90" spans="1:8">
      <c r="A90">
        <v>5356</v>
      </c>
      <c r="B90" t="s">
        <v>2328</v>
      </c>
      <c r="C90">
        <v>5697</v>
      </c>
      <c r="D90" t="s">
        <v>2197</v>
      </c>
      <c r="E90" t="s">
        <v>2329</v>
      </c>
      <c r="F90">
        <v>202111</v>
      </c>
      <c r="G90" t="s">
        <v>2164</v>
      </c>
      <c r="H90">
        <v>4.17</v>
      </c>
    </row>
    <row r="91" spans="1:8">
      <c r="A91">
        <v>5356</v>
      </c>
      <c r="B91" t="s">
        <v>2328</v>
      </c>
      <c r="C91">
        <v>5697</v>
      </c>
      <c r="D91" t="s">
        <v>2197</v>
      </c>
      <c r="E91" t="s">
        <v>2329</v>
      </c>
      <c r="F91">
        <v>202111</v>
      </c>
      <c r="G91" t="s">
        <v>2167</v>
      </c>
      <c r="H91">
        <v>865464.72</v>
      </c>
    </row>
    <row r="92" spans="1:8">
      <c r="A92">
        <v>5356</v>
      </c>
      <c r="B92" t="s">
        <v>2328</v>
      </c>
      <c r="C92">
        <v>5697</v>
      </c>
      <c r="D92" t="s">
        <v>2197</v>
      </c>
      <c r="E92" t="s">
        <v>2329</v>
      </c>
      <c r="F92">
        <v>202112</v>
      </c>
      <c r="G92" t="s">
        <v>190</v>
      </c>
      <c r="H92">
        <v>0</v>
      </c>
    </row>
    <row r="93" spans="1:8">
      <c r="A93">
        <v>5356</v>
      </c>
      <c r="B93" t="s">
        <v>2328</v>
      </c>
      <c r="C93">
        <v>5697</v>
      </c>
      <c r="D93" t="s">
        <v>2197</v>
      </c>
      <c r="E93" t="s">
        <v>2329</v>
      </c>
      <c r="F93">
        <v>202112</v>
      </c>
      <c r="G93" t="s">
        <v>191</v>
      </c>
      <c r="H93">
        <v>0</v>
      </c>
    </row>
    <row r="94" spans="1:8">
      <c r="A94">
        <v>5356</v>
      </c>
      <c r="B94" t="s">
        <v>2328</v>
      </c>
      <c r="C94">
        <v>5697</v>
      </c>
      <c r="D94" t="s">
        <v>2197</v>
      </c>
      <c r="E94" t="s">
        <v>2329</v>
      </c>
      <c r="F94">
        <v>202112</v>
      </c>
      <c r="G94" t="s">
        <v>176</v>
      </c>
      <c r="H94">
        <v>0</v>
      </c>
    </row>
    <row r="95" spans="1:8">
      <c r="A95">
        <v>5356</v>
      </c>
      <c r="B95" t="s">
        <v>2328</v>
      </c>
      <c r="C95">
        <v>5697</v>
      </c>
      <c r="D95" t="s">
        <v>2197</v>
      </c>
      <c r="E95" t="s">
        <v>2329</v>
      </c>
      <c r="F95">
        <v>202112</v>
      </c>
      <c r="G95" t="s">
        <v>178</v>
      </c>
      <c r="H95">
        <v>33197</v>
      </c>
    </row>
    <row r="96" spans="1:8">
      <c r="A96">
        <v>5356</v>
      </c>
      <c r="B96" t="s">
        <v>2328</v>
      </c>
      <c r="C96">
        <v>5697</v>
      </c>
      <c r="D96" t="s">
        <v>2197</v>
      </c>
      <c r="E96" t="s">
        <v>2329</v>
      </c>
      <c r="F96">
        <v>202112</v>
      </c>
      <c r="G96" t="s">
        <v>180</v>
      </c>
      <c r="H96">
        <v>28090</v>
      </c>
    </row>
    <row r="97" spans="1:8">
      <c r="A97">
        <v>5356</v>
      </c>
      <c r="B97" t="s">
        <v>2328</v>
      </c>
      <c r="C97">
        <v>5697</v>
      </c>
      <c r="D97" t="s">
        <v>2197</v>
      </c>
      <c r="E97" t="s">
        <v>2329</v>
      </c>
      <c r="F97">
        <v>202112</v>
      </c>
      <c r="G97" t="s">
        <v>182</v>
      </c>
      <c r="H97">
        <v>13138574</v>
      </c>
    </row>
    <row r="98" spans="1:8">
      <c r="A98">
        <v>5356</v>
      </c>
      <c r="B98" t="s">
        <v>2328</v>
      </c>
      <c r="C98">
        <v>5697</v>
      </c>
      <c r="D98" t="s">
        <v>2197</v>
      </c>
      <c r="E98" t="s">
        <v>2329</v>
      </c>
      <c r="F98">
        <v>202112</v>
      </c>
      <c r="G98" t="s">
        <v>184</v>
      </c>
      <c r="H98">
        <v>1506010</v>
      </c>
    </row>
    <row r="99" spans="1:8">
      <c r="A99">
        <v>5356</v>
      </c>
      <c r="B99" t="s">
        <v>2328</v>
      </c>
      <c r="C99">
        <v>5697</v>
      </c>
      <c r="D99" t="s">
        <v>2197</v>
      </c>
      <c r="E99" t="s">
        <v>2329</v>
      </c>
      <c r="F99">
        <v>202112</v>
      </c>
      <c r="G99" t="s">
        <v>192</v>
      </c>
      <c r="H99">
        <v>0</v>
      </c>
    </row>
    <row r="100" spans="1:8">
      <c r="A100">
        <v>5356</v>
      </c>
      <c r="B100" t="s">
        <v>2328</v>
      </c>
      <c r="C100">
        <v>5697</v>
      </c>
      <c r="D100" t="s">
        <v>2197</v>
      </c>
      <c r="E100" t="s">
        <v>2329</v>
      </c>
      <c r="F100">
        <v>202112</v>
      </c>
      <c r="G100" t="s">
        <v>2166</v>
      </c>
      <c r="H100">
        <v>31093.52</v>
      </c>
    </row>
    <row r="101" spans="1:8">
      <c r="A101">
        <v>5356</v>
      </c>
      <c r="B101" t="s">
        <v>2328</v>
      </c>
      <c r="C101">
        <v>5697</v>
      </c>
      <c r="D101" t="s">
        <v>2197</v>
      </c>
      <c r="E101" t="s">
        <v>2329</v>
      </c>
      <c r="F101">
        <v>202112</v>
      </c>
      <c r="G101" t="s">
        <v>2165</v>
      </c>
      <c r="H101">
        <v>0</v>
      </c>
    </row>
    <row r="102" spans="1:8">
      <c r="A102">
        <v>5356</v>
      </c>
      <c r="B102" t="s">
        <v>2328</v>
      </c>
      <c r="C102">
        <v>5697</v>
      </c>
      <c r="D102" t="s">
        <v>2197</v>
      </c>
      <c r="E102" t="s">
        <v>2329</v>
      </c>
      <c r="F102">
        <v>202112</v>
      </c>
      <c r="G102" t="s">
        <v>2162</v>
      </c>
      <c r="H102">
        <v>9.33</v>
      </c>
    </row>
    <row r="103" spans="1:8">
      <c r="A103">
        <v>5356</v>
      </c>
      <c r="B103" t="s">
        <v>2328</v>
      </c>
      <c r="C103">
        <v>5697</v>
      </c>
      <c r="D103" t="s">
        <v>2197</v>
      </c>
      <c r="E103" t="s">
        <v>2329</v>
      </c>
      <c r="F103">
        <v>202112</v>
      </c>
      <c r="G103" t="s">
        <v>2163</v>
      </c>
      <c r="H103">
        <v>15.29</v>
      </c>
    </row>
    <row r="104" spans="1:8">
      <c r="A104">
        <v>5356</v>
      </c>
      <c r="B104" t="s">
        <v>2328</v>
      </c>
      <c r="C104">
        <v>5697</v>
      </c>
      <c r="D104" t="s">
        <v>2197</v>
      </c>
      <c r="E104" t="s">
        <v>2329</v>
      </c>
      <c r="F104">
        <v>202112</v>
      </c>
      <c r="G104" t="s">
        <v>2164</v>
      </c>
      <c r="H104">
        <v>4.17</v>
      </c>
    </row>
    <row r="105" spans="1:8">
      <c r="A105">
        <v>5356</v>
      </c>
      <c r="B105" t="s">
        <v>2328</v>
      </c>
      <c r="C105">
        <v>5697</v>
      </c>
      <c r="D105" t="s">
        <v>2197</v>
      </c>
      <c r="E105" t="s">
        <v>2329</v>
      </c>
      <c r="F105">
        <v>202112</v>
      </c>
      <c r="G105" t="s">
        <v>2167</v>
      </c>
      <c r="H105">
        <v>831377.55</v>
      </c>
    </row>
    <row r="106" spans="1:8">
      <c r="A106">
        <v>5356</v>
      </c>
      <c r="B106" t="s">
        <v>2328</v>
      </c>
      <c r="C106">
        <v>5697</v>
      </c>
      <c r="D106" t="s">
        <v>2197</v>
      </c>
      <c r="E106" t="s">
        <v>2329</v>
      </c>
      <c r="F106">
        <v>202201</v>
      </c>
      <c r="G106" t="s">
        <v>190</v>
      </c>
      <c r="H106">
        <v>0</v>
      </c>
    </row>
    <row r="107" spans="1:8">
      <c r="A107">
        <v>5356</v>
      </c>
      <c r="B107" t="s">
        <v>2328</v>
      </c>
      <c r="C107">
        <v>5697</v>
      </c>
      <c r="D107" t="s">
        <v>2197</v>
      </c>
      <c r="E107" t="s">
        <v>2329</v>
      </c>
      <c r="F107">
        <v>202201</v>
      </c>
      <c r="G107" t="s">
        <v>191</v>
      </c>
      <c r="H107">
        <v>0</v>
      </c>
    </row>
    <row r="108" spans="1:8">
      <c r="A108">
        <v>5356</v>
      </c>
      <c r="B108" t="s">
        <v>2328</v>
      </c>
      <c r="C108">
        <v>5697</v>
      </c>
      <c r="D108" t="s">
        <v>2197</v>
      </c>
      <c r="E108" t="s">
        <v>2329</v>
      </c>
      <c r="F108">
        <v>202201</v>
      </c>
      <c r="G108" t="s">
        <v>176</v>
      </c>
      <c r="H108">
        <v>0</v>
      </c>
    </row>
    <row r="109" spans="1:8">
      <c r="A109">
        <v>5356</v>
      </c>
      <c r="B109" t="s">
        <v>2328</v>
      </c>
      <c r="C109">
        <v>5697</v>
      </c>
      <c r="D109" t="s">
        <v>2197</v>
      </c>
      <c r="E109" t="s">
        <v>2329</v>
      </c>
      <c r="F109">
        <v>202201</v>
      </c>
      <c r="G109" t="s">
        <v>178</v>
      </c>
      <c r="H109">
        <v>34877</v>
      </c>
    </row>
    <row r="110" spans="1:8">
      <c r="A110">
        <v>5356</v>
      </c>
      <c r="B110" t="s">
        <v>2328</v>
      </c>
      <c r="C110">
        <v>5697</v>
      </c>
      <c r="D110" t="s">
        <v>2197</v>
      </c>
      <c r="E110" t="s">
        <v>2329</v>
      </c>
      <c r="F110">
        <v>202201</v>
      </c>
      <c r="G110" t="s">
        <v>180</v>
      </c>
      <c r="H110">
        <v>29131</v>
      </c>
    </row>
    <row r="111" spans="1:8">
      <c r="A111">
        <v>5356</v>
      </c>
      <c r="B111" t="s">
        <v>2328</v>
      </c>
      <c r="C111">
        <v>5697</v>
      </c>
      <c r="D111" t="s">
        <v>2197</v>
      </c>
      <c r="E111" t="s">
        <v>2329</v>
      </c>
      <c r="F111">
        <v>202201</v>
      </c>
      <c r="G111" t="s">
        <v>182</v>
      </c>
      <c r="H111">
        <v>14412980</v>
      </c>
    </row>
    <row r="112" spans="1:8">
      <c r="A112">
        <v>5356</v>
      </c>
      <c r="B112" t="s">
        <v>2328</v>
      </c>
      <c r="C112">
        <v>5697</v>
      </c>
      <c r="D112" t="s">
        <v>2197</v>
      </c>
      <c r="E112" t="s">
        <v>2329</v>
      </c>
      <c r="F112">
        <v>202201</v>
      </c>
      <c r="G112" t="s">
        <v>184</v>
      </c>
      <c r="H112">
        <v>1603014</v>
      </c>
    </row>
    <row r="113" spans="1:8">
      <c r="A113">
        <v>5356</v>
      </c>
      <c r="B113" t="s">
        <v>2328</v>
      </c>
      <c r="C113">
        <v>5697</v>
      </c>
      <c r="D113" t="s">
        <v>2197</v>
      </c>
      <c r="E113" t="s">
        <v>2329</v>
      </c>
      <c r="F113">
        <v>202201</v>
      </c>
      <c r="G113" t="s">
        <v>192</v>
      </c>
      <c r="H113">
        <v>0</v>
      </c>
    </row>
    <row r="114" spans="1:8">
      <c r="A114">
        <v>5356</v>
      </c>
      <c r="B114" t="s">
        <v>2328</v>
      </c>
      <c r="C114">
        <v>5697</v>
      </c>
      <c r="D114" t="s">
        <v>2197</v>
      </c>
      <c r="E114" t="s">
        <v>2329</v>
      </c>
      <c r="F114">
        <v>202201</v>
      </c>
      <c r="G114" t="s">
        <v>2166</v>
      </c>
      <c r="H114">
        <v>41585.629999999997</v>
      </c>
    </row>
    <row r="115" spans="1:8">
      <c r="A115">
        <v>5356</v>
      </c>
      <c r="B115" t="s">
        <v>2328</v>
      </c>
      <c r="C115">
        <v>5697</v>
      </c>
      <c r="D115" t="s">
        <v>2197</v>
      </c>
      <c r="E115" t="s">
        <v>2329</v>
      </c>
      <c r="F115">
        <v>202201</v>
      </c>
      <c r="G115" t="s">
        <v>2165</v>
      </c>
      <c r="H115">
        <v>0</v>
      </c>
    </row>
    <row r="116" spans="1:8">
      <c r="A116">
        <v>5356</v>
      </c>
      <c r="B116" t="s">
        <v>2328</v>
      </c>
      <c r="C116">
        <v>5697</v>
      </c>
      <c r="D116" t="s">
        <v>2197</v>
      </c>
      <c r="E116" t="s">
        <v>2329</v>
      </c>
      <c r="F116">
        <v>202201</v>
      </c>
      <c r="G116" t="s">
        <v>2162</v>
      </c>
      <c r="H116">
        <v>9.33</v>
      </c>
    </row>
    <row r="117" spans="1:8">
      <c r="A117">
        <v>5356</v>
      </c>
      <c r="B117" t="s">
        <v>2328</v>
      </c>
      <c r="C117">
        <v>5697</v>
      </c>
      <c r="D117" t="s">
        <v>2197</v>
      </c>
      <c r="E117" t="s">
        <v>2329</v>
      </c>
      <c r="F117">
        <v>202201</v>
      </c>
      <c r="G117" t="s">
        <v>2163</v>
      </c>
      <c r="H117">
        <v>15.29</v>
      </c>
    </row>
    <row r="118" spans="1:8">
      <c r="A118">
        <v>5356</v>
      </c>
      <c r="B118" t="s">
        <v>2328</v>
      </c>
      <c r="C118">
        <v>5697</v>
      </c>
      <c r="D118" t="s">
        <v>2197</v>
      </c>
      <c r="E118" t="s">
        <v>2329</v>
      </c>
      <c r="F118">
        <v>202201</v>
      </c>
      <c r="G118" t="s">
        <v>2164</v>
      </c>
      <c r="H118">
        <v>4.17</v>
      </c>
    </row>
    <row r="119" spans="1:8">
      <c r="A119">
        <v>5356</v>
      </c>
      <c r="B119" t="s">
        <v>2328</v>
      </c>
      <c r="C119">
        <v>5697</v>
      </c>
      <c r="D119" t="s">
        <v>2197</v>
      </c>
      <c r="E119" t="s">
        <v>2329</v>
      </c>
      <c r="F119">
        <v>202201</v>
      </c>
      <c r="G119" t="s">
        <v>2167</v>
      </c>
      <c r="H119">
        <v>879188.89</v>
      </c>
    </row>
    <row r="120" spans="1:8">
      <c r="A120">
        <v>5356</v>
      </c>
      <c r="B120" t="s">
        <v>2328</v>
      </c>
      <c r="C120">
        <v>5697</v>
      </c>
      <c r="D120" t="s">
        <v>2197</v>
      </c>
      <c r="E120" t="s">
        <v>2329</v>
      </c>
      <c r="F120">
        <v>202202</v>
      </c>
      <c r="G120" t="s">
        <v>190</v>
      </c>
      <c r="H120">
        <v>0</v>
      </c>
    </row>
    <row r="121" spans="1:8">
      <c r="A121">
        <v>5356</v>
      </c>
      <c r="B121" t="s">
        <v>2328</v>
      </c>
      <c r="C121">
        <v>5697</v>
      </c>
      <c r="D121" t="s">
        <v>2197</v>
      </c>
      <c r="E121" t="s">
        <v>2329</v>
      </c>
      <c r="F121">
        <v>202202</v>
      </c>
      <c r="G121" t="s">
        <v>191</v>
      </c>
      <c r="H121">
        <v>0</v>
      </c>
    </row>
    <row r="122" spans="1:8">
      <c r="A122">
        <v>5356</v>
      </c>
      <c r="B122" t="s">
        <v>2328</v>
      </c>
      <c r="C122">
        <v>5697</v>
      </c>
      <c r="D122" t="s">
        <v>2197</v>
      </c>
      <c r="E122" t="s">
        <v>2329</v>
      </c>
      <c r="F122">
        <v>202202</v>
      </c>
      <c r="G122" t="s">
        <v>176</v>
      </c>
      <c r="H122">
        <v>0</v>
      </c>
    </row>
    <row r="123" spans="1:8">
      <c r="A123">
        <v>5356</v>
      </c>
      <c r="B123" t="s">
        <v>2328</v>
      </c>
      <c r="C123">
        <v>5697</v>
      </c>
      <c r="D123" t="s">
        <v>2197</v>
      </c>
      <c r="E123" t="s">
        <v>2329</v>
      </c>
      <c r="F123">
        <v>202202</v>
      </c>
      <c r="G123" t="s">
        <v>178</v>
      </c>
      <c r="H123">
        <v>33835</v>
      </c>
    </row>
    <row r="124" spans="1:8">
      <c r="A124">
        <v>5356</v>
      </c>
      <c r="B124" t="s">
        <v>2328</v>
      </c>
      <c r="C124">
        <v>5697</v>
      </c>
      <c r="D124" t="s">
        <v>2197</v>
      </c>
      <c r="E124" t="s">
        <v>2329</v>
      </c>
      <c r="F124">
        <v>202202</v>
      </c>
      <c r="G124" t="s">
        <v>180</v>
      </c>
      <c r="H124">
        <v>29266</v>
      </c>
    </row>
    <row r="125" spans="1:8">
      <c r="A125">
        <v>5356</v>
      </c>
      <c r="B125" t="s">
        <v>2328</v>
      </c>
      <c r="C125">
        <v>5697</v>
      </c>
      <c r="D125" t="s">
        <v>2197</v>
      </c>
      <c r="E125" t="s">
        <v>2329</v>
      </c>
      <c r="F125">
        <v>202202</v>
      </c>
      <c r="G125" t="s">
        <v>182</v>
      </c>
      <c r="H125">
        <v>14119921</v>
      </c>
    </row>
    <row r="126" spans="1:8">
      <c r="A126">
        <v>5356</v>
      </c>
      <c r="B126" t="s">
        <v>2328</v>
      </c>
      <c r="C126">
        <v>5697</v>
      </c>
      <c r="D126" t="s">
        <v>2197</v>
      </c>
      <c r="E126" t="s">
        <v>2329</v>
      </c>
      <c r="F126">
        <v>202202</v>
      </c>
      <c r="G126" t="s">
        <v>184</v>
      </c>
      <c r="H126">
        <v>1573370</v>
      </c>
    </row>
    <row r="127" spans="1:8">
      <c r="A127">
        <v>5356</v>
      </c>
      <c r="B127" t="s">
        <v>2328</v>
      </c>
      <c r="C127">
        <v>5697</v>
      </c>
      <c r="D127" t="s">
        <v>2197</v>
      </c>
      <c r="E127" t="s">
        <v>2329</v>
      </c>
      <c r="F127">
        <v>202202</v>
      </c>
      <c r="G127" t="s">
        <v>192</v>
      </c>
      <c r="H127">
        <v>0</v>
      </c>
    </row>
    <row r="128" spans="1:8">
      <c r="A128">
        <v>5356</v>
      </c>
      <c r="B128" t="s">
        <v>2328</v>
      </c>
      <c r="C128">
        <v>5697</v>
      </c>
      <c r="D128" t="s">
        <v>2197</v>
      </c>
      <c r="E128" t="s">
        <v>2329</v>
      </c>
      <c r="F128">
        <v>202202</v>
      </c>
      <c r="G128" t="s">
        <v>2166</v>
      </c>
      <c r="H128">
        <v>24395.51</v>
      </c>
    </row>
    <row r="129" spans="1:8">
      <c r="A129">
        <v>5356</v>
      </c>
      <c r="B129" t="s">
        <v>2328</v>
      </c>
      <c r="C129">
        <v>5697</v>
      </c>
      <c r="D129" t="s">
        <v>2197</v>
      </c>
      <c r="E129" t="s">
        <v>2329</v>
      </c>
      <c r="F129">
        <v>202202</v>
      </c>
      <c r="G129" t="s">
        <v>2165</v>
      </c>
      <c r="H129">
        <v>0</v>
      </c>
    </row>
    <row r="130" spans="1:8">
      <c r="A130">
        <v>5356</v>
      </c>
      <c r="B130" t="s">
        <v>2328</v>
      </c>
      <c r="C130">
        <v>5697</v>
      </c>
      <c r="D130" t="s">
        <v>2197</v>
      </c>
      <c r="E130" t="s">
        <v>2329</v>
      </c>
      <c r="F130">
        <v>202202</v>
      </c>
      <c r="G130" t="s">
        <v>2162</v>
      </c>
      <c r="H130">
        <v>9.33</v>
      </c>
    </row>
    <row r="131" spans="1:8">
      <c r="A131">
        <v>5356</v>
      </c>
      <c r="B131" t="s">
        <v>2328</v>
      </c>
      <c r="C131">
        <v>5697</v>
      </c>
      <c r="D131" t="s">
        <v>2197</v>
      </c>
      <c r="E131" t="s">
        <v>2329</v>
      </c>
      <c r="F131">
        <v>202202</v>
      </c>
      <c r="G131" t="s">
        <v>2163</v>
      </c>
      <c r="H131">
        <v>15.29</v>
      </c>
    </row>
    <row r="132" spans="1:8">
      <c r="A132">
        <v>5356</v>
      </c>
      <c r="B132" t="s">
        <v>2328</v>
      </c>
      <c r="C132">
        <v>5697</v>
      </c>
      <c r="D132" t="s">
        <v>2197</v>
      </c>
      <c r="E132" t="s">
        <v>2329</v>
      </c>
      <c r="F132">
        <v>202202</v>
      </c>
      <c r="G132" t="s">
        <v>2164</v>
      </c>
      <c r="H132">
        <v>4.17</v>
      </c>
    </row>
    <row r="133" spans="1:8">
      <c r="A133">
        <v>5356</v>
      </c>
      <c r="B133" t="s">
        <v>2328</v>
      </c>
      <c r="C133">
        <v>5697</v>
      </c>
      <c r="D133" t="s">
        <v>2197</v>
      </c>
      <c r="E133" t="s">
        <v>2329</v>
      </c>
      <c r="F133">
        <v>202202</v>
      </c>
      <c r="G133" t="s">
        <v>2167</v>
      </c>
      <c r="H133">
        <v>852989.96</v>
      </c>
    </row>
    <row r="134" spans="1:8">
      <c r="A134">
        <v>5356</v>
      </c>
      <c r="B134" t="s">
        <v>2328</v>
      </c>
      <c r="C134">
        <v>5697</v>
      </c>
      <c r="D134" t="s">
        <v>2197</v>
      </c>
      <c r="E134" t="s">
        <v>2329</v>
      </c>
      <c r="F134">
        <v>202203</v>
      </c>
      <c r="G134" t="s">
        <v>190</v>
      </c>
      <c r="H134">
        <v>0</v>
      </c>
    </row>
    <row r="135" spans="1:8">
      <c r="A135">
        <v>5356</v>
      </c>
      <c r="B135" t="s">
        <v>2328</v>
      </c>
      <c r="C135">
        <v>5697</v>
      </c>
      <c r="D135" t="s">
        <v>2197</v>
      </c>
      <c r="E135" t="s">
        <v>2329</v>
      </c>
      <c r="F135">
        <v>202203</v>
      </c>
      <c r="G135" t="s">
        <v>191</v>
      </c>
      <c r="H135">
        <v>0</v>
      </c>
    </row>
    <row r="136" spans="1:8">
      <c r="A136">
        <v>5356</v>
      </c>
      <c r="B136" t="s">
        <v>2328</v>
      </c>
      <c r="C136">
        <v>5697</v>
      </c>
      <c r="D136" t="s">
        <v>2197</v>
      </c>
      <c r="E136" t="s">
        <v>2329</v>
      </c>
      <c r="F136">
        <v>202203</v>
      </c>
      <c r="G136" t="s">
        <v>176</v>
      </c>
      <c r="H136">
        <v>0</v>
      </c>
    </row>
    <row r="137" spans="1:8">
      <c r="A137">
        <v>5356</v>
      </c>
      <c r="B137" t="s">
        <v>2328</v>
      </c>
      <c r="C137">
        <v>5697</v>
      </c>
      <c r="D137" t="s">
        <v>2197</v>
      </c>
      <c r="E137" t="s">
        <v>2329</v>
      </c>
      <c r="F137">
        <v>202203</v>
      </c>
      <c r="G137" t="s">
        <v>178</v>
      </c>
      <c r="H137">
        <v>34070</v>
      </c>
    </row>
    <row r="138" spans="1:8">
      <c r="A138">
        <v>5356</v>
      </c>
      <c r="B138" t="s">
        <v>2328</v>
      </c>
      <c r="C138">
        <v>5697</v>
      </c>
      <c r="D138" t="s">
        <v>2197</v>
      </c>
      <c r="E138" t="s">
        <v>2329</v>
      </c>
      <c r="F138">
        <v>202203</v>
      </c>
      <c r="G138" t="s">
        <v>180</v>
      </c>
      <c r="H138">
        <v>28190</v>
      </c>
    </row>
    <row r="139" spans="1:8">
      <c r="A139">
        <v>5356</v>
      </c>
      <c r="B139" t="s">
        <v>2328</v>
      </c>
      <c r="C139">
        <v>5697</v>
      </c>
      <c r="D139" t="s">
        <v>2197</v>
      </c>
      <c r="E139" t="s">
        <v>2329</v>
      </c>
      <c r="F139">
        <v>202203</v>
      </c>
      <c r="G139" t="s">
        <v>182</v>
      </c>
      <c r="H139">
        <v>15287865</v>
      </c>
    </row>
    <row r="140" spans="1:8">
      <c r="A140">
        <v>5356</v>
      </c>
      <c r="B140" t="s">
        <v>2328</v>
      </c>
      <c r="C140">
        <v>5697</v>
      </c>
      <c r="D140" t="s">
        <v>2197</v>
      </c>
      <c r="E140" t="s">
        <v>2329</v>
      </c>
      <c r="F140">
        <v>202203</v>
      </c>
      <c r="G140" t="s">
        <v>184</v>
      </c>
      <c r="H140">
        <v>1699857</v>
      </c>
    </row>
    <row r="141" spans="1:8">
      <c r="A141">
        <v>5356</v>
      </c>
      <c r="B141" t="s">
        <v>2328</v>
      </c>
      <c r="C141">
        <v>5697</v>
      </c>
      <c r="D141" t="s">
        <v>2197</v>
      </c>
      <c r="E141" t="s">
        <v>2329</v>
      </c>
      <c r="F141">
        <v>202203</v>
      </c>
      <c r="G141" t="s">
        <v>192</v>
      </c>
      <c r="H141">
        <v>0</v>
      </c>
    </row>
    <row r="142" spans="1:8">
      <c r="A142">
        <v>5356</v>
      </c>
      <c r="B142" t="s">
        <v>2328</v>
      </c>
      <c r="C142">
        <v>5697</v>
      </c>
      <c r="D142" t="s">
        <v>2197</v>
      </c>
      <c r="E142" t="s">
        <v>2329</v>
      </c>
      <c r="F142">
        <v>202203</v>
      </c>
      <c r="G142" t="s">
        <v>2166</v>
      </c>
      <c r="H142">
        <v>27799.52</v>
      </c>
    </row>
    <row r="143" spans="1:8">
      <c r="A143">
        <v>5356</v>
      </c>
      <c r="B143" t="s">
        <v>2328</v>
      </c>
      <c r="C143">
        <v>5697</v>
      </c>
      <c r="D143" t="s">
        <v>2197</v>
      </c>
      <c r="E143" t="s">
        <v>2329</v>
      </c>
      <c r="F143">
        <v>202203</v>
      </c>
      <c r="G143" t="s">
        <v>2165</v>
      </c>
      <c r="H143">
        <v>0</v>
      </c>
    </row>
    <row r="144" spans="1:8">
      <c r="A144">
        <v>5356</v>
      </c>
      <c r="B144" t="s">
        <v>2328</v>
      </c>
      <c r="C144">
        <v>5697</v>
      </c>
      <c r="D144" t="s">
        <v>2197</v>
      </c>
      <c r="E144" t="s">
        <v>2329</v>
      </c>
      <c r="F144">
        <v>202203</v>
      </c>
      <c r="G144" t="s">
        <v>2162</v>
      </c>
      <c r="H144">
        <v>9.33</v>
      </c>
    </row>
    <row r="145" spans="1:8">
      <c r="A145">
        <v>5356</v>
      </c>
      <c r="B145" t="s">
        <v>2328</v>
      </c>
      <c r="C145">
        <v>5697</v>
      </c>
      <c r="D145" t="s">
        <v>2197</v>
      </c>
      <c r="E145" t="s">
        <v>2329</v>
      </c>
      <c r="F145">
        <v>202203</v>
      </c>
      <c r="G145" t="s">
        <v>2163</v>
      </c>
      <c r="H145">
        <v>15.29</v>
      </c>
    </row>
    <row r="146" spans="1:8">
      <c r="A146">
        <v>5356</v>
      </c>
      <c r="B146" t="s">
        <v>2328</v>
      </c>
      <c r="C146">
        <v>5697</v>
      </c>
      <c r="D146" t="s">
        <v>2197</v>
      </c>
      <c r="E146" t="s">
        <v>2329</v>
      </c>
      <c r="F146">
        <v>202203</v>
      </c>
      <c r="G146" t="s">
        <v>2164</v>
      </c>
      <c r="H146">
        <v>4.17</v>
      </c>
    </row>
    <row r="147" spans="1:8">
      <c r="A147">
        <v>5356</v>
      </c>
      <c r="B147" t="s">
        <v>2328</v>
      </c>
      <c r="C147">
        <v>5697</v>
      </c>
      <c r="D147" t="s">
        <v>2197</v>
      </c>
      <c r="E147" t="s">
        <v>2329</v>
      </c>
      <c r="F147">
        <v>202203</v>
      </c>
      <c r="G147" t="s">
        <v>2167</v>
      </c>
      <c r="H147">
        <v>847546.35</v>
      </c>
    </row>
    <row r="148" spans="1:8">
      <c r="A148">
        <v>5356</v>
      </c>
      <c r="B148" t="s">
        <v>2328</v>
      </c>
      <c r="C148">
        <v>5697</v>
      </c>
      <c r="D148" t="s">
        <v>2197</v>
      </c>
      <c r="E148" t="s">
        <v>2329</v>
      </c>
      <c r="F148">
        <v>202204</v>
      </c>
      <c r="G148" t="s">
        <v>190</v>
      </c>
      <c r="H148">
        <v>0</v>
      </c>
    </row>
    <row r="149" spans="1:8">
      <c r="A149">
        <v>5356</v>
      </c>
      <c r="B149" t="s">
        <v>2328</v>
      </c>
      <c r="C149">
        <v>5697</v>
      </c>
      <c r="D149" t="s">
        <v>2197</v>
      </c>
      <c r="E149" t="s">
        <v>2329</v>
      </c>
      <c r="F149">
        <v>202204</v>
      </c>
      <c r="G149" t="s">
        <v>191</v>
      </c>
      <c r="H149">
        <v>0</v>
      </c>
    </row>
    <row r="150" spans="1:8">
      <c r="A150">
        <v>5356</v>
      </c>
      <c r="B150" t="s">
        <v>2328</v>
      </c>
      <c r="C150">
        <v>5697</v>
      </c>
      <c r="D150" t="s">
        <v>2197</v>
      </c>
      <c r="E150" t="s">
        <v>2329</v>
      </c>
      <c r="F150">
        <v>202204</v>
      </c>
      <c r="G150" t="s">
        <v>176</v>
      </c>
      <c r="H150">
        <v>0</v>
      </c>
    </row>
    <row r="151" spans="1:8">
      <c r="A151">
        <v>5356</v>
      </c>
      <c r="B151" t="s">
        <v>2328</v>
      </c>
      <c r="C151">
        <v>5697</v>
      </c>
      <c r="D151" t="s">
        <v>2197</v>
      </c>
      <c r="E151" t="s">
        <v>2329</v>
      </c>
      <c r="F151">
        <v>202204</v>
      </c>
      <c r="G151" t="s">
        <v>178</v>
      </c>
      <c r="H151">
        <v>32021</v>
      </c>
    </row>
    <row r="152" spans="1:8">
      <c r="A152">
        <v>5356</v>
      </c>
      <c r="B152" t="s">
        <v>2328</v>
      </c>
      <c r="C152">
        <v>5697</v>
      </c>
      <c r="D152" t="s">
        <v>2197</v>
      </c>
      <c r="E152" t="s">
        <v>2329</v>
      </c>
      <c r="F152">
        <v>202204</v>
      </c>
      <c r="G152" t="s">
        <v>180</v>
      </c>
      <c r="H152">
        <v>26779</v>
      </c>
    </row>
    <row r="153" spans="1:8">
      <c r="A153">
        <v>5356</v>
      </c>
      <c r="B153" t="s">
        <v>2328</v>
      </c>
      <c r="C153">
        <v>5697</v>
      </c>
      <c r="D153" t="s">
        <v>2197</v>
      </c>
      <c r="E153" t="s">
        <v>2329</v>
      </c>
      <c r="F153">
        <v>202204</v>
      </c>
      <c r="G153" t="s">
        <v>182</v>
      </c>
      <c r="H153">
        <v>13547116</v>
      </c>
    </row>
    <row r="154" spans="1:8">
      <c r="A154">
        <v>5356</v>
      </c>
      <c r="B154" t="s">
        <v>2328</v>
      </c>
      <c r="C154">
        <v>5697</v>
      </c>
      <c r="D154" t="s">
        <v>2197</v>
      </c>
      <c r="E154" t="s">
        <v>2329</v>
      </c>
      <c r="F154">
        <v>202204</v>
      </c>
      <c r="G154" t="s">
        <v>184</v>
      </c>
      <c r="H154">
        <v>1415467</v>
      </c>
    </row>
    <row r="155" spans="1:8">
      <c r="A155">
        <v>5356</v>
      </c>
      <c r="B155" t="s">
        <v>2328</v>
      </c>
      <c r="C155">
        <v>5697</v>
      </c>
      <c r="D155" t="s">
        <v>2197</v>
      </c>
      <c r="E155" t="s">
        <v>2329</v>
      </c>
      <c r="F155">
        <v>202204</v>
      </c>
      <c r="G155" t="s">
        <v>192</v>
      </c>
      <c r="H155">
        <v>0</v>
      </c>
    </row>
    <row r="156" spans="1:8">
      <c r="A156">
        <v>5356</v>
      </c>
      <c r="B156" t="s">
        <v>2328</v>
      </c>
      <c r="C156">
        <v>5697</v>
      </c>
      <c r="D156" t="s">
        <v>2197</v>
      </c>
      <c r="E156" t="s">
        <v>2329</v>
      </c>
      <c r="F156">
        <v>202204</v>
      </c>
      <c r="G156" t="s">
        <v>2166</v>
      </c>
      <c r="H156">
        <v>16851.5</v>
      </c>
    </row>
    <row r="157" spans="1:8">
      <c r="A157">
        <v>5356</v>
      </c>
      <c r="B157" t="s">
        <v>2328</v>
      </c>
      <c r="C157">
        <v>5697</v>
      </c>
      <c r="D157" t="s">
        <v>2197</v>
      </c>
      <c r="E157" t="s">
        <v>2329</v>
      </c>
      <c r="F157">
        <v>202204</v>
      </c>
      <c r="G157" t="s">
        <v>2165</v>
      </c>
      <c r="H157">
        <v>0</v>
      </c>
    </row>
    <row r="158" spans="1:8">
      <c r="A158">
        <v>5356</v>
      </c>
      <c r="B158" t="s">
        <v>2328</v>
      </c>
      <c r="C158">
        <v>5697</v>
      </c>
      <c r="D158" t="s">
        <v>2197</v>
      </c>
      <c r="E158" t="s">
        <v>2329</v>
      </c>
      <c r="F158">
        <v>202204</v>
      </c>
      <c r="G158" t="s">
        <v>2162</v>
      </c>
      <c r="H158">
        <v>9.33</v>
      </c>
    </row>
    <row r="159" spans="1:8">
      <c r="A159">
        <v>5356</v>
      </c>
      <c r="B159" t="s">
        <v>2328</v>
      </c>
      <c r="C159">
        <v>5697</v>
      </c>
      <c r="D159" t="s">
        <v>2197</v>
      </c>
      <c r="E159" t="s">
        <v>2329</v>
      </c>
      <c r="F159">
        <v>202204</v>
      </c>
      <c r="G159" t="s">
        <v>2163</v>
      </c>
      <c r="H159">
        <v>15.29</v>
      </c>
    </row>
    <row r="160" spans="1:8">
      <c r="A160">
        <v>5356</v>
      </c>
      <c r="B160" t="s">
        <v>2328</v>
      </c>
      <c r="C160">
        <v>5697</v>
      </c>
      <c r="D160" t="s">
        <v>2197</v>
      </c>
      <c r="E160" t="s">
        <v>2329</v>
      </c>
      <c r="F160">
        <v>202204</v>
      </c>
      <c r="G160" t="s">
        <v>2164</v>
      </c>
      <c r="H160">
        <v>4.17</v>
      </c>
    </row>
    <row r="161" spans="1:8">
      <c r="A161">
        <v>5356</v>
      </c>
      <c r="B161" t="s">
        <v>2328</v>
      </c>
      <c r="C161">
        <v>5697</v>
      </c>
      <c r="D161" t="s">
        <v>2197</v>
      </c>
      <c r="E161" t="s">
        <v>2329</v>
      </c>
      <c r="F161">
        <v>202204</v>
      </c>
      <c r="G161" t="s">
        <v>2167</v>
      </c>
      <c r="H161">
        <v>787453.48</v>
      </c>
    </row>
    <row r="162" spans="1:8">
      <c r="A162">
        <v>5356</v>
      </c>
      <c r="B162" t="s">
        <v>2328</v>
      </c>
      <c r="C162">
        <v>5697</v>
      </c>
      <c r="D162" t="s">
        <v>2197</v>
      </c>
      <c r="E162" t="s">
        <v>2329</v>
      </c>
      <c r="F162">
        <v>202205</v>
      </c>
      <c r="G162" t="s">
        <v>190</v>
      </c>
      <c r="H162">
        <v>0</v>
      </c>
    </row>
    <row r="163" spans="1:8">
      <c r="A163">
        <v>5356</v>
      </c>
      <c r="B163" t="s">
        <v>2328</v>
      </c>
      <c r="C163">
        <v>5697</v>
      </c>
      <c r="D163" t="s">
        <v>2197</v>
      </c>
      <c r="E163" t="s">
        <v>2329</v>
      </c>
      <c r="F163">
        <v>202205</v>
      </c>
      <c r="G163" t="s">
        <v>191</v>
      </c>
      <c r="H163">
        <v>0</v>
      </c>
    </row>
    <row r="164" spans="1:8">
      <c r="A164">
        <v>5356</v>
      </c>
      <c r="B164" t="s">
        <v>2328</v>
      </c>
      <c r="C164">
        <v>5697</v>
      </c>
      <c r="D164" t="s">
        <v>2197</v>
      </c>
      <c r="E164" t="s">
        <v>2329</v>
      </c>
      <c r="F164">
        <v>202205</v>
      </c>
      <c r="G164" t="s">
        <v>176</v>
      </c>
      <c r="H164">
        <v>0</v>
      </c>
    </row>
    <row r="165" spans="1:8">
      <c r="A165">
        <v>5356</v>
      </c>
      <c r="B165" t="s">
        <v>2328</v>
      </c>
      <c r="C165">
        <v>5697</v>
      </c>
      <c r="D165" t="s">
        <v>2197</v>
      </c>
      <c r="E165" t="s">
        <v>2329</v>
      </c>
      <c r="F165">
        <v>202205</v>
      </c>
      <c r="G165" t="s">
        <v>178</v>
      </c>
      <c r="H165">
        <v>30610</v>
      </c>
    </row>
    <row r="166" spans="1:8">
      <c r="A166">
        <v>5356</v>
      </c>
      <c r="B166" t="s">
        <v>2328</v>
      </c>
      <c r="C166">
        <v>5697</v>
      </c>
      <c r="D166" t="s">
        <v>2197</v>
      </c>
      <c r="E166" t="s">
        <v>2329</v>
      </c>
      <c r="F166">
        <v>202205</v>
      </c>
      <c r="G166" t="s">
        <v>180</v>
      </c>
      <c r="H166">
        <v>26678</v>
      </c>
    </row>
    <row r="167" spans="1:8">
      <c r="A167">
        <v>5356</v>
      </c>
      <c r="B167" t="s">
        <v>2328</v>
      </c>
      <c r="C167">
        <v>5697</v>
      </c>
      <c r="D167" t="s">
        <v>2197</v>
      </c>
      <c r="E167" t="s">
        <v>2329</v>
      </c>
      <c r="F167">
        <v>202205</v>
      </c>
      <c r="G167" t="s">
        <v>182</v>
      </c>
      <c r="H167">
        <v>14052704</v>
      </c>
    </row>
    <row r="168" spans="1:8">
      <c r="A168">
        <v>5356</v>
      </c>
      <c r="B168" t="s">
        <v>2328</v>
      </c>
      <c r="C168">
        <v>5697</v>
      </c>
      <c r="D168" t="s">
        <v>2197</v>
      </c>
      <c r="E168" t="s">
        <v>2329</v>
      </c>
      <c r="F168">
        <v>202205</v>
      </c>
      <c r="G168" t="s">
        <v>184</v>
      </c>
      <c r="H168">
        <v>1627810</v>
      </c>
    </row>
    <row r="169" spans="1:8">
      <c r="A169">
        <v>5356</v>
      </c>
      <c r="B169" t="s">
        <v>2328</v>
      </c>
      <c r="C169">
        <v>5697</v>
      </c>
      <c r="D169" t="s">
        <v>2197</v>
      </c>
      <c r="E169" t="s">
        <v>2329</v>
      </c>
      <c r="F169">
        <v>202205</v>
      </c>
      <c r="G169" t="s">
        <v>192</v>
      </c>
      <c r="H169">
        <v>0</v>
      </c>
    </row>
    <row r="170" spans="1:8">
      <c r="A170">
        <v>5356</v>
      </c>
      <c r="B170" t="s">
        <v>2328</v>
      </c>
      <c r="C170">
        <v>5697</v>
      </c>
      <c r="D170" t="s">
        <v>2197</v>
      </c>
      <c r="E170" t="s">
        <v>2329</v>
      </c>
      <c r="F170">
        <v>202205</v>
      </c>
      <c r="G170" t="s">
        <v>2166</v>
      </c>
      <c r="H170">
        <v>24682.48</v>
      </c>
    </row>
    <row r="171" spans="1:8">
      <c r="A171">
        <v>5356</v>
      </c>
      <c r="B171" t="s">
        <v>2328</v>
      </c>
      <c r="C171">
        <v>5697</v>
      </c>
      <c r="D171" t="s">
        <v>2197</v>
      </c>
      <c r="E171" t="s">
        <v>2329</v>
      </c>
      <c r="F171">
        <v>202205</v>
      </c>
      <c r="G171" t="s">
        <v>2165</v>
      </c>
      <c r="H171">
        <v>0</v>
      </c>
    </row>
    <row r="172" spans="1:8">
      <c r="A172">
        <v>5356</v>
      </c>
      <c r="B172" t="s">
        <v>2328</v>
      </c>
      <c r="C172">
        <v>5697</v>
      </c>
      <c r="D172" t="s">
        <v>2197</v>
      </c>
      <c r="E172" t="s">
        <v>2329</v>
      </c>
      <c r="F172">
        <v>202205</v>
      </c>
      <c r="G172" t="s">
        <v>2162</v>
      </c>
      <c r="H172">
        <v>9.33</v>
      </c>
    </row>
    <row r="173" spans="1:8">
      <c r="A173">
        <v>5356</v>
      </c>
      <c r="B173" t="s">
        <v>2328</v>
      </c>
      <c r="C173">
        <v>5697</v>
      </c>
      <c r="D173" t="s">
        <v>2197</v>
      </c>
      <c r="E173" t="s">
        <v>2329</v>
      </c>
      <c r="F173">
        <v>202205</v>
      </c>
      <c r="G173" t="s">
        <v>2163</v>
      </c>
      <c r="H173">
        <v>15.29</v>
      </c>
    </row>
    <row r="174" spans="1:8">
      <c r="A174">
        <v>5356</v>
      </c>
      <c r="B174" t="s">
        <v>2328</v>
      </c>
      <c r="C174">
        <v>5697</v>
      </c>
      <c r="D174" t="s">
        <v>2197</v>
      </c>
      <c r="E174" t="s">
        <v>2329</v>
      </c>
      <c r="F174">
        <v>202205</v>
      </c>
      <c r="G174" t="s">
        <v>2164</v>
      </c>
      <c r="H174">
        <v>4.17</v>
      </c>
    </row>
    <row r="175" spans="1:8">
      <c r="A175">
        <v>5356</v>
      </c>
      <c r="B175" t="s">
        <v>2328</v>
      </c>
      <c r="C175">
        <v>5697</v>
      </c>
      <c r="D175" t="s">
        <v>2197</v>
      </c>
      <c r="E175" t="s">
        <v>2329</v>
      </c>
      <c r="F175">
        <v>202205</v>
      </c>
      <c r="G175" t="s">
        <v>2167</v>
      </c>
      <c r="H175">
        <v>783570.5</v>
      </c>
    </row>
    <row r="176" spans="1:8">
      <c r="A176">
        <v>5356</v>
      </c>
      <c r="B176" t="s">
        <v>2328</v>
      </c>
      <c r="C176">
        <v>5697</v>
      </c>
      <c r="D176" t="s">
        <v>2197</v>
      </c>
      <c r="E176" t="s">
        <v>2329</v>
      </c>
      <c r="F176">
        <v>202206</v>
      </c>
      <c r="G176" t="s">
        <v>190</v>
      </c>
      <c r="H176">
        <v>0</v>
      </c>
    </row>
    <row r="177" spans="1:8">
      <c r="A177">
        <v>5356</v>
      </c>
      <c r="B177" t="s">
        <v>2328</v>
      </c>
      <c r="C177">
        <v>5697</v>
      </c>
      <c r="D177" t="s">
        <v>2197</v>
      </c>
      <c r="E177" t="s">
        <v>2329</v>
      </c>
      <c r="F177">
        <v>202206</v>
      </c>
      <c r="G177" t="s">
        <v>191</v>
      </c>
      <c r="H177">
        <v>0</v>
      </c>
    </row>
    <row r="178" spans="1:8">
      <c r="A178">
        <v>5356</v>
      </c>
      <c r="B178" t="s">
        <v>2328</v>
      </c>
      <c r="C178">
        <v>5697</v>
      </c>
      <c r="D178" t="s">
        <v>2197</v>
      </c>
      <c r="E178" t="s">
        <v>2329</v>
      </c>
      <c r="F178">
        <v>202206</v>
      </c>
      <c r="G178" t="s">
        <v>176</v>
      </c>
      <c r="H178">
        <v>0</v>
      </c>
    </row>
    <row r="179" spans="1:8">
      <c r="A179">
        <v>5356</v>
      </c>
      <c r="B179" t="s">
        <v>2328</v>
      </c>
      <c r="C179">
        <v>5697</v>
      </c>
      <c r="D179" t="s">
        <v>2197</v>
      </c>
      <c r="E179" t="s">
        <v>2329</v>
      </c>
      <c r="F179">
        <v>202206</v>
      </c>
      <c r="G179" t="s">
        <v>178</v>
      </c>
      <c r="H179">
        <v>31853</v>
      </c>
    </row>
    <row r="180" spans="1:8">
      <c r="A180">
        <v>5356</v>
      </c>
      <c r="B180" t="s">
        <v>2328</v>
      </c>
      <c r="C180">
        <v>5697</v>
      </c>
      <c r="D180" t="s">
        <v>2197</v>
      </c>
      <c r="E180" t="s">
        <v>2329</v>
      </c>
      <c r="F180">
        <v>202206</v>
      </c>
      <c r="G180" t="s">
        <v>180</v>
      </c>
      <c r="H180">
        <v>27250</v>
      </c>
    </row>
    <row r="181" spans="1:8">
      <c r="A181">
        <v>5356</v>
      </c>
      <c r="B181" t="s">
        <v>2328</v>
      </c>
      <c r="C181">
        <v>5697</v>
      </c>
      <c r="D181" t="s">
        <v>2197</v>
      </c>
      <c r="E181" t="s">
        <v>2329</v>
      </c>
      <c r="F181">
        <v>202206</v>
      </c>
      <c r="G181" t="s">
        <v>182</v>
      </c>
      <c r="H181">
        <v>13937649</v>
      </c>
    </row>
    <row r="182" spans="1:8">
      <c r="A182">
        <v>5356</v>
      </c>
      <c r="B182" t="s">
        <v>2328</v>
      </c>
      <c r="C182">
        <v>5697</v>
      </c>
      <c r="D182" t="s">
        <v>2197</v>
      </c>
      <c r="E182" t="s">
        <v>2329</v>
      </c>
      <c r="F182">
        <v>202206</v>
      </c>
      <c r="G182" t="s">
        <v>184</v>
      </c>
      <c r="H182">
        <v>1587222</v>
      </c>
    </row>
    <row r="183" spans="1:8">
      <c r="A183">
        <v>5356</v>
      </c>
      <c r="B183" t="s">
        <v>2328</v>
      </c>
      <c r="C183">
        <v>5697</v>
      </c>
      <c r="D183" t="s">
        <v>2197</v>
      </c>
      <c r="E183" t="s">
        <v>2329</v>
      </c>
      <c r="F183">
        <v>202206</v>
      </c>
      <c r="G183" t="s">
        <v>192</v>
      </c>
      <c r="H183">
        <v>0</v>
      </c>
    </row>
    <row r="184" spans="1:8">
      <c r="A184">
        <v>5356</v>
      </c>
      <c r="B184" t="s">
        <v>2328</v>
      </c>
      <c r="C184">
        <v>5697</v>
      </c>
      <c r="D184" t="s">
        <v>2197</v>
      </c>
      <c r="E184" t="s">
        <v>2329</v>
      </c>
      <c r="F184">
        <v>202206</v>
      </c>
      <c r="G184" t="s">
        <v>2166</v>
      </c>
      <c r="H184">
        <v>32018.3</v>
      </c>
    </row>
    <row r="185" spans="1:8">
      <c r="A185">
        <v>5356</v>
      </c>
      <c r="B185" t="s">
        <v>2328</v>
      </c>
      <c r="C185">
        <v>5697</v>
      </c>
      <c r="D185" t="s">
        <v>2197</v>
      </c>
      <c r="E185" t="s">
        <v>2329</v>
      </c>
      <c r="F185">
        <v>202206</v>
      </c>
      <c r="G185" t="s">
        <v>2165</v>
      </c>
      <c r="H185">
        <v>0</v>
      </c>
    </row>
    <row r="186" spans="1:8">
      <c r="A186">
        <v>5356</v>
      </c>
      <c r="B186" t="s">
        <v>2328</v>
      </c>
      <c r="C186">
        <v>5697</v>
      </c>
      <c r="D186" t="s">
        <v>2197</v>
      </c>
      <c r="E186" t="s">
        <v>2329</v>
      </c>
      <c r="F186">
        <v>202206</v>
      </c>
      <c r="G186" t="s">
        <v>2162</v>
      </c>
      <c r="H186">
        <v>9.33</v>
      </c>
    </row>
    <row r="187" spans="1:8">
      <c r="A187">
        <v>5356</v>
      </c>
      <c r="B187" t="s">
        <v>2328</v>
      </c>
      <c r="C187">
        <v>5697</v>
      </c>
      <c r="D187" t="s">
        <v>2197</v>
      </c>
      <c r="E187" t="s">
        <v>2329</v>
      </c>
      <c r="F187">
        <v>202206</v>
      </c>
      <c r="G187" t="s">
        <v>2163</v>
      </c>
      <c r="H187">
        <v>15.29</v>
      </c>
    </row>
    <row r="188" spans="1:8">
      <c r="A188">
        <v>5356</v>
      </c>
      <c r="B188" t="s">
        <v>2328</v>
      </c>
      <c r="C188">
        <v>5697</v>
      </c>
      <c r="D188" t="s">
        <v>2197</v>
      </c>
      <c r="E188" t="s">
        <v>2329</v>
      </c>
      <c r="F188">
        <v>202206</v>
      </c>
      <c r="G188" t="s">
        <v>2164</v>
      </c>
      <c r="H188">
        <v>4.17</v>
      </c>
    </row>
    <row r="189" spans="1:8">
      <c r="A189">
        <v>5356</v>
      </c>
      <c r="B189" t="s">
        <v>2328</v>
      </c>
      <c r="C189">
        <v>5697</v>
      </c>
      <c r="D189" t="s">
        <v>2197</v>
      </c>
      <c r="E189" t="s">
        <v>2329</v>
      </c>
      <c r="F189">
        <v>202206</v>
      </c>
      <c r="G189" t="s">
        <v>2167</v>
      </c>
      <c r="H189">
        <v>810590</v>
      </c>
    </row>
    <row r="190" spans="1:8">
      <c r="A190">
        <v>5356</v>
      </c>
      <c r="B190" t="s">
        <v>2328</v>
      </c>
      <c r="C190">
        <v>5697</v>
      </c>
      <c r="D190" t="s">
        <v>2197</v>
      </c>
      <c r="E190" t="s">
        <v>2329</v>
      </c>
      <c r="F190">
        <v>202207</v>
      </c>
      <c r="G190" t="s">
        <v>190</v>
      </c>
      <c r="H190">
        <v>0</v>
      </c>
    </row>
    <row r="191" spans="1:8">
      <c r="A191">
        <v>5356</v>
      </c>
      <c r="B191" t="s">
        <v>2328</v>
      </c>
      <c r="C191">
        <v>5697</v>
      </c>
      <c r="D191" t="s">
        <v>2197</v>
      </c>
      <c r="E191" t="s">
        <v>2329</v>
      </c>
      <c r="F191">
        <v>202207</v>
      </c>
      <c r="G191" t="s">
        <v>191</v>
      </c>
      <c r="H191">
        <v>0</v>
      </c>
    </row>
    <row r="192" spans="1:8">
      <c r="A192">
        <v>5356</v>
      </c>
      <c r="B192" t="s">
        <v>2328</v>
      </c>
      <c r="C192">
        <v>5697</v>
      </c>
      <c r="D192" t="s">
        <v>2197</v>
      </c>
      <c r="E192" t="s">
        <v>2329</v>
      </c>
      <c r="F192">
        <v>202207</v>
      </c>
      <c r="G192" t="s">
        <v>176</v>
      </c>
      <c r="H192">
        <v>0</v>
      </c>
    </row>
    <row r="193" spans="1:8">
      <c r="A193">
        <v>5356</v>
      </c>
      <c r="B193" t="s">
        <v>2328</v>
      </c>
      <c r="C193">
        <v>5697</v>
      </c>
      <c r="D193" t="s">
        <v>2197</v>
      </c>
      <c r="E193" t="s">
        <v>2329</v>
      </c>
      <c r="F193">
        <v>202207</v>
      </c>
      <c r="G193" t="s">
        <v>178</v>
      </c>
      <c r="H193">
        <v>31013</v>
      </c>
    </row>
    <row r="194" spans="1:8">
      <c r="A194">
        <v>5356</v>
      </c>
      <c r="B194" t="s">
        <v>2328</v>
      </c>
      <c r="C194">
        <v>5697</v>
      </c>
      <c r="D194" t="s">
        <v>2197</v>
      </c>
      <c r="E194" t="s">
        <v>2329</v>
      </c>
      <c r="F194">
        <v>202207</v>
      </c>
      <c r="G194" t="s">
        <v>180</v>
      </c>
      <c r="H194">
        <v>27283</v>
      </c>
    </row>
    <row r="195" spans="1:8">
      <c r="A195">
        <v>5356</v>
      </c>
      <c r="B195" t="s">
        <v>2328</v>
      </c>
      <c r="C195">
        <v>5697</v>
      </c>
      <c r="D195" t="s">
        <v>2197</v>
      </c>
      <c r="E195" t="s">
        <v>2329</v>
      </c>
      <c r="F195">
        <v>202207</v>
      </c>
      <c r="G195" t="s">
        <v>182</v>
      </c>
      <c r="H195">
        <v>14446882</v>
      </c>
    </row>
    <row r="196" spans="1:8">
      <c r="A196">
        <v>5356</v>
      </c>
      <c r="B196" t="s">
        <v>2328</v>
      </c>
      <c r="C196">
        <v>5697</v>
      </c>
      <c r="D196" t="s">
        <v>2197</v>
      </c>
      <c r="E196" t="s">
        <v>2329</v>
      </c>
      <c r="F196">
        <v>202207</v>
      </c>
      <c r="G196" t="s">
        <v>184</v>
      </c>
      <c r="H196">
        <v>1607919</v>
      </c>
    </row>
    <row r="197" spans="1:8">
      <c r="A197">
        <v>5356</v>
      </c>
      <c r="B197" t="s">
        <v>2328</v>
      </c>
      <c r="C197">
        <v>5697</v>
      </c>
      <c r="D197" t="s">
        <v>2197</v>
      </c>
      <c r="E197" t="s">
        <v>2329</v>
      </c>
      <c r="F197">
        <v>202207</v>
      </c>
      <c r="G197" t="s">
        <v>192</v>
      </c>
      <c r="H197">
        <v>0</v>
      </c>
    </row>
    <row r="198" spans="1:8">
      <c r="A198">
        <v>5356</v>
      </c>
      <c r="B198" t="s">
        <v>2328</v>
      </c>
      <c r="C198">
        <v>5697</v>
      </c>
      <c r="D198" t="s">
        <v>2197</v>
      </c>
      <c r="E198" t="s">
        <v>2329</v>
      </c>
      <c r="F198">
        <v>202207</v>
      </c>
      <c r="G198" t="s">
        <v>2166</v>
      </c>
      <c r="H198">
        <v>40794.03</v>
      </c>
    </row>
    <row r="199" spans="1:8">
      <c r="A199">
        <v>5356</v>
      </c>
      <c r="B199" t="s">
        <v>2328</v>
      </c>
      <c r="C199">
        <v>5697</v>
      </c>
      <c r="D199" t="s">
        <v>2197</v>
      </c>
      <c r="E199" t="s">
        <v>2329</v>
      </c>
      <c r="F199">
        <v>202207</v>
      </c>
      <c r="G199" t="s">
        <v>2165</v>
      </c>
      <c r="H199">
        <v>0</v>
      </c>
    </row>
    <row r="200" spans="1:8">
      <c r="A200">
        <v>5356</v>
      </c>
      <c r="B200" t="s">
        <v>2328</v>
      </c>
      <c r="C200">
        <v>5697</v>
      </c>
      <c r="D200" t="s">
        <v>2197</v>
      </c>
      <c r="E200" t="s">
        <v>2329</v>
      </c>
      <c r="F200">
        <v>202207</v>
      </c>
      <c r="G200" t="s">
        <v>2162</v>
      </c>
      <c r="H200">
        <v>9.33</v>
      </c>
    </row>
    <row r="201" spans="1:8">
      <c r="A201">
        <v>5356</v>
      </c>
      <c r="B201" t="s">
        <v>2328</v>
      </c>
      <c r="C201">
        <v>5697</v>
      </c>
      <c r="D201" t="s">
        <v>2197</v>
      </c>
      <c r="E201" t="s">
        <v>2329</v>
      </c>
      <c r="F201">
        <v>202207</v>
      </c>
      <c r="G201" t="s">
        <v>2163</v>
      </c>
      <c r="H201">
        <v>15.29</v>
      </c>
    </row>
    <row r="202" spans="1:8">
      <c r="A202">
        <v>5356</v>
      </c>
      <c r="B202" t="s">
        <v>2328</v>
      </c>
      <c r="C202">
        <v>5697</v>
      </c>
      <c r="D202" t="s">
        <v>2197</v>
      </c>
      <c r="E202" t="s">
        <v>2329</v>
      </c>
      <c r="F202">
        <v>202207</v>
      </c>
      <c r="G202" t="s">
        <v>2164</v>
      </c>
      <c r="H202">
        <v>4.17</v>
      </c>
    </row>
    <row r="203" spans="1:8">
      <c r="A203">
        <v>5356</v>
      </c>
      <c r="B203" t="s">
        <v>2328</v>
      </c>
      <c r="C203">
        <v>5697</v>
      </c>
      <c r="D203" t="s">
        <v>2197</v>
      </c>
      <c r="E203" t="s">
        <v>2329</v>
      </c>
      <c r="F203">
        <v>202207</v>
      </c>
      <c r="G203" t="s">
        <v>2167</v>
      </c>
      <c r="H203">
        <v>814252.08</v>
      </c>
    </row>
    <row r="204" spans="1:8">
      <c r="A204">
        <v>5356</v>
      </c>
      <c r="B204" t="s">
        <v>2328</v>
      </c>
      <c r="C204">
        <v>5697</v>
      </c>
      <c r="D204" t="s">
        <v>2197</v>
      </c>
      <c r="E204" t="s">
        <v>2329</v>
      </c>
      <c r="F204">
        <v>202208</v>
      </c>
      <c r="G204" t="s">
        <v>190</v>
      </c>
      <c r="H204">
        <v>0</v>
      </c>
    </row>
    <row r="205" spans="1:8">
      <c r="A205">
        <v>5356</v>
      </c>
      <c r="B205" t="s">
        <v>2328</v>
      </c>
      <c r="C205">
        <v>5697</v>
      </c>
      <c r="D205" t="s">
        <v>2197</v>
      </c>
      <c r="E205" t="s">
        <v>2329</v>
      </c>
      <c r="F205">
        <v>202208</v>
      </c>
      <c r="G205" t="s">
        <v>191</v>
      </c>
      <c r="H205">
        <v>0</v>
      </c>
    </row>
    <row r="206" spans="1:8">
      <c r="A206">
        <v>5356</v>
      </c>
      <c r="B206" t="s">
        <v>2328</v>
      </c>
      <c r="C206">
        <v>5697</v>
      </c>
      <c r="D206" t="s">
        <v>2197</v>
      </c>
      <c r="E206" t="s">
        <v>2329</v>
      </c>
      <c r="F206">
        <v>202208</v>
      </c>
      <c r="G206" t="s">
        <v>176</v>
      </c>
      <c r="H206">
        <v>0</v>
      </c>
    </row>
    <row r="207" spans="1:8">
      <c r="A207">
        <v>5356</v>
      </c>
      <c r="B207" t="s">
        <v>2328</v>
      </c>
      <c r="C207">
        <v>5697</v>
      </c>
      <c r="D207" t="s">
        <v>2197</v>
      </c>
      <c r="E207" t="s">
        <v>2329</v>
      </c>
      <c r="F207">
        <v>202208</v>
      </c>
      <c r="G207" t="s">
        <v>178</v>
      </c>
      <c r="H207">
        <v>31214</v>
      </c>
    </row>
    <row r="208" spans="1:8">
      <c r="A208">
        <v>5356</v>
      </c>
      <c r="B208" t="s">
        <v>2328</v>
      </c>
      <c r="C208">
        <v>5697</v>
      </c>
      <c r="D208" t="s">
        <v>2197</v>
      </c>
      <c r="E208" t="s">
        <v>2329</v>
      </c>
      <c r="F208">
        <v>202208</v>
      </c>
      <c r="G208" t="s">
        <v>180</v>
      </c>
      <c r="H208">
        <v>27182</v>
      </c>
    </row>
    <row r="209" spans="1:8">
      <c r="A209">
        <v>5356</v>
      </c>
      <c r="B209" t="s">
        <v>2328</v>
      </c>
      <c r="C209">
        <v>5697</v>
      </c>
      <c r="D209" t="s">
        <v>2197</v>
      </c>
      <c r="E209" t="s">
        <v>2329</v>
      </c>
      <c r="F209">
        <v>202208</v>
      </c>
      <c r="G209" t="s">
        <v>182</v>
      </c>
      <c r="H209">
        <v>14614790</v>
      </c>
    </row>
    <row r="210" spans="1:8">
      <c r="A210">
        <v>5356</v>
      </c>
      <c r="B210" t="s">
        <v>2328</v>
      </c>
      <c r="C210">
        <v>5697</v>
      </c>
      <c r="D210" t="s">
        <v>2197</v>
      </c>
      <c r="E210" t="s">
        <v>2329</v>
      </c>
      <c r="F210">
        <v>202208</v>
      </c>
      <c r="G210" t="s">
        <v>184</v>
      </c>
      <c r="H210">
        <v>1780237</v>
      </c>
    </row>
    <row r="211" spans="1:8">
      <c r="A211">
        <v>5356</v>
      </c>
      <c r="B211" t="s">
        <v>2328</v>
      </c>
      <c r="C211">
        <v>5697</v>
      </c>
      <c r="D211" t="s">
        <v>2197</v>
      </c>
      <c r="E211" t="s">
        <v>2329</v>
      </c>
      <c r="F211">
        <v>202208</v>
      </c>
      <c r="G211" t="s">
        <v>192</v>
      </c>
      <c r="H211">
        <v>0</v>
      </c>
    </row>
    <row r="212" spans="1:8">
      <c r="A212">
        <v>5356</v>
      </c>
      <c r="B212" t="s">
        <v>2328</v>
      </c>
      <c r="C212">
        <v>5697</v>
      </c>
      <c r="D212" t="s">
        <v>2197</v>
      </c>
      <c r="E212" t="s">
        <v>2329</v>
      </c>
      <c r="F212">
        <v>202208</v>
      </c>
      <c r="G212" t="s">
        <v>2166</v>
      </c>
      <c r="H212">
        <v>44771.34</v>
      </c>
    </row>
    <row r="213" spans="1:8">
      <c r="A213">
        <v>5356</v>
      </c>
      <c r="B213" t="s">
        <v>2328</v>
      </c>
      <c r="C213">
        <v>5697</v>
      </c>
      <c r="D213" t="s">
        <v>2197</v>
      </c>
      <c r="E213" t="s">
        <v>2329</v>
      </c>
      <c r="F213">
        <v>202208</v>
      </c>
      <c r="G213" t="s">
        <v>2165</v>
      </c>
      <c r="H213">
        <v>0</v>
      </c>
    </row>
    <row r="214" spans="1:8">
      <c r="A214">
        <v>5356</v>
      </c>
      <c r="B214" t="s">
        <v>2328</v>
      </c>
      <c r="C214">
        <v>5697</v>
      </c>
      <c r="D214" t="s">
        <v>2197</v>
      </c>
      <c r="E214" t="s">
        <v>2329</v>
      </c>
      <c r="F214">
        <v>202208</v>
      </c>
      <c r="G214" t="s">
        <v>2162</v>
      </c>
      <c r="H214">
        <v>9.33</v>
      </c>
    </row>
    <row r="215" spans="1:8">
      <c r="A215">
        <v>5356</v>
      </c>
      <c r="B215" t="s">
        <v>2328</v>
      </c>
      <c r="C215">
        <v>5697</v>
      </c>
      <c r="D215" t="s">
        <v>2197</v>
      </c>
      <c r="E215" t="s">
        <v>2329</v>
      </c>
      <c r="F215">
        <v>202208</v>
      </c>
      <c r="G215" t="s">
        <v>2163</v>
      </c>
      <c r="H215">
        <v>15.29</v>
      </c>
    </row>
    <row r="216" spans="1:8">
      <c r="A216">
        <v>5356</v>
      </c>
      <c r="B216" t="s">
        <v>2328</v>
      </c>
      <c r="C216">
        <v>5697</v>
      </c>
      <c r="D216" t="s">
        <v>2197</v>
      </c>
      <c r="E216" t="s">
        <v>2329</v>
      </c>
      <c r="F216">
        <v>202208</v>
      </c>
      <c r="G216" t="s">
        <v>2164</v>
      </c>
      <c r="H216">
        <v>4.17</v>
      </c>
    </row>
    <row r="217" spans="1:8">
      <c r="A217">
        <v>5356</v>
      </c>
      <c r="B217" t="s">
        <v>2328</v>
      </c>
      <c r="C217">
        <v>5697</v>
      </c>
      <c r="D217" t="s">
        <v>2197</v>
      </c>
      <c r="E217" t="s">
        <v>2329</v>
      </c>
      <c r="F217">
        <v>202208</v>
      </c>
      <c r="G217" t="s">
        <v>2167</v>
      </c>
      <c r="H217">
        <v>819987.83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2024</v>
      </c>
    </row>
    <row r="3" spans="1:50">
      <c r="A3" s="63" t="s">
        <v>195</v>
      </c>
      <c r="AI3" t="s">
        <v>2025</v>
      </c>
    </row>
    <row r="4" spans="1:50">
      <c r="A4" s="63" t="s">
        <v>196</v>
      </c>
    </row>
    <row r="7" spans="1:50">
      <c r="A7" s="626" t="s">
        <v>197</v>
      </c>
      <c r="M7" t="s">
        <v>2023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38" t="s">
        <v>2282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2281</v>
      </c>
      <c r="X9" s="777" t="s">
        <v>198</v>
      </c>
      <c r="Y9" s="778" t="s">
        <v>219</v>
      </c>
      <c r="AB9" t="s">
        <v>198</v>
      </c>
      <c r="AC9" t="s">
        <v>2283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10" t="s">
        <v>227</v>
      </c>
      <c r="I10" s="1739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8">
        <v>0</v>
      </c>
      <c r="Q10" s="613"/>
      <c r="R10" s="710">
        <v>42613</v>
      </c>
      <c r="S10" s="710" t="s">
        <v>229</v>
      </c>
      <c r="T10" s="710"/>
      <c r="U10" s="233"/>
      <c r="V10" s="17"/>
      <c r="X10" s="781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10" t="s">
        <v>235</v>
      </c>
      <c r="I11" s="1739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8">
        <v>0</v>
      </c>
      <c r="Q11" s="613"/>
      <c r="R11" s="710">
        <v>42613</v>
      </c>
      <c r="S11" s="710" t="s">
        <v>229</v>
      </c>
      <c r="T11" s="710"/>
      <c r="U11" s="233"/>
      <c r="V11" s="17"/>
      <c r="X11" s="781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10" t="s">
        <v>235</v>
      </c>
      <c r="I12" s="1739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8">
        <v>0</v>
      </c>
      <c r="Q12" s="613"/>
      <c r="R12" s="710">
        <v>42673</v>
      </c>
      <c r="S12" s="710" t="s">
        <v>229</v>
      </c>
      <c r="T12" s="710"/>
      <c r="U12" s="233"/>
      <c r="V12" s="17"/>
      <c r="X12" s="781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10" t="s">
        <v>235</v>
      </c>
      <c r="I13" s="1739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8">
        <v>0</v>
      </c>
      <c r="Q13" s="613"/>
      <c r="R13" s="710">
        <v>42410</v>
      </c>
      <c r="S13" s="710" t="s">
        <v>229</v>
      </c>
      <c r="T13" s="710"/>
      <c r="U13" s="233"/>
      <c r="V13" s="17"/>
      <c r="X13" s="781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10" t="s">
        <v>235</v>
      </c>
      <c r="I14" s="1739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8">
        <v>0</v>
      </c>
      <c r="Q14" s="613"/>
      <c r="R14" s="710">
        <v>42562</v>
      </c>
      <c r="S14" s="710" t="s">
        <v>229</v>
      </c>
      <c r="T14" s="710"/>
      <c r="U14" s="233"/>
      <c r="V14" s="17"/>
      <c r="X14" s="781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10" t="s">
        <v>227</v>
      </c>
      <c r="I15" s="1739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8">
        <v>0</v>
      </c>
      <c r="Q15" s="613"/>
      <c r="R15" s="710">
        <v>42673</v>
      </c>
      <c r="S15" s="710" t="s">
        <v>229</v>
      </c>
      <c r="T15" s="710"/>
      <c r="U15" s="233"/>
      <c r="V15" s="17"/>
      <c r="X15" s="781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10" t="s">
        <v>264</v>
      </c>
      <c r="I16" s="1739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8">
        <v>0</v>
      </c>
      <c r="Q16" s="613"/>
      <c r="R16" s="710">
        <v>42507</v>
      </c>
      <c r="S16" s="710" t="s">
        <v>229</v>
      </c>
      <c r="T16" s="710"/>
      <c r="U16" s="233"/>
      <c r="V16" s="17"/>
      <c r="X16" s="781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10" t="s">
        <v>235</v>
      </c>
      <c r="I17" s="1739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8">
        <v>0</v>
      </c>
      <c r="Q17" s="613"/>
      <c r="R17" s="710">
        <v>42475</v>
      </c>
      <c r="S17" s="710" t="s">
        <v>229</v>
      </c>
      <c r="T17" s="710"/>
      <c r="U17" s="233"/>
      <c r="V17" s="17"/>
      <c r="X17" s="781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10" t="s">
        <v>264</v>
      </c>
      <c r="I18" s="1739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8">
        <v>0</v>
      </c>
      <c r="Q18" s="613"/>
      <c r="R18" s="710">
        <v>42475</v>
      </c>
      <c r="S18" s="710" t="s">
        <v>229</v>
      </c>
      <c r="T18" s="710"/>
      <c r="U18" s="233"/>
      <c r="V18" s="17"/>
      <c r="X18" s="781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10" t="s">
        <v>235</v>
      </c>
      <c r="I19" s="1739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8">
        <v>0</v>
      </c>
      <c r="Q19" s="613"/>
      <c r="R19" s="710">
        <v>42673</v>
      </c>
      <c r="S19" s="710" t="s">
        <v>229</v>
      </c>
      <c r="T19" s="710"/>
      <c r="U19" s="233"/>
      <c r="V19" s="17"/>
      <c r="X19" s="781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10" t="s">
        <v>287</v>
      </c>
      <c r="I20" s="1739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8">
        <v>0</v>
      </c>
      <c r="Q20" s="613"/>
      <c r="R20" s="710">
        <v>42641</v>
      </c>
      <c r="S20" s="710" t="s">
        <v>229</v>
      </c>
      <c r="T20" s="710"/>
      <c r="U20" s="233"/>
      <c r="V20" s="17"/>
      <c r="X20" s="781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10" t="s">
        <v>293</v>
      </c>
      <c r="I21" s="1739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8">
        <v>0</v>
      </c>
      <c r="Q21" s="613"/>
      <c r="R21" s="710">
        <v>42641</v>
      </c>
      <c r="S21" s="710" t="s">
        <v>229</v>
      </c>
      <c r="T21" s="710"/>
      <c r="U21" s="233"/>
      <c r="V21" s="17"/>
      <c r="X21" s="781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10" t="s">
        <v>287</v>
      </c>
      <c r="I22" s="1739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8">
        <v>0</v>
      </c>
      <c r="Q22" s="613"/>
      <c r="R22" s="710">
        <v>42641</v>
      </c>
      <c r="S22" s="710" t="s">
        <v>229</v>
      </c>
      <c r="T22" s="710"/>
      <c r="U22" s="233"/>
      <c r="V22" s="17"/>
      <c r="X22" s="781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10" t="s">
        <v>287</v>
      </c>
      <c r="I23" s="1739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8">
        <v>0</v>
      </c>
      <c r="Q23" s="613"/>
      <c r="R23" s="710">
        <v>42641</v>
      </c>
      <c r="S23" s="710" t="s">
        <v>229</v>
      </c>
      <c r="T23" s="710"/>
      <c r="U23" s="233"/>
      <c r="V23" s="17"/>
      <c r="X23" s="781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10" t="s">
        <v>287</v>
      </c>
      <c r="I24" s="1739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8">
        <v>0</v>
      </c>
      <c r="Q24" s="613"/>
      <c r="R24" s="710">
        <v>42641</v>
      </c>
      <c r="S24" s="710" t="s">
        <v>229</v>
      </c>
      <c r="T24" s="710"/>
      <c r="U24" s="233"/>
      <c r="V24" s="17"/>
      <c r="X24" s="781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10" t="s">
        <v>315</v>
      </c>
      <c r="I25" s="1739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8">
        <v>0</v>
      </c>
      <c r="Q25" s="613"/>
      <c r="R25" s="710">
        <v>42641</v>
      </c>
      <c r="S25" s="710" t="s">
        <v>229</v>
      </c>
      <c r="T25" s="710"/>
      <c r="U25" s="233"/>
      <c r="V25" s="17"/>
      <c r="X25" s="781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10" t="s">
        <v>320</v>
      </c>
      <c r="I26" s="1739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8">
        <v>0</v>
      </c>
      <c r="Q26" s="613"/>
      <c r="R26" s="710">
        <v>42641</v>
      </c>
      <c r="S26" s="710" t="s">
        <v>229</v>
      </c>
      <c r="T26" s="710"/>
      <c r="U26" s="233"/>
      <c r="V26" s="17"/>
      <c r="X26" s="781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10" t="s">
        <v>326</v>
      </c>
      <c r="I27" s="1739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8">
        <v>0</v>
      </c>
      <c r="Q27" s="613"/>
      <c r="R27" s="710">
        <v>42641</v>
      </c>
      <c r="S27" s="710" t="s">
        <v>229</v>
      </c>
      <c r="T27" s="710"/>
      <c r="U27" s="233"/>
      <c r="V27" s="17"/>
      <c r="X27" s="781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10" t="s">
        <v>287</v>
      </c>
      <c r="I28" s="1739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8">
        <v>0</v>
      </c>
      <c r="Q28" s="613"/>
      <c r="R28" s="710">
        <v>42641</v>
      </c>
      <c r="S28" s="710" t="s">
        <v>229</v>
      </c>
      <c r="T28" s="710"/>
      <c r="U28" s="233"/>
      <c r="V28" s="17"/>
      <c r="X28" s="781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10" t="s">
        <v>338</v>
      </c>
      <c r="I29" s="1739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8">
        <v>0</v>
      </c>
      <c r="Q29" s="613"/>
      <c r="R29" s="710">
        <v>42641</v>
      </c>
      <c r="S29" s="710" t="s">
        <v>229</v>
      </c>
      <c r="T29" s="710"/>
      <c r="U29" s="233"/>
      <c r="V29" s="17"/>
      <c r="X29" s="781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10" t="s">
        <v>287</v>
      </c>
      <c r="I30" s="1739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8">
        <v>0</v>
      </c>
      <c r="Q30" s="613"/>
      <c r="R30" s="710">
        <v>42641</v>
      </c>
      <c r="S30" s="710" t="s">
        <v>229</v>
      </c>
      <c r="T30" s="710"/>
      <c r="U30" s="233"/>
      <c r="V30" s="17"/>
      <c r="X30" s="781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10" t="s">
        <v>287</v>
      </c>
      <c r="I31" s="1739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8">
        <v>0</v>
      </c>
      <c r="Q31" s="613"/>
      <c r="R31" s="710">
        <v>42641</v>
      </c>
      <c r="S31" s="710" t="s">
        <v>229</v>
      </c>
      <c r="T31" s="710"/>
      <c r="U31" s="233"/>
      <c r="V31" s="17"/>
      <c r="X31" s="781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10" t="s">
        <v>326</v>
      </c>
      <c r="I32" s="1739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8">
        <v>0</v>
      </c>
      <c r="Q32" s="613"/>
      <c r="R32" s="710">
        <v>42641</v>
      </c>
      <c r="S32" s="710" t="s">
        <v>229</v>
      </c>
      <c r="T32" s="710"/>
      <c r="U32" s="233"/>
      <c r="V32" s="17"/>
      <c r="X32" s="781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10" t="s">
        <v>287</v>
      </c>
      <c r="I33" s="1739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8">
        <v>0</v>
      </c>
      <c r="Q33" s="613"/>
      <c r="R33" s="710">
        <v>42641</v>
      </c>
      <c r="S33" s="710" t="s">
        <v>229</v>
      </c>
      <c r="T33" s="710"/>
      <c r="U33" s="233"/>
      <c r="V33" s="17"/>
      <c r="X33" s="781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10" t="s">
        <v>364</v>
      </c>
      <c r="I34" s="1739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8">
        <v>0</v>
      </c>
      <c r="Q34" s="613"/>
      <c r="R34" s="710">
        <v>42641</v>
      </c>
      <c r="S34" s="710" t="s">
        <v>229</v>
      </c>
      <c r="T34" s="710"/>
      <c r="U34" s="233"/>
      <c r="V34" s="17"/>
      <c r="X34" s="781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10" t="s">
        <v>320</v>
      </c>
      <c r="I35" s="1739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8">
        <v>0</v>
      </c>
      <c r="Q35" s="613"/>
      <c r="R35" s="710">
        <v>42641</v>
      </c>
      <c r="S35" s="710" t="s">
        <v>229</v>
      </c>
      <c r="T35" s="710"/>
      <c r="U35" s="233"/>
      <c r="V35" s="17"/>
      <c r="X35" s="781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10" t="s">
        <v>287</v>
      </c>
      <c r="I36" s="1739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8">
        <v>0</v>
      </c>
      <c r="Q36" s="613"/>
      <c r="R36" s="710">
        <v>42641</v>
      </c>
      <c r="S36" s="710" t="s">
        <v>229</v>
      </c>
      <c r="T36" s="710"/>
      <c r="U36" s="233"/>
      <c r="V36" s="17"/>
      <c r="X36" s="781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10" t="s">
        <v>381</v>
      </c>
      <c r="I37" s="1739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8">
        <v>0</v>
      </c>
      <c r="Q37" s="613"/>
      <c r="R37" s="710">
        <v>42551</v>
      </c>
      <c r="S37" s="710" t="s">
        <v>229</v>
      </c>
      <c r="T37" s="710"/>
      <c r="U37" s="233"/>
      <c r="V37" s="17"/>
      <c r="X37" s="781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10" t="s">
        <v>386</v>
      </c>
      <c r="I38" s="1739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8">
        <v>69.23</v>
      </c>
      <c r="Q38" s="710">
        <v>42917</v>
      </c>
      <c r="R38" s="710">
        <v>42551</v>
      </c>
      <c r="S38" s="710" t="s">
        <v>229</v>
      </c>
      <c r="T38" s="710"/>
      <c r="U38" s="233"/>
      <c r="V38" s="17"/>
      <c r="X38" s="781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10" t="s">
        <v>392</v>
      </c>
      <c r="I39" s="1739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8">
        <v>0</v>
      </c>
      <c r="Q39" s="613"/>
      <c r="R39" s="710">
        <v>42486</v>
      </c>
      <c r="S39" s="710" t="s">
        <v>229</v>
      </c>
      <c r="T39" s="710"/>
      <c r="U39" s="233"/>
      <c r="V39" s="17"/>
      <c r="X39" s="781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10" t="s">
        <v>397</v>
      </c>
      <c r="I40" s="1739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8">
        <v>0</v>
      </c>
      <c r="Q40" s="613"/>
      <c r="R40" s="710">
        <v>42547</v>
      </c>
      <c r="S40" s="710" t="s">
        <v>229</v>
      </c>
      <c r="T40" s="710"/>
      <c r="U40" s="233"/>
      <c r="V40" s="17"/>
      <c r="X40" s="781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10" t="s">
        <v>397</v>
      </c>
      <c r="I41" s="1739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8">
        <v>0</v>
      </c>
      <c r="Q41" s="613"/>
      <c r="R41" s="710">
        <v>42551</v>
      </c>
      <c r="S41" s="710" t="s">
        <v>229</v>
      </c>
      <c r="T41" s="710"/>
      <c r="U41" s="233"/>
      <c r="V41" s="17"/>
      <c r="X41" s="781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10" t="s">
        <v>408</v>
      </c>
      <c r="I42" s="1739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8">
        <v>0</v>
      </c>
      <c r="Q42" s="613"/>
      <c r="R42" s="710">
        <v>42551</v>
      </c>
      <c r="S42" s="710" t="s">
        <v>229</v>
      </c>
      <c r="T42" s="710"/>
      <c r="U42" s="233"/>
      <c r="V42" s="17"/>
      <c r="X42" s="781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10" t="s">
        <v>397</v>
      </c>
      <c r="I43" s="1739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8">
        <v>0</v>
      </c>
      <c r="Q43" s="613"/>
      <c r="R43" s="710">
        <v>42551</v>
      </c>
      <c r="S43" s="710" t="s">
        <v>229</v>
      </c>
      <c r="T43" s="710"/>
      <c r="U43" s="233"/>
      <c r="V43" s="17"/>
      <c r="X43" s="781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10" t="s">
        <v>397</v>
      </c>
      <c r="I44" s="1739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8">
        <v>0</v>
      </c>
      <c r="Q44" s="613"/>
      <c r="R44" s="710">
        <v>42551</v>
      </c>
      <c r="S44" s="710" t="s">
        <v>229</v>
      </c>
      <c r="T44" s="710"/>
      <c r="U44" s="233"/>
      <c r="V44" s="17"/>
      <c r="X44" s="781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10" t="s">
        <v>287</v>
      </c>
      <c r="I45" s="1739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8">
        <v>0</v>
      </c>
      <c r="Q45" s="613"/>
      <c r="R45" s="710">
        <v>42551</v>
      </c>
      <c r="S45" s="710" t="s">
        <v>229</v>
      </c>
      <c r="T45" s="710"/>
      <c r="U45" s="233"/>
      <c r="V45" s="17"/>
      <c r="X45" s="781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10" t="s">
        <v>227</v>
      </c>
      <c r="I46" s="1739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8">
        <v>0</v>
      </c>
      <c r="Q46" s="613"/>
      <c r="R46" s="710">
        <v>42451</v>
      </c>
      <c r="S46" s="710" t="s">
        <v>229</v>
      </c>
      <c r="T46" s="710"/>
      <c r="U46" s="233"/>
      <c r="V46" s="17"/>
      <c r="X46" s="781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10" t="s">
        <v>438</v>
      </c>
      <c r="I47" s="1739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8">
        <v>0</v>
      </c>
      <c r="Q47" s="613"/>
      <c r="R47" s="710">
        <v>42489</v>
      </c>
      <c r="S47" s="710" t="s">
        <v>229</v>
      </c>
      <c r="T47" s="710"/>
      <c r="U47" s="233"/>
      <c r="V47" s="17"/>
      <c r="X47" s="781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9" t="s">
        <v>442</v>
      </c>
      <c r="H48" s="710" t="s">
        <v>443</v>
      </c>
      <c r="I48" s="1739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10" t="s">
        <v>444</v>
      </c>
      <c r="Q48" s="613"/>
      <c r="R48" s="710"/>
      <c r="S48" s="710" t="s">
        <v>445</v>
      </c>
      <c r="T48" s="710">
        <v>43374</v>
      </c>
      <c r="U48" s="233"/>
      <c r="V48" s="17"/>
      <c r="X48" s="781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9" t="s">
        <v>450</v>
      </c>
      <c r="H49" s="710" t="s">
        <v>451</v>
      </c>
      <c r="I49" s="1739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10" t="s">
        <v>444</v>
      </c>
      <c r="Q49" s="613"/>
      <c r="R49" s="710"/>
      <c r="S49" s="710" t="s">
        <v>445</v>
      </c>
      <c r="T49" s="710">
        <v>43405</v>
      </c>
      <c r="U49" s="233"/>
      <c r="V49" s="17"/>
      <c r="X49" s="781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9" t="s">
        <v>455</v>
      </c>
      <c r="H50" s="710" t="s">
        <v>456</v>
      </c>
      <c r="I50" s="1739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10" t="s">
        <v>444</v>
      </c>
      <c r="Q50" s="613"/>
      <c r="R50" s="710"/>
      <c r="S50" s="710" t="s">
        <v>445</v>
      </c>
      <c r="T50" s="710">
        <v>43405</v>
      </c>
      <c r="U50" s="233"/>
      <c r="V50" s="17"/>
      <c r="X50" s="781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9" t="s">
        <v>461</v>
      </c>
      <c r="H51" s="710" t="s">
        <v>462</v>
      </c>
      <c r="I51" s="1739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10" t="s">
        <v>444</v>
      </c>
      <c r="Q51" s="613"/>
      <c r="R51" s="710"/>
      <c r="S51" s="710" t="s">
        <v>445</v>
      </c>
      <c r="T51" s="710">
        <v>43405</v>
      </c>
      <c r="U51" s="233"/>
      <c r="V51" s="17"/>
      <c r="X51" s="781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9" t="s">
        <v>467</v>
      </c>
      <c r="H52" s="710" t="s">
        <v>468</v>
      </c>
      <c r="I52" s="1739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10" t="s">
        <v>444</v>
      </c>
      <c r="Q52" s="613"/>
      <c r="R52" s="710"/>
      <c r="S52" s="710" t="s">
        <v>445</v>
      </c>
      <c r="T52" s="710">
        <v>43405</v>
      </c>
      <c r="U52" s="233"/>
      <c r="V52" s="17"/>
      <c r="X52" s="781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9" t="s">
        <v>474</v>
      </c>
      <c r="H53" s="710" t="s">
        <v>475</v>
      </c>
      <c r="I53" s="1739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10" t="s">
        <v>444</v>
      </c>
      <c r="Q53" s="613"/>
      <c r="R53" s="710"/>
      <c r="S53" s="710" t="s">
        <v>445</v>
      </c>
      <c r="T53" s="710">
        <v>43466</v>
      </c>
      <c r="U53" s="233"/>
      <c r="V53" s="17"/>
      <c r="X53" s="781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9" t="s">
        <v>480</v>
      </c>
      <c r="H54" s="710" t="s">
        <v>481</v>
      </c>
      <c r="I54" s="1739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10" t="s">
        <v>444</v>
      </c>
      <c r="Q54" s="613"/>
      <c r="R54" s="710"/>
      <c r="S54" s="710" t="s">
        <v>445</v>
      </c>
      <c r="T54" s="710">
        <v>43435</v>
      </c>
      <c r="U54" s="233"/>
      <c r="V54" s="17"/>
      <c r="X54" s="781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9" t="s">
        <v>485</v>
      </c>
      <c r="H55" s="710" t="s">
        <v>486</v>
      </c>
      <c r="I55" s="1739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10" t="s">
        <v>444</v>
      </c>
      <c r="Q55" s="613"/>
      <c r="R55" s="710"/>
      <c r="S55" s="710" t="s">
        <v>445</v>
      </c>
      <c r="T55" s="710">
        <v>43435</v>
      </c>
      <c r="U55" s="233"/>
      <c r="V55" s="17"/>
      <c r="X55" s="781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9" t="s">
        <v>490</v>
      </c>
      <c r="H56" s="710" t="s">
        <v>491</v>
      </c>
      <c r="I56" s="1739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10" t="s">
        <v>444</v>
      </c>
      <c r="Q56" s="613"/>
      <c r="R56" s="710"/>
      <c r="S56" s="710" t="s">
        <v>445</v>
      </c>
      <c r="T56" s="710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9" t="s">
        <v>496</v>
      </c>
      <c r="H57" s="710" t="s">
        <v>497</v>
      </c>
      <c r="I57" s="1739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10" t="s">
        <v>444</v>
      </c>
      <c r="Q57" s="613"/>
      <c r="R57" s="710"/>
      <c r="S57" s="710" t="s">
        <v>445</v>
      </c>
      <c r="T57" s="710">
        <v>43435</v>
      </c>
      <c r="U57" s="233"/>
      <c r="V57" s="17"/>
      <c r="X57" s="837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10" t="s">
        <v>503</v>
      </c>
      <c r="I58" s="1739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10"/>
      <c r="Q58" s="613"/>
      <c r="R58" s="710"/>
      <c r="S58" s="710" t="s">
        <v>445</v>
      </c>
      <c r="T58" s="710">
        <v>43525</v>
      </c>
      <c r="U58" s="233"/>
      <c r="V58" s="17"/>
      <c r="X58" s="781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10" t="s">
        <v>508</v>
      </c>
      <c r="I59" s="1739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10"/>
      <c r="Q59" s="613"/>
      <c r="R59" s="710"/>
      <c r="S59" s="710" t="s">
        <v>445</v>
      </c>
      <c r="T59" s="710">
        <v>43525</v>
      </c>
      <c r="U59" s="233"/>
      <c r="V59" s="17"/>
      <c r="X59" s="781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10" t="s">
        <v>513</v>
      </c>
      <c r="I60" s="1739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10"/>
      <c r="Q60" s="613"/>
      <c r="R60" s="710"/>
      <c r="S60" s="710" t="s">
        <v>445</v>
      </c>
      <c r="T60" s="710">
        <v>43614</v>
      </c>
      <c r="X60" s="781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10">
        <v>43831</v>
      </c>
      <c r="H61" s="824" t="s">
        <v>518</v>
      </c>
      <c r="I61" s="1739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4"/>
      <c r="R61" s="824"/>
      <c r="S61" s="710" t="s">
        <v>519</v>
      </c>
      <c r="T61" s="824">
        <v>44105</v>
      </c>
      <c r="X61" s="613" t="s">
        <v>414</v>
      </c>
      <c r="Y61" s="819"/>
      <c r="AB61" t="s">
        <v>258</v>
      </c>
      <c r="AC61" s="8">
        <v>44772</v>
      </c>
      <c r="AD61" s="819"/>
      <c r="AS61"/>
      <c r="AX61"/>
    </row>
    <row r="62" spans="1:50">
      <c r="AD62" s="751"/>
    </row>
    <row r="64" spans="1:50">
      <c r="B64">
        <v>6896</v>
      </c>
    </row>
    <row r="66" spans="1:14" hidden="1">
      <c r="A66" s="626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2028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5">
        <v>0</v>
      </c>
      <c r="M69" s="825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5">
        <v>0</v>
      </c>
      <c r="M70" s="825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5">
        <v>0</v>
      </c>
      <c r="M71" s="825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5">
        <v>0</v>
      </c>
      <c r="M72" s="825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5">
        <v>0</v>
      </c>
      <c r="M73" s="825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5">
        <v>0</v>
      </c>
      <c r="M74" s="1449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5">
        <v>0.29099999999999998</v>
      </c>
      <c r="M75" s="1450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5">
        <v>0.56379999999999997</v>
      </c>
      <c r="M76" s="1450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5">
        <v>0</v>
      </c>
      <c r="M77" s="825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5">
        <v>0.2326</v>
      </c>
      <c r="M78" s="1450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5">
        <v>0.2326</v>
      </c>
      <c r="M79" s="1450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5">
        <v>9.9400000000000002E-2</v>
      </c>
      <c r="M80" s="1450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5">
        <v>9.9400000000000002E-2</v>
      </c>
      <c r="M81" s="1450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5">
        <v>0</v>
      </c>
      <c r="M82" s="825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5">
        <v>0.63749999999999996</v>
      </c>
      <c r="M83" s="1450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5">
        <f>DescontosTE[[#This Row],[2019]]</f>
        <v>0.43730000000000002</v>
      </c>
      <c r="M84" s="1451">
        <f>DescontosTE[[#This Row],[2020]]</f>
        <v>0.43730000000000002</v>
      </c>
      <c r="N84" s="1451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5">
        <v>0.25619999999999998</v>
      </c>
      <c r="M85" s="1450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5">
        <v>0.37969999999999998</v>
      </c>
      <c r="M86" s="1450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5">
        <v>0.55110000000000003</v>
      </c>
      <c r="M87" s="1450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5">
        <v>0.2132</v>
      </c>
      <c r="M88" s="1450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5">
        <v>0.2132</v>
      </c>
      <c r="M89" s="1450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5">
        <v>0.2132</v>
      </c>
      <c r="M90" s="1450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6">
        <v>5.0599999999999999E-2</v>
      </c>
      <c r="L91" s="825">
        <v>0</v>
      </c>
      <c r="M91" s="825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80">
        <v>1.2E-2</v>
      </c>
      <c r="L92" s="825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80">
        <v>1.2E-2</v>
      </c>
      <c r="L93" s="825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80">
        <v>1.2E-2</v>
      </c>
      <c r="L94" s="825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80">
        <v>1.2E-2</v>
      </c>
      <c r="L95" s="825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80">
        <v>1.2E-2</v>
      </c>
      <c r="L96" s="825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5">
        <v>0.58150000000000002</v>
      </c>
      <c r="M97" s="1450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5">
        <v>0</v>
      </c>
      <c r="M98" s="825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5">
        <v>0</v>
      </c>
      <c r="M99" s="825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5">
        <v>0</v>
      </c>
      <c r="M100" s="825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5">
        <v>0</v>
      </c>
      <c r="M101" s="825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5">
        <v>0.55579999999999996</v>
      </c>
      <c r="M102" s="1450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5">
        <v>0.55579999999999996</v>
      </c>
      <c r="M103" s="1450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5">
        <v>0</v>
      </c>
      <c r="M104" s="825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5">
        <v>0.44540000000000002</v>
      </c>
      <c r="M105" s="1450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9">
        <v>0</v>
      </c>
      <c r="K106" s="653">
        <v>0</v>
      </c>
      <c r="L106" s="825">
        <v>0</v>
      </c>
      <c r="M106" s="825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9">
        <v>0.31390000000000001</v>
      </c>
      <c r="K107" s="653">
        <v>0.31390000000000001</v>
      </c>
      <c r="L107" s="825">
        <v>7.5600000000000001E-2</v>
      </c>
      <c r="M107" s="1450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9">
        <v>0.31390000000000001</v>
      </c>
      <c r="K108" s="653">
        <v>0.31390000000000001</v>
      </c>
      <c r="L108" s="825">
        <v>7.5600000000000001E-2</v>
      </c>
      <c r="M108" s="1450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5">
        <v>0.48139999999999999</v>
      </c>
      <c r="M109" s="1450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5">
        <v>0.55869999999999997</v>
      </c>
      <c r="M110" s="1450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5">
        <v>0</v>
      </c>
      <c r="M111" s="825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5">
        <v>0</v>
      </c>
      <c r="M112" s="825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5">
        <v>0</v>
      </c>
      <c r="M113" s="825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5">
        <v>0.35730000000000001</v>
      </c>
      <c r="M114" s="1450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5">
        <v>0.35730000000000001</v>
      </c>
      <c r="M115" s="1450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5">
        <v>0.81359999999999999</v>
      </c>
      <c r="M116" s="1450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5">
        <v>0</v>
      </c>
      <c r="M117" s="825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5">
        <v>0</v>
      </c>
      <c r="M118" s="825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5">
        <v>0.59</v>
      </c>
      <c r="M119" s="1450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5">
        <v>0.42730000000000001</v>
      </c>
      <c r="M120" s="1450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5">
        <v>0.42730000000000001</v>
      </c>
      <c r="M121" s="1450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5">
        <v>0.42730000000000001</v>
      </c>
      <c r="M122" s="1450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5">
        <v>0</v>
      </c>
      <c r="M123" s="825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5">
        <v>0</v>
      </c>
      <c r="M124" s="825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5">
        <v>3.3399999999999999E-2</v>
      </c>
      <c r="M125" s="1450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5">
        <v>0</v>
      </c>
      <c r="M126" s="825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5">
        <v>0</v>
      </c>
      <c r="M127" s="825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5">
        <v>0</v>
      </c>
      <c r="M128" s="825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5">
        <v>0</v>
      </c>
      <c r="M129" s="825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5">
        <v>0.28499999999999998</v>
      </c>
      <c r="M130" s="1450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5">
        <v>0.214</v>
      </c>
      <c r="M131" s="1450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5">
        <v>2.07E-2</v>
      </c>
      <c r="M132" s="1450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80">
        <v>0.38529999999999998</v>
      </c>
      <c r="L133" s="825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80">
        <v>0.38030000000000003</v>
      </c>
      <c r="L134" s="825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80">
        <v>0.1401</v>
      </c>
      <c r="L135" s="825">
        <v>0.1401</v>
      </c>
      <c r="M135" s="1450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80">
        <v>0.22370000000000001</v>
      </c>
      <c r="L136" s="825">
        <v>0.1273</v>
      </c>
      <c r="M136" s="1450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80">
        <v>0.42030000000000001</v>
      </c>
      <c r="L137" s="825">
        <v>0.33839999999999998</v>
      </c>
      <c r="M137" s="1450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80">
        <v>0.4153</v>
      </c>
      <c r="L138" s="825">
        <v>0.33839999999999998</v>
      </c>
      <c r="M138" s="1450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80">
        <v>4.3299999999999998E-2</v>
      </c>
      <c r="L139" s="825">
        <v>0</v>
      </c>
      <c r="M139" s="825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80">
        <v>4.3299999999999998E-2</v>
      </c>
      <c r="L140" s="825">
        <v>0</v>
      </c>
      <c r="M140" s="825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80">
        <v>0.3735</v>
      </c>
      <c r="L141" s="825">
        <v>0.29289999999999999</v>
      </c>
      <c r="M141" s="1450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80">
        <v>0.34079999999999999</v>
      </c>
      <c r="L142" s="825">
        <v>0.25679999999999997</v>
      </c>
      <c r="M142" s="1450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80">
        <v>0.28170000000000001</v>
      </c>
      <c r="L143" s="825">
        <v>0.25019999999999998</v>
      </c>
      <c r="M143" s="1450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80">
        <v>0.16650000000000001</v>
      </c>
      <c r="L144" s="825">
        <v>0.1057</v>
      </c>
      <c r="M144" s="1450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80">
        <v>0.33779999999999999</v>
      </c>
      <c r="L145" s="825">
        <v>0.20419999999999999</v>
      </c>
      <c r="M145" s="1450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80">
        <v>0.48630000000000001</v>
      </c>
      <c r="L146" s="825">
        <v>0.37609999999999999</v>
      </c>
      <c r="M146" s="1450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80">
        <v>0.18690000000000001</v>
      </c>
      <c r="L147" s="825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80">
        <v>0.18690000000000001</v>
      </c>
      <c r="L148" s="825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6"/>
      <c r="H149" s="826"/>
      <c r="I149" s="826"/>
      <c r="J149" s="500"/>
      <c r="K149" s="780"/>
      <c r="L149" s="825">
        <v>0.1426</v>
      </c>
      <c r="M149" s="1450">
        <v>0.1426</v>
      </c>
      <c r="AS149" s="819"/>
      <c r="AX149" s="819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50">
        <v>0.1426</v>
      </c>
      <c r="AS150" s="819"/>
      <c r="AX150" s="819"/>
    </row>
    <row r="154" spans="1:50">
      <c r="A154" s="626" t="s">
        <v>546</v>
      </c>
    </row>
    <row r="156" spans="1:50">
      <c r="A156" s="9" t="s">
        <v>22</v>
      </c>
      <c r="B156" s="627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2028</v>
      </c>
    </row>
    <row r="157" spans="1:50">
      <c r="A157" s="9" t="s">
        <v>521</v>
      </c>
      <c r="B157" s="628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9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9">
        <v>750.67</v>
      </c>
      <c r="L158">
        <v>694.52</v>
      </c>
      <c r="M158" s="408">
        <v>683.87</v>
      </c>
    </row>
    <row r="159" spans="1:50">
      <c r="A159" s="9" t="s">
        <v>521</v>
      </c>
      <c r="B159" s="628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9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9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9">
        <v>521.09</v>
      </c>
      <c r="L160">
        <v>586.86</v>
      </c>
      <c r="M160">
        <v>663.81999999999994</v>
      </c>
    </row>
    <row r="161" spans="1:13">
      <c r="A161" s="9" t="s">
        <v>521</v>
      </c>
      <c r="B161" s="628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9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9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9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8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9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9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9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8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9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9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9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8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9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9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8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9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9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8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9">
        <v>544.1</v>
      </c>
      <c r="L171">
        <v>589.07999999999993</v>
      </c>
      <c r="M171" s="631">
        <v>561.9</v>
      </c>
    </row>
    <row r="172" spans="1:13">
      <c r="A172" s="9" t="s">
        <v>521</v>
      </c>
      <c r="B172" s="629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9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9">
        <v>655.47</v>
      </c>
      <c r="L173">
        <v>654.13</v>
      </c>
      <c r="M173" s="408">
        <v>721.68</v>
      </c>
    </row>
    <row r="174" spans="1:13">
      <c r="A174" s="9" t="s">
        <v>521</v>
      </c>
      <c r="B174" s="629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9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8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9">
        <v>559.04</v>
      </c>
      <c r="L175">
        <v>605.22</v>
      </c>
      <c r="M175" s="408">
        <v>641.27</v>
      </c>
    </row>
    <row r="176" spans="1:13">
      <c r="A176" s="9" t="s">
        <v>521</v>
      </c>
      <c r="B176" s="629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9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8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9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9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9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8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9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9">
        <v>387.09</v>
      </c>
      <c r="L180">
        <v>395.17</v>
      </c>
      <c r="M180" s="408">
        <v>403.03</v>
      </c>
    </row>
    <row r="181" spans="1:13">
      <c r="A181" s="9" t="s">
        <v>521</v>
      </c>
      <c r="B181" s="628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9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9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9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8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9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9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8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9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9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9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9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9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9">
        <v>503.84</v>
      </c>
      <c r="L188">
        <v>506.04</v>
      </c>
      <c r="M188" s="408">
        <v>514.01</v>
      </c>
    </row>
    <row r="189" spans="1:13">
      <c r="A189" s="9" t="s">
        <v>521</v>
      </c>
      <c r="B189" s="628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9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9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8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9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9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9">
        <v>469.96</v>
      </c>
      <c r="L192">
        <v>496.82</v>
      </c>
      <c r="M192" s="408">
        <v>587.54</v>
      </c>
    </row>
    <row r="193" spans="1:16">
      <c r="A193" s="9" t="s">
        <v>521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9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30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9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9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9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9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9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9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9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9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9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9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9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9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9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5" t="s">
        <v>265</v>
      </c>
      <c r="C207" s="232"/>
      <c r="D207" s="232"/>
      <c r="E207" s="232"/>
      <c r="F207" s="232"/>
      <c r="G207" s="232"/>
      <c r="H207" s="232"/>
      <c r="K207" s="779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5" t="s">
        <v>258</v>
      </c>
      <c r="C208" s="232"/>
      <c r="D208" s="232"/>
      <c r="E208" s="232"/>
      <c r="F208" s="232"/>
      <c r="G208" s="232"/>
      <c r="H208" s="232"/>
      <c r="K208" s="779"/>
      <c r="L208">
        <f>357.76+231.81</f>
        <v>589.56999999999994</v>
      </c>
      <c r="M208" s="408">
        <v>677.96999999999991</v>
      </c>
      <c r="O208" s="814" t="s">
        <v>552</v>
      </c>
      <c r="P208" s="815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9">
        <f>397.32+270.9</f>
        <v>668.22</v>
      </c>
      <c r="L209">
        <v>683.67</v>
      </c>
      <c r="M209" s="507">
        <v>714.43999999999994</v>
      </c>
      <c r="N209">
        <v>838.02</v>
      </c>
      <c r="O209" s="814" t="s">
        <v>553</v>
      </c>
      <c r="P209" s="815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9">
        <v>469.78</v>
      </c>
      <c r="L210">
        <v>505.99000000000007</v>
      </c>
      <c r="M210" s="408">
        <v>532.24</v>
      </c>
      <c r="O210" s="814" t="s">
        <v>554</v>
      </c>
      <c r="P210" s="815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4" t="s">
        <v>555</v>
      </c>
      <c r="P211" s="815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9">
        <v>517.61</v>
      </c>
      <c r="L212">
        <v>512.77</v>
      </c>
      <c r="M212" s="408">
        <v>558.81000000000006</v>
      </c>
      <c r="O212" s="814" t="s">
        <v>556</v>
      </c>
      <c r="P212" s="815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9">
        <v>523.02</v>
      </c>
      <c r="L213">
        <v>550.20000000000005</v>
      </c>
      <c r="M213">
        <v>595.66</v>
      </c>
      <c r="N213">
        <v>678.65</v>
      </c>
      <c r="O213" s="814" t="s">
        <v>557</v>
      </c>
      <c r="P213" s="815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9">
        <v>490.18</v>
      </c>
      <c r="L214">
        <v>533.54999999999995</v>
      </c>
      <c r="M214" s="408">
        <v>619.94000000000005</v>
      </c>
      <c r="O214" s="814" t="s">
        <v>558</v>
      </c>
      <c r="P214" s="815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9">
        <f>303.99+243.7</f>
        <v>547.69000000000005</v>
      </c>
      <c r="L215">
        <v>541.15</v>
      </c>
      <c r="M215" s="820">
        <v>564.97</v>
      </c>
      <c r="N215">
        <v>606.77</v>
      </c>
      <c r="O215" s="814" t="s">
        <v>559</v>
      </c>
      <c r="P215" s="815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9">
        <v>525.73</v>
      </c>
      <c r="L216" s="631">
        <v>546.10945347732809</v>
      </c>
      <c r="M216" s="408">
        <v>635.92000000000007</v>
      </c>
      <c r="N216" s="812"/>
      <c r="O216" s="814" t="s">
        <v>560</v>
      </c>
      <c r="P216" s="815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9">
        <v>531.87</v>
      </c>
      <c r="L217" s="631">
        <v>555.04999999999995</v>
      </c>
      <c r="M217" s="408">
        <v>622.58000000000004</v>
      </c>
      <c r="O217" s="814" t="s">
        <v>561</v>
      </c>
      <c r="P217" s="815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9">
        <v>515.59</v>
      </c>
      <c r="L218" s="631">
        <v>534.19000000000005</v>
      </c>
      <c r="M218" s="408">
        <v>594.49</v>
      </c>
      <c r="O218" s="814" t="s">
        <v>562</v>
      </c>
      <c r="P218" s="815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9">
        <v>530.72</v>
      </c>
      <c r="L219" s="631">
        <v>535.51</v>
      </c>
      <c r="M219" s="232">
        <v>580.43681504518099</v>
      </c>
      <c r="N219">
        <v>677.99</v>
      </c>
      <c r="O219" s="814" t="s">
        <v>563</v>
      </c>
      <c r="P219" s="815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9">
        <v>560.27</v>
      </c>
      <c r="L220" s="631">
        <v>589.57000000000005</v>
      </c>
      <c r="M220" s="408">
        <v>643.09</v>
      </c>
      <c r="O220" s="814" t="s">
        <v>564</v>
      </c>
      <c r="P220" s="815" t="e">
        <v>#N/A</v>
      </c>
    </row>
    <row r="221" spans="1:50">
      <c r="A221" t="s">
        <v>27</v>
      </c>
      <c r="B221" s="468" t="s">
        <v>291</v>
      </c>
      <c r="J221">
        <v>547.6</v>
      </c>
      <c r="K221" s="779">
        <v>515.07000000000005</v>
      </c>
      <c r="L221">
        <v>548.96999999999991</v>
      </c>
      <c r="M221" s="408">
        <v>629.70000000000005</v>
      </c>
      <c r="O221" s="814" t="s">
        <v>565</v>
      </c>
      <c r="P221" s="815" t="e">
        <v>#N/A</v>
      </c>
    </row>
    <row r="222" spans="1:50">
      <c r="A222" t="s">
        <v>27</v>
      </c>
      <c r="B222" s="468" t="s">
        <v>545</v>
      </c>
      <c r="K222" s="779"/>
      <c r="L222">
        <v>571.71</v>
      </c>
      <c r="M222" s="408">
        <v>605.55000000000007</v>
      </c>
      <c r="O222" s="814" t="s">
        <v>566</v>
      </c>
      <c r="P222" s="827" t="e">
        <v>#N/A</v>
      </c>
      <c r="AS222" s="819"/>
      <c r="AX222" s="819"/>
    </row>
    <row r="223" spans="1:50">
      <c r="O223" s="814" t="s">
        <v>567</v>
      </c>
      <c r="P223" s="815" t="e">
        <v>#N/A</v>
      </c>
    </row>
    <row r="224" spans="1:50">
      <c r="O224" s="814" t="s">
        <v>568</v>
      </c>
      <c r="P224" s="815" t="e">
        <v>#N/A</v>
      </c>
    </row>
    <row r="225" spans="11:16">
      <c r="K225" s="815">
        <v>547.69000000000005</v>
      </c>
      <c r="O225" s="814" t="s">
        <v>569</v>
      </c>
      <c r="P225" s="815" t="e">
        <v>#N/A</v>
      </c>
    </row>
    <row r="226" spans="11:16">
      <c r="O226" s="814" t="s">
        <v>570</v>
      </c>
      <c r="P226" s="815" t="e">
        <v>#N/A</v>
      </c>
    </row>
    <row r="227" spans="11:16">
      <c r="O227" s="814" t="s">
        <v>571</v>
      </c>
      <c r="P227" s="816" t="e">
        <v>#N/A</v>
      </c>
    </row>
    <row r="228" spans="11:16">
      <c r="O228" s="814" t="s">
        <v>572</v>
      </c>
      <c r="P228" s="816" t="e">
        <v>#N/A</v>
      </c>
    </row>
    <row r="229" spans="11:16">
      <c r="O229" s="814" t="s">
        <v>573</v>
      </c>
      <c r="P229" s="816" t="e">
        <v>#N/A</v>
      </c>
    </row>
    <row r="230" spans="11:16">
      <c r="O230" s="814" t="s">
        <v>574</v>
      </c>
      <c r="P230" s="816" t="e">
        <v>#N/A</v>
      </c>
    </row>
    <row r="231" spans="11:16">
      <c r="O231" s="814" t="s">
        <v>575</v>
      </c>
      <c r="P231" s="816" t="e">
        <v>#N/A</v>
      </c>
    </row>
    <row r="232" spans="11:16">
      <c r="O232" s="814" t="s">
        <v>576</v>
      </c>
      <c r="P232" s="816" t="e">
        <v>#N/A</v>
      </c>
    </row>
    <row r="233" spans="11:16">
      <c r="O233" s="814" t="s">
        <v>577</v>
      </c>
      <c r="P233" s="816" t="e">
        <v>#N/A</v>
      </c>
    </row>
    <row r="234" spans="11:16">
      <c r="O234" s="814" t="s">
        <v>578</v>
      </c>
      <c r="P234" s="816" t="e">
        <v>#N/A</v>
      </c>
    </row>
    <row r="235" spans="11:16">
      <c r="O235" s="814" t="s">
        <v>579</v>
      </c>
      <c r="P235" s="816">
        <v>979.23</v>
      </c>
    </row>
    <row r="236" spans="11:16">
      <c r="O236" s="814" t="s">
        <v>580</v>
      </c>
      <c r="P236" s="816">
        <v>1054.05</v>
      </c>
    </row>
  </sheetData>
  <sortState xmlns:xlrd2="http://schemas.microsoft.com/office/spreadsheetml/2017/richdata2" ref="X10:X61">
    <sortCondition ref="X10:X61"/>
  </sortState>
  <phoneticPr fontId="113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="91" zoomScaleNormal="91" workbookViewId="0">
      <selection activeCell="G23" sqref="G23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3" t="s">
        <v>2154</v>
      </c>
      <c r="C1" s="964"/>
      <c r="D1" s="964"/>
      <c r="M1" s="534"/>
      <c r="BA1" s="472"/>
      <c r="BB1" s="472"/>
      <c r="BC1" s="472"/>
      <c r="BD1" s="472"/>
    </row>
    <row r="2" spans="1:84" ht="25.5">
      <c r="B2" s="535" t="str">
        <f>CAPA!C9</f>
        <v>Cegero</v>
      </c>
      <c r="C2" s="621"/>
      <c r="D2" s="536"/>
      <c r="E2" s="576" t="s">
        <v>581</v>
      </c>
      <c r="F2" s="576"/>
      <c r="G2" s="576"/>
      <c r="H2" s="599" t="s">
        <v>2384</v>
      </c>
      <c r="M2" s="534"/>
      <c r="AK2" s="473"/>
      <c r="AZ2" s="1771" t="s">
        <v>582</v>
      </c>
      <c r="BA2" s="1772"/>
      <c r="BB2" s="1772"/>
      <c r="BC2" s="1772"/>
      <c r="BD2" s="1772"/>
      <c r="BE2" s="1772"/>
      <c r="BF2" s="1772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2026</v>
      </c>
      <c r="F3" s="571"/>
      <c r="G3" s="571"/>
      <c r="H3" s="524"/>
      <c r="M3" s="534"/>
      <c r="O3" s="376">
        <f>VALUE(RIGHT(P3,2))</f>
        <v>15</v>
      </c>
      <c r="P3" s="965" t="str">
        <f>VLOOKUP($C$9,Informacoes[],4,FALSE)</f>
        <v>C15</v>
      </c>
      <c r="Q3" s="965" t="str">
        <f>VLOOKUP($C$9,Informacoes[],2,FALSE)</f>
        <v xml:space="preserve">Cooperativa de Eletricidade de São Ludgero 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4" t="s">
        <v>2027</v>
      </c>
      <c r="F4" s="744"/>
      <c r="G4" s="744"/>
      <c r="H4" s="769"/>
      <c r="I4" s="537"/>
      <c r="M4" s="534"/>
      <c r="AZ4" s="837"/>
      <c r="BA4" s="966">
        <v>40940</v>
      </c>
      <c r="BB4" s="966" t="s">
        <v>548</v>
      </c>
      <c r="BC4" s="966">
        <v>41306</v>
      </c>
      <c r="BD4" s="966">
        <v>41671</v>
      </c>
      <c r="BE4" s="967">
        <v>42036</v>
      </c>
      <c r="BF4" s="968">
        <v>42401</v>
      </c>
      <c r="BG4" s="968">
        <v>42767</v>
      </c>
      <c r="BI4" s="969"/>
      <c r="BJ4" s="969"/>
      <c r="BK4" s="969"/>
      <c r="BL4" s="969"/>
      <c r="BM4" s="970"/>
      <c r="BN4" s="970"/>
      <c r="BO4" s="970"/>
      <c r="BP4" s="970"/>
      <c r="BQ4" s="970"/>
      <c r="BR4" s="970"/>
      <c r="BS4" s="970"/>
      <c r="BT4" s="970"/>
      <c r="BU4" s="970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4" t="s">
        <v>583</v>
      </c>
      <c r="F5" s="744"/>
      <c r="G5" s="744"/>
      <c r="H5" s="754"/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2156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2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2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71" t="s">
        <v>152</v>
      </c>
      <c r="D9" s="9"/>
      <c r="E9" s="1773" t="s">
        <v>585</v>
      </c>
      <c r="F9" s="1774"/>
      <c r="G9" s="1774"/>
      <c r="H9" s="1774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2" t="s">
        <v>587</v>
      </c>
      <c r="C10" s="973" t="str">
        <f>IF(C9="Cercos","N/NE","S/SE/CO")</f>
        <v>S/SE/CO</v>
      </c>
      <c r="D10" s="9"/>
      <c r="E10" s="594"/>
      <c r="F10" s="595" t="s">
        <v>588</v>
      </c>
      <c r="G10" s="596">
        <v>44796.664756944447</v>
      </c>
      <c r="H10" s="974"/>
      <c r="I10" s="591"/>
      <c r="J10" s="743" t="s">
        <v>589</v>
      </c>
      <c r="K10" s="975">
        <f>IFERROR(O3+200,0)</f>
        <v>215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44813.597557870373</v>
      </c>
      <c r="H11" s="592"/>
      <c r="I11" s="593"/>
      <c r="J11" s="571" t="s">
        <v>591</v>
      </c>
      <c r="K11" s="598">
        <v>5356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44813.597743055558</v>
      </c>
      <c r="H12" s="592"/>
      <c r="I12" s="593"/>
      <c r="J12" s="744" t="s">
        <v>593</v>
      </c>
      <c r="K12" s="753">
        <f>IF(idsreag=P7,Q7,idagente)</f>
        <v>5356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6">
        <f ca="1">YEAR(TODAY())</f>
        <v>2022</v>
      </c>
      <c r="D13" s="261"/>
      <c r="E13" s="594"/>
      <c r="F13" s="595" t="s">
        <v>595</v>
      </c>
      <c r="G13" s="596">
        <v>44816.712361111109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44816.712534722225</v>
      </c>
      <c r="H14" s="592"/>
      <c r="I14" s="9"/>
      <c r="J14" s="743" t="s">
        <v>599</v>
      </c>
      <c r="K14" s="975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44820.455810185187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44796.667604166665</v>
      </c>
      <c r="H16" s="977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44816.714861111112</v>
      </c>
      <c r="H17" s="9"/>
      <c r="I17" s="370"/>
      <c r="J17" s="571" t="s">
        <v>606</v>
      </c>
      <c r="K17" s="978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13" t="str">
        <f ca="1">C110</f>
        <v>REVISÃO</v>
      </c>
      <c r="D18" s="261"/>
      <c r="E18" s="594"/>
      <c r="F18" s="595" t="s">
        <v>2128</v>
      </c>
      <c r="G18" s="596">
        <v>44816.714953703704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2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1" t="s">
        <v>610</v>
      </c>
      <c r="C26" s="581"/>
      <c r="D26" s="979"/>
      <c r="E26" s="980"/>
      <c r="F26" s="981"/>
      <c r="G26" s="982"/>
      <c r="H26" s="979"/>
      <c r="I26" s="979"/>
      <c r="J26" s="979"/>
      <c r="K26" s="983"/>
      <c r="L26" s="984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89" t="s">
        <v>2383</v>
      </c>
      <c r="D28" s="1789"/>
      <c r="E28" s="9"/>
      <c r="F28" s="580" t="s">
        <v>612</v>
      </c>
      <c r="G28" s="581"/>
      <c r="H28" s="581"/>
      <c r="I28" s="9"/>
      <c r="J28" s="1695" t="s">
        <v>613</v>
      </c>
      <c r="K28" s="1696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3" t="s">
        <v>614</v>
      </c>
      <c r="G29" s="743"/>
      <c r="H29" s="985">
        <v>4.4400000000000002E-2</v>
      </c>
      <c r="I29" s="9"/>
      <c r="J29" s="1697" t="s">
        <v>615</v>
      </c>
      <c r="K29" s="1698">
        <f>BD!C26</f>
        <v>11751312.5149619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4" t="s">
        <v>616</v>
      </c>
      <c r="G30" s="744"/>
      <c r="H30" s="986"/>
      <c r="I30" s="9"/>
      <c r="J30" s="1699" t="s">
        <v>617</v>
      </c>
      <c r="K30" s="1700" cm="1">
        <f t="array" ref="K30">IFERROR(limiteParcelaB[Limite_PB]*(1+K18),0)</f>
        <v>12993300.341246549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92" t="s">
        <v>618</v>
      </c>
      <c r="C31" s="1792"/>
      <c r="D31" s="774"/>
      <c r="E31" s="9"/>
      <c r="F31" s="987"/>
      <c r="G31" s="987"/>
      <c r="H31" s="988"/>
      <c r="I31" s="9"/>
      <c r="J31" s="1701" t="s">
        <v>619</v>
      </c>
      <c r="K31" s="1702">
        <f>D32+D33+D34</f>
        <v>12993300.34</v>
      </c>
      <c r="L31" s="1709" t="s">
        <v>620</v>
      </c>
      <c r="M31" s="1709" t="s">
        <v>2275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9" t="s">
        <v>621</v>
      </c>
      <c r="C32" s="989"/>
      <c r="D32" s="783">
        <v>7082878.0199999996</v>
      </c>
      <c r="E32" s="9"/>
      <c r="F32" s="990" t="s">
        <v>622</v>
      </c>
      <c r="G32" s="991"/>
      <c r="H32" s="991"/>
      <c r="I32" s="9"/>
      <c r="J32" s="1697" t="s">
        <v>623</v>
      </c>
      <c r="K32" s="1703" cm="1">
        <f t="array" aca="1" ref="K32" ca="1">subvencao[Subvencao Anual]*(VLOOKUP(DATE(AnoRefTar,MONTH(M32)-1,1),Índices!B6:F500,3,FALSE)/VLOOKUP(DATE(YEAR(M32),MONTH(L32)-1,1),Índices!B6:F500,3,FALSE))</f>
        <v>0</v>
      </c>
      <c r="L32" s="1708" cm="1">
        <f t="array" ref="L32">subvencao[Data_Referencia Subvencao]</f>
        <v>44430</v>
      </c>
      <c r="M32" s="1708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9" t="s">
        <v>624</v>
      </c>
      <c r="C33" s="989"/>
      <c r="D33" s="784">
        <v>5910422.3200000003</v>
      </c>
      <c r="E33" s="9"/>
      <c r="F33" s="571" t="s">
        <v>625</v>
      </c>
      <c r="G33" s="571"/>
      <c r="H33" s="487"/>
      <c r="I33" s="9"/>
      <c r="J33" s="1701" t="s">
        <v>626</v>
      </c>
      <c r="K33" s="1704">
        <f ca="1">LnkTXTISubvencaoPB/12</f>
        <v>0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2"/>
      <c r="C34" s="992"/>
      <c r="D34" s="993"/>
      <c r="E34" s="9"/>
      <c r="F34" s="744" t="s">
        <v>627</v>
      </c>
      <c r="G34" s="744"/>
      <c r="H34" s="994"/>
      <c r="I34" s="9"/>
      <c r="J34" s="1697" t="s">
        <v>628</v>
      </c>
      <c r="K34" s="1705">
        <f>LinkTXTPR</f>
        <v>4.7130579225647798E-2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5"/>
      <c r="E35" s="9"/>
      <c r="F35" s="583"/>
      <c r="G35" s="996"/>
      <c r="H35" s="463"/>
      <c r="I35" s="9"/>
      <c r="J35" s="1699" t="s">
        <v>629</v>
      </c>
      <c r="K35" s="1706">
        <f ca="1">IFERROR(Energia!M20/((Energia!M5+Energia!M6-Energia!M7+Energia!N16)+Energia!M20),0)</f>
        <v>4.1668850805158711E-2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6"/>
      <c r="D36" s="785"/>
      <c r="E36" s="9"/>
      <c r="F36" s="688" t="s">
        <v>634</v>
      </c>
      <c r="G36" s="689"/>
      <c r="H36" s="463"/>
      <c r="I36" s="9"/>
      <c r="J36" s="1701" t="s">
        <v>630</v>
      </c>
      <c r="K36" s="1707">
        <f ca="1">IFERROR(LNKTXTPercperdas,0)</f>
        <v>4.1668850805158711E-2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8" t="s">
        <v>636</v>
      </c>
      <c r="G37" s="690">
        <v>573.02</v>
      </c>
      <c r="H37" s="463"/>
      <c r="I37" s="9"/>
      <c r="J37" s="270"/>
      <c r="K37" s="463"/>
      <c r="L37" s="758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83"/>
      <c r="G39" s="1783"/>
      <c r="H39" s="1557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6" t="str">
        <f ca="1">"Variação processo anterior e "&amp;AnoRevRea</f>
        <v>Variação processo anterior e 2022</v>
      </c>
      <c r="H40" s="786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7">
        <f>BD!C5</f>
        <v>180869.08199999999</v>
      </c>
      <c r="E41" s="9"/>
      <c r="G41" s="576" t="s">
        <v>632</v>
      </c>
      <c r="H41" s="998">
        <f ca="1">IFERROR(Calc_Mercado!J15,0)</f>
        <v>1.1869026902010527E-2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52508.6346985704</v>
      </c>
      <c r="E42" s="9"/>
      <c r="G42" s="571" t="s">
        <v>40</v>
      </c>
      <c r="H42" s="998">
        <f ca="1">LnkTxtVarTFSEE</f>
        <v>6.5685760573059637E-2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9737920.4871800095</v>
      </c>
      <c r="E43" s="9"/>
      <c r="G43" s="571" t="s">
        <v>41</v>
      </c>
      <c r="H43" s="578">
        <f ca="1">LnkTxtVarCDE</f>
        <v>0.16242062858009687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1124402.7930999999</v>
      </c>
      <c r="E45" s="9"/>
      <c r="G45" s="571" t="s">
        <v>46</v>
      </c>
      <c r="H45" s="463">
        <f ca="1">Resultado!F20</f>
        <v>3.1179197563119985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1680295.7447599999</v>
      </c>
      <c r="E46" s="9"/>
      <c r="G46" s="571" t="s">
        <v>47</v>
      </c>
      <c r="H46" s="578">
        <f ca="1">Resultado!F21</f>
        <v>0.51609197278776953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2036</v>
      </c>
      <c r="C47" s="571"/>
      <c r="D47" s="369">
        <f>IFERROR(VLOOKUP("CDE Covid TUSD",BD!$B$7:$C$16,2,FALSE),0)</f>
        <v>1856987.5503404499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3" t="s">
        <v>635</v>
      </c>
      <c r="C49" s="743"/>
      <c r="D49" s="999">
        <f>BD!C18</f>
        <v>0</v>
      </c>
      <c r="E49" s="9"/>
      <c r="G49" s="743" t="s">
        <v>635</v>
      </c>
      <c r="H49" s="998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4" t="s">
        <v>638</v>
      </c>
      <c r="C51" s="744"/>
      <c r="D51" s="1000"/>
      <c r="E51" s="9"/>
      <c r="G51" s="744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1001">
        <f>BD!C25</f>
        <v>9308865.3434200007</v>
      </c>
      <c r="E52" s="9"/>
      <c r="G52" s="576" t="s">
        <v>639</v>
      </c>
      <c r="H52" s="579">
        <f ca="1">Resultado!F32</f>
        <v>0.11894737642121922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1001">
        <f>BD!C26</f>
        <v>11751312.5149619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2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3" t="s">
        <v>215</v>
      </c>
      <c r="C58" s="1004"/>
      <c r="D58" s="770"/>
      <c r="E58" s="1788">
        <v>0</v>
      </c>
      <c r="F58" s="1788"/>
      <c r="G58" s="376"/>
      <c r="L58" s="759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60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9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6" t="s">
        <v>646</v>
      </c>
      <c r="C62" s="717" t="s">
        <v>647</v>
      </c>
      <c r="D62" s="717" t="s">
        <v>192</v>
      </c>
      <c r="E62" s="1790" t="s">
        <v>648</v>
      </c>
      <c r="F62" s="1791"/>
      <c r="G62" s="717" t="s">
        <v>649</v>
      </c>
      <c r="H62" s="718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2">
        <f>Indexador!B34</f>
        <v>44348</v>
      </c>
      <c r="C63" s="728"/>
      <c r="D63" s="728"/>
      <c r="E63" s="1777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78"/>
      <c r="G63" s="728">
        <f>IFERROR(VLOOKUP(B63,transmissorapiscofins[#All],2,FALSE),0)</f>
        <v>0</v>
      </c>
      <c r="H63" s="729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3">
        <f>Indexador!B35</f>
        <v>44378</v>
      </c>
      <c r="C64" s="734"/>
      <c r="D64" s="734"/>
      <c r="E64" s="1779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80"/>
      <c r="G64" s="734">
        <f>IFERROR(VLOOKUP(B64,transmissorapiscofins[#All],2,FALSE),0)</f>
        <v>0</v>
      </c>
      <c r="H64" s="720">
        <f>SUMIF(BD!$A$41:$A$57,B64,BD!$C$41:$C$57)</f>
        <v>0</v>
      </c>
      <c r="I64" s="9" t="s">
        <v>652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9">
        <f>Indexador!B36</f>
        <v>44409</v>
      </c>
      <c r="C65" s="735"/>
      <c r="D65" s="735"/>
      <c r="E65" s="1781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82"/>
      <c r="G65" s="735">
        <f>IFERROR(VLOOKUP(B65,transmissorapiscofins[#All],2,FALSE),0)</f>
        <v>0</v>
      </c>
      <c r="H65" s="742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4">
        <f>Indexador!B37</f>
        <v>44440</v>
      </c>
      <c r="C66" s="736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99815.7</v>
      </c>
      <c r="D66" s="737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75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76"/>
      <c r="G66" s="737">
        <f>IFERROR(VLOOKUP(B66,transmissorapiscofins[#All],2,FALSE),0)</f>
        <v>0</v>
      </c>
      <c r="H66" s="720"/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4">
        <f>Indexador!B38</f>
        <v>44470</v>
      </c>
      <c r="C67" s="736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158817.01999999999</v>
      </c>
      <c r="D67" s="736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86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87"/>
      <c r="G67" s="736">
        <f>IFERROR(VLOOKUP(B67,transmissorapiscofins[#All],2,FALSE),0)</f>
        <v>0</v>
      </c>
      <c r="H67" s="720"/>
      <c r="I67" s="9"/>
      <c r="J67" s="9"/>
      <c r="K67" s="9"/>
      <c r="L67" s="17"/>
      <c r="M67" s="556"/>
      <c r="N67" s="741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4">
        <f>Indexador!B39</f>
        <v>44501</v>
      </c>
      <c r="C68" s="736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32368.37</v>
      </c>
      <c r="D68" s="736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86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87"/>
      <c r="G68" s="736">
        <f>IFERROR(VLOOKUP(B68,transmissorapiscofins[#All],2,FALSE),0)</f>
        <v>0</v>
      </c>
      <c r="H68" s="720"/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4">
        <f>Indexador!B40</f>
        <v>44531</v>
      </c>
      <c r="C69" s="736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31093.52</v>
      </c>
      <c r="D69" s="736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86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87"/>
      <c r="G69" s="736">
        <f>IFERROR(VLOOKUP(B69,transmissorapiscofins[#All],2,FALSE),0)</f>
        <v>0</v>
      </c>
      <c r="H69" s="720"/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4">
        <f>Indexador!B41</f>
        <v>44562</v>
      </c>
      <c r="C70" s="736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41585.629999999997</v>
      </c>
      <c r="D70" s="736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86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87"/>
      <c r="G70" s="736">
        <f>IFERROR(VLOOKUP(B70,transmissorapiscofins[#All],2,FALSE),0)</f>
        <v>0</v>
      </c>
      <c r="H70" s="720"/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4">
        <f>Indexador!B42</f>
        <v>44593</v>
      </c>
      <c r="C71" s="736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24395.51</v>
      </c>
      <c r="D71" s="736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86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87"/>
      <c r="G71" s="736">
        <f>IFERROR(VLOOKUP(B71,transmissorapiscofins[#All],2,FALSE),0)</f>
        <v>0</v>
      </c>
      <c r="H71" s="720"/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4">
        <f>Indexador!B43</f>
        <v>44621</v>
      </c>
      <c r="C72" s="736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27799.52</v>
      </c>
      <c r="D72" s="736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86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87"/>
      <c r="G72" s="736">
        <f>IFERROR(VLOOKUP(B72,transmissorapiscofins[#All],2,FALSE),0)</f>
        <v>0</v>
      </c>
      <c r="H72" s="720"/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4">
        <f>Indexador!B44</f>
        <v>44652</v>
      </c>
      <c r="C73" s="736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16851.5</v>
      </c>
      <c r="D73" s="736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86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87"/>
      <c r="G73" s="736">
        <f>IFERROR(VLOOKUP(B73,transmissorapiscofins[#All],2,FALSE),0)</f>
        <v>0</v>
      </c>
      <c r="H73" s="720"/>
      <c r="J73" s="1005" t="str">
        <f ca="1">IFERROR(VLOOKUP(TRUE,BD!D41:F56,3,FALSE),"todos os meses")</f>
        <v>todos os meses</v>
      </c>
      <c r="K73" s="1006" t="s">
        <v>656</v>
      </c>
      <c r="L73" s="1007">
        <f ca="1">IF(Energia!F24*2/3=0,0.0000001,Energia!F24*2/3)</f>
        <v>22704556.611351907</v>
      </c>
      <c r="M73" s="1008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4">
        <f>Indexador!B45</f>
        <v>44682</v>
      </c>
      <c r="C74" s="736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24682.48</v>
      </c>
      <c r="D74" s="736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86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87"/>
      <c r="G74" s="736">
        <f>IFERROR(VLOOKUP(B74,transmissorapiscofins[#All],2,FALSE),0)</f>
        <v>0</v>
      </c>
      <c r="H74" s="720"/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4">
        <f>Indexador!B46</f>
        <v>44713</v>
      </c>
      <c r="C75" s="736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32018.3</v>
      </c>
      <c r="D75" s="736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86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87"/>
      <c r="G75" s="736">
        <f>IFERROR(VLOOKUP(B75,transmissorapiscofins[#All],2,FALSE),0)</f>
        <v>0</v>
      </c>
      <c r="H75" s="720"/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4">
        <f>Indexador!B47</f>
        <v>44743</v>
      </c>
      <c r="C76" s="736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40794.03</v>
      </c>
      <c r="D76" s="736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86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87"/>
      <c r="G76" s="736">
        <f>IFERROR(VLOOKUP(B76,transmissorapiscofins[#All],2,FALSE),0)</f>
        <v>0</v>
      </c>
      <c r="H76" s="720"/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5">
        <f>Indexador!B48</f>
        <v>44774</v>
      </c>
      <c r="C77" s="738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44771.34</v>
      </c>
      <c r="D77" s="836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84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85"/>
      <c r="G77" s="836">
        <f>IFERROR(VLOOKUP(B77,transmissorapiscofins[#All],2,FALSE),0)</f>
        <v>0</v>
      </c>
      <c r="H77" s="828"/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1"/>
      <c r="M79" s="740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60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2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9"/>
      <c r="D82" s="1010"/>
      <c r="E82" s="1010"/>
      <c r="F82" s="1010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3"/>
      <c r="C83" s="1011"/>
      <c r="D83" s="1012"/>
      <c r="E83" s="1012"/>
      <c r="F83" s="1012"/>
      <c r="G83" s="376"/>
      <c r="H83" s="555"/>
      <c r="I83" s="755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3"/>
      <c r="C85" s="1013"/>
      <c r="D85" s="1014"/>
      <c r="E85" s="1014"/>
      <c r="F85" s="1014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4"/>
      <c r="C87" s="1015"/>
      <c r="D87" s="1016"/>
      <c r="E87" s="1016"/>
      <c r="F87" s="1016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08/2018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23 de outubro de 2018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 xml:space="preserve">Cooperativa de Eletricidade de São Ludgero 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Cegero</v>
      </c>
      <c r="D91" s="527"/>
      <c r="E91" s="528"/>
      <c r="F91" s="527"/>
      <c r="H91" s="755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São Ludgero - SC</v>
      </c>
      <c r="D92" s="529" t="str">
        <f>VLOOKUP(LnkTXTSigla,Informacoes[],5,FALSE)</f>
        <v>São Ludgero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10910249.227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7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68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4" t="s">
        <v>207</v>
      </c>
      <c r="C109" s="1017" t="str">
        <f>IF(E109=0,"!vazio!"," e "&amp;E109)</f>
        <v>!vazio!</v>
      </c>
      <c r="D109" s="1018"/>
      <c r="E109" s="1018">
        <f>VLOOKUP(LnkTXTSigla,Informacoes[],13,FALSE)</f>
        <v>0</v>
      </c>
      <c r="F109" s="1018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4" t="s">
        <v>676</v>
      </c>
      <c r="C110" s="1017" t="str">
        <f ca="1">IF(AnoRevRea=VLOOKUP(LnkTXTSigla,Informacoes[],15,FALSE),"REVISÃO","REAJUSTE")</f>
        <v>REVISÃO</v>
      </c>
      <c r="D110" s="1018"/>
      <c r="E110" s="1018"/>
      <c r="F110" s="1018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4" t="s">
        <v>677</v>
      </c>
      <c r="C111" s="1017" t="str">
        <f ca="1">IF(C110="Reajuste", "Reajuste Tarifário Anual - RTA", "Revisão Tarifária Periódica - RTP")</f>
        <v>Revisão Tarifária Periódica - RTP</v>
      </c>
      <c r="D111" s="1017"/>
      <c r="E111" s="1017"/>
      <c r="F111" s="1017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4"/>
      <c r="C112" s="748"/>
      <c r="D112" s="748"/>
      <c r="E112" s="748"/>
      <c r="F112" s="748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3" t="s">
        <v>678</v>
      </c>
      <c r="C113" s="746" t="str">
        <f>VLOOKUP(C9,Informacoes[],19,FALSE)</f>
        <v>Sim</v>
      </c>
      <c r="D113" s="746"/>
      <c r="E113" s="746"/>
      <c r="F113" s="746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4" t="s">
        <v>679</v>
      </c>
      <c r="C114" s="747">
        <f>VLOOKUP(C9,Informacoes[],20,FALSE)</f>
        <v>43435</v>
      </c>
      <c r="D114" s="747"/>
      <c r="E114" s="747"/>
      <c r="F114" s="747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9" t="s">
        <v>198</v>
      </c>
      <c r="C119" s="1019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20" t="str">
        <f>LnkTXTSigla</f>
        <v>Cegero</v>
      </c>
      <c r="C120" s="1021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disablePrompts="1"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topLeftCell="D1" zoomScaleNormal="100" workbookViewId="0">
      <selection activeCell="L8" sqref="L8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22" t="s">
        <v>681</v>
      </c>
      <c r="C1" s="1023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Cegero - REVISÃO 2022</v>
      </c>
      <c r="C2" s="70"/>
      <c r="D2" s="70"/>
      <c r="E2" s="70"/>
      <c r="F2" s="70"/>
      <c r="G2" s="75"/>
      <c r="H2" s="376" t="s">
        <v>682</v>
      </c>
      <c r="I2" s="658">
        <v>44820.459270833337</v>
      </c>
      <c r="K2" s="693" t="s">
        <v>683</v>
      </c>
      <c r="L2" s="694"/>
    </row>
    <row r="3" spans="1:15" ht="16.5" customHeight="1">
      <c r="A3" s="137"/>
      <c r="B3" s="938" t="s">
        <v>684</v>
      </c>
      <c r="C3" s="787"/>
      <c r="D3" s="75"/>
      <c r="E3" s="75"/>
      <c r="F3" s="75"/>
      <c r="G3" s="75"/>
      <c r="H3" s="659" t="s">
        <v>685</v>
      </c>
      <c r="I3" s="659">
        <v>21</v>
      </c>
      <c r="K3" s="695" t="s">
        <v>686</v>
      </c>
      <c r="L3" s="656">
        <v>0.1470763619536255</v>
      </c>
    </row>
    <row r="4" spans="1:15" ht="16.5">
      <c r="A4" s="137"/>
      <c r="G4" s="75"/>
      <c r="J4" s="9"/>
      <c r="K4" s="695" t="s">
        <v>687</v>
      </c>
      <c r="L4" s="656">
        <v>0.19646744137963479</v>
      </c>
    </row>
    <row r="5" spans="1:15" ht="16.5" customHeight="1">
      <c r="A5" s="137"/>
      <c r="B5" s="1024" t="s">
        <v>688</v>
      </c>
      <c r="C5" s="1025">
        <f ca="1">D39+D34</f>
        <v>78872714.854607403</v>
      </c>
      <c r="D5" s="142"/>
      <c r="E5" s="79"/>
      <c r="G5" s="75"/>
      <c r="H5" s="657"/>
      <c r="J5" s="270"/>
      <c r="K5" s="696" t="s">
        <v>689</v>
      </c>
      <c r="L5" s="664">
        <v>0.15735461284194208</v>
      </c>
    </row>
    <row r="6" spans="1:15" ht="16.5" customHeight="1">
      <c r="A6" s="137"/>
      <c r="B6" s="76" t="s">
        <v>690</v>
      </c>
      <c r="C6" s="77">
        <f ca="1">Mercado_RA0_Reais</f>
        <v>68249361.710620001</v>
      </c>
      <c r="D6" s="77"/>
      <c r="E6" s="471"/>
      <c r="F6" s="75"/>
      <c r="G6" s="138"/>
      <c r="H6" s="81"/>
      <c r="J6" s="270"/>
      <c r="K6" s="697" t="s">
        <v>691</v>
      </c>
      <c r="L6" s="698">
        <v>484.14</v>
      </c>
      <c r="M6" s="79"/>
    </row>
    <row r="7" spans="1:15" ht="16.5" customHeight="1">
      <c r="A7" s="137"/>
      <c r="B7" s="1026" t="s">
        <v>2314</v>
      </c>
      <c r="C7" s="1027">
        <f ca="1">ROUND((C5/C6-1),4)</f>
        <v>0.15570000000000001</v>
      </c>
      <c r="D7" s="488"/>
      <c r="E7" s="75"/>
      <c r="F7" s="75"/>
      <c r="G7" s="75"/>
      <c r="H7" s="81"/>
      <c r="K7" s="49" t="s">
        <v>692</v>
      </c>
      <c r="L7" s="916">
        <f>L6/'Tabelas e Gráficos'!U39-1</f>
        <v>0.18143439322579868</v>
      </c>
    </row>
    <row r="8" spans="1:15" ht="16.5" customHeight="1">
      <c r="A8" s="137"/>
      <c r="B8" s="78" t="s">
        <v>693</v>
      </c>
      <c r="C8" s="252">
        <f ca="1">ROUND(Financeiros!E7,4)</f>
        <v>7.3000000000000001E-3</v>
      </c>
      <c r="D8" s="489"/>
      <c r="E8" s="75"/>
      <c r="F8" s="486"/>
      <c r="G8" s="75"/>
      <c r="H8" s="81"/>
      <c r="K8" s="699" t="s">
        <v>694</v>
      </c>
      <c r="L8" s="700" t="s">
        <v>2039</v>
      </c>
      <c r="M8" s="660" t="s">
        <v>696</v>
      </c>
    </row>
    <row r="9" spans="1:15" ht="16.5" customHeight="1">
      <c r="A9" s="137"/>
      <c r="B9" s="1028" t="s">
        <v>2315</v>
      </c>
      <c r="C9" s="1029">
        <f ca="1">ROUND((C7+C8),5)</f>
        <v>0.16300000000000001</v>
      </c>
      <c r="D9" s="488"/>
      <c r="E9" s="488"/>
      <c r="F9" s="75"/>
      <c r="G9" s="75"/>
      <c r="K9" s="695" t="s">
        <v>697</v>
      </c>
      <c r="L9" s="701">
        <f>Aj.Subsídio!G28*12</f>
        <v>0</v>
      </c>
      <c r="M9" s="701">
        <v>0</v>
      </c>
    </row>
    <row r="10" spans="1:15" ht="16.5" customHeight="1">
      <c r="A10" s="137"/>
      <c r="B10" s="1028" t="s">
        <v>698</v>
      </c>
      <c r="C10" s="1029">
        <f ca="1">ROUND((LnkTXTEfeito-LnkTXTIRTTotal),4)</f>
        <v>-5.5999999999999999E-3</v>
      </c>
      <c r="D10" s="704">
        <f ca="1">LnKTxTRA1+Financeiros!D5</f>
        <v>79374000.899278283</v>
      </c>
      <c r="E10" s="75"/>
      <c r="F10" s="75"/>
      <c r="G10" s="75"/>
      <c r="K10" s="695" t="s">
        <v>699</v>
      </c>
      <c r="L10" s="701">
        <f>Aj.Subsídio!G29*12</f>
        <v>5655</v>
      </c>
      <c r="M10" s="701">
        <v>8698.8023954871333</v>
      </c>
    </row>
    <row r="11" spans="1:15" ht="16.5" customHeight="1">
      <c r="A11" s="137"/>
      <c r="B11" s="938" t="s">
        <v>700</v>
      </c>
      <c r="C11" s="787"/>
      <c r="D11" s="1030"/>
      <c r="E11" s="1030"/>
      <c r="F11" s="1030"/>
      <c r="G11" s="75"/>
      <c r="K11" s="695" t="s">
        <v>701</v>
      </c>
      <c r="L11" s="701">
        <f>Aj.Subsídio!G30*12</f>
        <v>0</v>
      </c>
      <c r="M11" s="701">
        <v>0</v>
      </c>
    </row>
    <row r="12" spans="1:15" ht="16.5" customHeight="1">
      <c r="E12" s="1031"/>
      <c r="F12" s="1031"/>
      <c r="K12" s="695" t="s">
        <v>702</v>
      </c>
      <c r="L12" s="701">
        <f>Aj.Subsídio!G31*12</f>
        <v>11622.119999999999</v>
      </c>
      <c r="M12" s="701">
        <v>6985.9619976930207</v>
      </c>
      <c r="O12" s="839"/>
    </row>
    <row r="13" spans="1:15" ht="15" customHeight="1">
      <c r="B13" s="1032"/>
      <c r="C13" s="1033" t="s">
        <v>695</v>
      </c>
      <c r="D13" s="1034" t="s">
        <v>696</v>
      </c>
      <c r="E13" s="1033" t="s">
        <v>703</v>
      </c>
      <c r="F13" s="1032" t="s">
        <v>704</v>
      </c>
      <c r="K13" s="695" t="s">
        <v>705</v>
      </c>
      <c r="L13" s="701">
        <f>Aj.Subsídio!G32*12</f>
        <v>437143.44000000006</v>
      </c>
      <c r="M13" s="701">
        <v>242421.32455578877</v>
      </c>
      <c r="O13" s="839"/>
    </row>
    <row r="14" spans="1:15" ht="14.25">
      <c r="B14" s="1035" t="s">
        <v>706</v>
      </c>
      <c r="C14" s="1036">
        <f ca="1">SUM(C15:C23)</f>
        <v>14585721.795401743</v>
      </c>
      <c r="D14" s="1037">
        <f ca="1">SUM(D15:D23)</f>
        <v>20912330.370579544</v>
      </c>
      <c r="E14" s="1038">
        <f t="shared" ref="E14:E34" ca="1" si="0">(D14-C14)/LnkTXTRA0</f>
        <v>9.2698428477659217E-2</v>
      </c>
      <c r="F14" s="1039">
        <f ca="1">IF(ISERROR(D14/C14-1),"-",D14/C14-1)</f>
        <v>0.43375354774504959</v>
      </c>
      <c r="G14" s="287"/>
      <c r="H14" s="100"/>
      <c r="K14" s="695" t="s">
        <v>707</v>
      </c>
      <c r="L14" s="701">
        <f>Aj.Subsídio!G33*12</f>
        <v>169540.2</v>
      </c>
      <c r="M14" s="701">
        <v>228931.55504500304</v>
      </c>
      <c r="O14" s="839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7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7"/>
    </row>
    <row r="17" spans="2:14" ht="14.25">
      <c r="B17" s="78" t="s">
        <v>710</v>
      </c>
      <c r="C17" s="223">
        <f ca="1">Mercado_Faturado_Encargo_TFSEE_BRUTO</f>
        <v>53031.933971517581</v>
      </c>
      <c r="D17" s="131">
        <f ca="1">Encargos!C6</f>
        <v>56515.376889096988</v>
      </c>
      <c r="E17" s="221">
        <f t="shared" ca="1" si="0"/>
        <v>5.1039934004794693E-5</v>
      </c>
      <c r="F17" s="253">
        <f t="shared" ca="1" si="1"/>
        <v>6.5685760573059637E-2</v>
      </c>
      <c r="G17" s="287"/>
    </row>
    <row r="18" spans="2:14" ht="14.25">
      <c r="B18" s="78" t="s">
        <v>711</v>
      </c>
      <c r="C18" s="224">
        <f ca="1">Mercado_Faturado_Encargo_CDE_BRUTO+Calc_Mercado!S75</f>
        <v>11698227.974739917</v>
      </c>
      <c r="D18" s="225">
        <f ca="1">Encargos!C7</f>
        <v>13598261.515670449</v>
      </c>
      <c r="E18" s="222">
        <f t="shared" ca="1" si="0"/>
        <v>2.7839579643055848E-2</v>
      </c>
      <c r="F18" s="253">
        <f t="shared" ca="1" si="1"/>
        <v>0.16242062858009687</v>
      </c>
      <c r="G18" s="287"/>
      <c r="H18" s="140"/>
      <c r="K18" s="49" t="s">
        <v>712</v>
      </c>
      <c r="L18" s="702">
        <v>44824.680277777778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5" t="s">
        <v>713</v>
      </c>
      <c r="L19" s="695"/>
      <c r="M19" s="695"/>
      <c r="N19" s="290"/>
    </row>
    <row r="20" spans="2:14" ht="14.25">
      <c r="B20" s="78" t="s">
        <v>714</v>
      </c>
      <c r="C20" s="223">
        <f ca="1">Mercado_Faturado_Encargo_ESSERR_BRUTO</f>
        <v>1137757.3039927448</v>
      </c>
      <c r="D20" s="131">
        <f>Encargos!C9</f>
        <v>4685193.28</v>
      </c>
      <c r="E20" s="221">
        <f t="shared" ca="1" si="0"/>
        <v>5.1977570003489924E-2</v>
      </c>
      <c r="F20" s="253">
        <f t="shared" ca="1" si="1"/>
        <v>3.1179197563119985</v>
      </c>
      <c r="G20" s="287"/>
      <c r="K20" s="695" t="s">
        <v>715</v>
      </c>
      <c r="L20" s="703"/>
      <c r="M20" s="703"/>
    </row>
    <row r="21" spans="2:14" ht="14.25">
      <c r="B21" s="78" t="s">
        <v>47</v>
      </c>
      <c r="C21" s="223">
        <f ca="1">Mercado_Faturado_Encargo_PROINFA_BRUTO</f>
        <v>1696704.5826975643</v>
      </c>
      <c r="D21" s="131">
        <f ca="1">Encargos!C10</f>
        <v>2572360.1980199995</v>
      </c>
      <c r="E21" s="221">
        <f t="shared" ca="1" si="0"/>
        <v>1.2830238897108661E-2</v>
      </c>
      <c r="F21" s="253">
        <f t="shared" ca="1" si="1"/>
        <v>0.51609197278776953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54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40" t="s">
        <v>717</v>
      </c>
      <c r="C24" s="1036">
        <f ca="1">SUM(C25:C32)</f>
        <v>9750457.8471730743</v>
      </c>
      <c r="D24" s="1037">
        <f>SUM(D25:D32)</f>
        <v>10910249.227</v>
      </c>
      <c r="E24" s="1038">
        <f t="shared" ca="1" si="0"/>
        <v>1.69934392169774E-2</v>
      </c>
      <c r="F24" s="1039">
        <f t="shared" ca="1" si="1"/>
        <v>0.11894737642121922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54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718</v>
      </c>
      <c r="D27" s="1755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719</v>
      </c>
      <c r="D28" s="1755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55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55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54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9750457.8471730743</v>
      </c>
      <c r="D32" s="1754">
        <f>CUSD!C3</f>
        <v>10910249.227</v>
      </c>
      <c r="E32" s="221">
        <f t="shared" ca="1" si="2"/>
        <v>1.69934392169774E-2</v>
      </c>
      <c r="F32" s="254">
        <f t="shared" ca="1" si="1"/>
        <v>0.11894737642121922</v>
      </c>
      <c r="G32" s="287"/>
    </row>
    <row r="33" spans="2:8" ht="14.25">
      <c r="B33" s="1040" t="s">
        <v>108</v>
      </c>
      <c r="C33" s="1036">
        <f ca="1">SUM(Calc_Mercado!C79:C84)</f>
        <v>31660728.081992824</v>
      </c>
      <c r="D33" s="1037">
        <f ca="1">Energia!F24</f>
        <v>34056834.917027861</v>
      </c>
      <c r="E33" s="1038">
        <f t="shared" ca="1" si="0"/>
        <v>3.5108120793783025E-2</v>
      </c>
      <c r="F33" s="1039">
        <f ca="1">IF(ISERROR(D33/C33-1),"-",D33/C33-1)</f>
        <v>7.5680724360784213E-2</v>
      </c>
      <c r="G33" s="287"/>
    </row>
    <row r="34" spans="2:8" ht="14.25">
      <c r="B34" s="1041" t="s">
        <v>722</v>
      </c>
      <c r="C34" s="1042">
        <f ca="1">C14+C24+C33</f>
        <v>55996907.724567637</v>
      </c>
      <c r="D34" s="1043">
        <f ca="1">D33+D24+D14</f>
        <v>65879414.5146074</v>
      </c>
      <c r="E34" s="1044">
        <f t="shared" ca="1" si="0"/>
        <v>0.14479998848841963</v>
      </c>
      <c r="F34" s="1045">
        <f ca="1">IF(ISERROR(D34/C34-1),"-",D34/C34-1)</f>
        <v>0.1764830807916915</v>
      </c>
      <c r="G34" s="287"/>
    </row>
    <row r="35" spans="2:8" ht="14.25">
      <c r="G35" s="69"/>
      <c r="H35" s="107"/>
    </row>
    <row r="36" spans="2:8" ht="14.25">
      <c r="B36" s="938" t="s">
        <v>104</v>
      </c>
      <c r="C36" s="787"/>
      <c r="D36" s="787"/>
      <c r="E36" s="1030"/>
      <c r="F36" s="1030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695</v>
      </c>
      <c r="D38" s="661" t="s">
        <v>696</v>
      </c>
      <c r="E38" s="1046" t="s">
        <v>703</v>
      </c>
      <c r="F38" s="661" t="s">
        <v>704</v>
      </c>
      <c r="G38" s="69"/>
      <c r="H38" s="141"/>
    </row>
    <row r="39" spans="2:8" ht="15.75" customHeight="1">
      <c r="B39" s="1047" t="s">
        <v>723</v>
      </c>
      <c r="C39" s="1048">
        <f ca="1">LnkTXTRA0-C34</f>
        <v>12252453.986052364</v>
      </c>
      <c r="D39" s="1049">
        <f>IFERROR(SMALL(IF(LnkTXTPBReq=0,CAPA!K29,LnkTXTPBReq):LNKTXTLImPB,1),0)</f>
        <v>12993300.34</v>
      </c>
      <c r="E39" s="1050">
        <f ca="1">(D39-C39)/LnkTXTRA0</f>
        <v>1.0854993151274493E-2</v>
      </c>
      <c r="F39" s="1051">
        <f ca="1">IF(ISERROR(D39/C39-1),"-",D39/C39-1)</f>
        <v>6.0465140680469487E-2</v>
      </c>
      <c r="G39" s="69"/>
      <c r="H39" s="140"/>
    </row>
    <row r="40" spans="2:8" ht="14.25">
      <c r="B40" s="705"/>
      <c r="C40" s="706"/>
      <c r="D40" s="707"/>
      <c r="E40" s="705"/>
      <c r="F40" s="705"/>
    </row>
    <row r="41" spans="2:8" ht="14.25">
      <c r="B41" s="938" t="s">
        <v>724</v>
      </c>
      <c r="C41" s="787"/>
      <c r="D41" s="787"/>
      <c r="E41" s="1030"/>
      <c r="F41" s="1030"/>
    </row>
    <row r="42" spans="2:8" ht="9" customHeight="1">
      <c r="E42" s="75"/>
      <c r="F42" s="75"/>
    </row>
    <row r="43" spans="2:8" ht="15.75" customHeight="1">
      <c r="B43" s="705"/>
      <c r="C43" s="1032" t="s">
        <v>725</v>
      </c>
      <c r="D43" s="1032" t="s">
        <v>703</v>
      </c>
      <c r="E43" s="461" t="s">
        <v>726</v>
      </c>
      <c r="F43" s="461"/>
      <c r="G43" s="461"/>
    </row>
    <row r="44" spans="2:8" ht="15.75" customHeight="1">
      <c r="B44" s="1052" t="s">
        <v>727</v>
      </c>
      <c r="C44" s="1053">
        <f ca="1">SUM(C45:C85)</f>
        <v>501286.04467087553</v>
      </c>
      <c r="D44" s="1767">
        <f ca="1">C44/Financeiros!D4</f>
        <v>7.3449191627073121E-3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602230.75017009256</v>
      </c>
      <c r="D45" s="466">
        <f ca="1">C45/Financeiros!$D$4</f>
        <v>8.8239762992007864E-3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-120361.71462878174</v>
      </c>
      <c r="D46" s="466">
        <f ca="1">C46/Financeiros!$D$4</f>
        <v>-1.7635580994752769E-3</v>
      </c>
      <c r="E46" s="461">
        <f t="shared" ca="1" si="3"/>
        <v>1</v>
      </c>
      <c r="F46" s="461"/>
      <c r="G46" s="461"/>
    </row>
    <row r="47" spans="2:8" ht="15.75" customHeight="1">
      <c r="B47" s="82" t="str">
        <f>'Tabelas e Gráficos'!AM169</f>
        <v>Neutralidade Financeiros e Encargos Conta Covid</v>
      </c>
      <c r="C47" s="447">
        <f ca="1">'Tabelas e Gráficos'!AN169</f>
        <v>28145.871119257448</v>
      </c>
      <c r="D47" s="466">
        <f ca="1">C47/Financeiros!$D$4</f>
        <v>4.1239757286811059E-4</v>
      </c>
      <c r="E47" s="461">
        <f t="shared" ca="1" si="3"/>
        <v>1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0</v>
      </c>
      <c r="D55" s="466">
        <f ca="1">C55/Financeiros!$D$4</f>
        <v>0</v>
      </c>
      <c r="E55" s="461">
        <f t="shared" ca="1" si="3"/>
        <v>0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0</v>
      </c>
      <c r="D56" s="466">
        <f ca="1">C56/Financeiros!$D$4</f>
        <v>0</v>
      </c>
      <c r="E56" s="461">
        <f t="shared" ca="1" si="3"/>
        <v>0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0</v>
      </c>
      <c r="D57" s="466">
        <f ca="1">C57/Financeiros!$D$4</f>
        <v>0</v>
      </c>
      <c r="E57" s="461">
        <f t="shared" ca="1" si="3"/>
        <v>0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 xml:space="preserve">Repasse de ICMS 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de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customHeight="1">
      <c r="B68" s="82" t="str">
        <f>'Tabelas e Gráficos'!AM190</f>
        <v>Financeiros associados ao §7º do Art. 88 da Ren 414/2021</v>
      </c>
      <c r="C68" s="447">
        <f>'Tabelas e Gráficos'!AN190</f>
        <v>-3671.71</v>
      </c>
      <c r="D68" s="466">
        <f ca="1">C68/Financeiros!$D$4</f>
        <v>-5.379845185319382E-5</v>
      </c>
      <c r="E68" s="461">
        <f t="shared" ca="1" si="3"/>
        <v>1</v>
      </c>
    </row>
    <row r="69" spans="2:5" ht="15.75" customHeight="1">
      <c r="B69" s="82" t="str">
        <f>'Tabelas e Gráficos'!AM191</f>
        <v>Spread Conta Covid</v>
      </c>
      <c r="C69" s="447">
        <f>'Tabelas e Gráficos'!AN191</f>
        <v>-228012.01857549255</v>
      </c>
      <c r="D69" s="466">
        <f ca="1">C69/Financeiros!$D$4</f>
        <v>-3.340866681541617E-3</v>
      </c>
      <c r="E69" s="461">
        <f t="shared" ca="1" si="3"/>
        <v>1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customHeight="1">
      <c r="B72" s="82" t="str">
        <f>'Tabelas e Gráficos'!AM194</f>
        <v>Reversão do Diferimento de Parcela B</v>
      </c>
      <c r="C72" s="447">
        <f>'Tabelas e Gráficos'!AN194</f>
        <v>2174545.8258524011</v>
      </c>
      <c r="D72" s="466">
        <f ca="1">C72/Financeiros!$D$4</f>
        <v>3.1861775280369091E-2</v>
      </c>
      <c r="E72" s="461">
        <f t="shared" ca="1" si="3"/>
        <v>1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customHeight="1">
      <c r="B75" s="82" t="str">
        <f>'Tabelas e Gráficos'!AM197</f>
        <v>CVE - Energia</v>
      </c>
      <c r="C75" s="447">
        <f ca="1">'Tabelas e Gráficos'!AN197</f>
        <v>-463559.36890000006</v>
      </c>
      <c r="D75" s="466">
        <f ca="1">C75/Financeiros!$D$4</f>
        <v>-6.7921421868457933E-3</v>
      </c>
      <c r="E75" s="461">
        <f t="shared" ca="1" si="3"/>
        <v>1</v>
      </c>
    </row>
    <row r="76" spans="2:5" ht="15.75" customHeight="1">
      <c r="B76" s="82" t="str">
        <f>'Tabelas e Gráficos'!AM198</f>
        <v>CVE - Encargos</v>
      </c>
      <c r="C76" s="447">
        <f>'Tabelas e Gráficos'!AN198</f>
        <v>1620612.8811000001</v>
      </c>
      <c r="D76" s="466">
        <f ca="1">C76/Financeiros!$D$4</f>
        <v>2.3745465752067586E-2</v>
      </c>
      <c r="E76" s="461">
        <f t="shared" ca="1" si="3"/>
        <v>1</v>
      </c>
    </row>
    <row r="77" spans="2:5" ht="15.75" customHeight="1">
      <c r="B77" s="82" t="str">
        <f>'Tabelas e Gráficos'!AM199</f>
        <v>Conta Escassez</v>
      </c>
      <c r="C77" s="447">
        <f ca="1">'Tabelas e Gráficos'!AN199</f>
        <v>-3090881.2255924107</v>
      </c>
      <c r="D77" s="466">
        <f ca="1">C77/Financeiros!$D$4</f>
        <v>-4.5288060549164837E-2</v>
      </c>
      <c r="E77" s="461">
        <f t="shared" ca="1" si="3"/>
        <v>1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customHeight="1">
      <c r="B80" s="82" t="str">
        <f>'Tabelas e Gráficos'!AM202</f>
        <v>Sobrecontratação/Exposição de Energia</v>
      </c>
      <c r="C80" s="447">
        <f ca="1">'Tabelas e Gráficos'!AN202</f>
        <v>-19032.4136</v>
      </c>
      <c r="D80" s="466">
        <f ca="1">C80/Financeiros!$D$4</f>
        <v>-2.7886581094630874E-4</v>
      </c>
      <c r="E80" s="461">
        <f t="shared" ca="1" si="3"/>
        <v>1</v>
      </c>
    </row>
    <row r="81" spans="2:5" ht="15.75" customHeight="1">
      <c r="B81" s="82" t="str">
        <f>'Tabelas e Gráficos'!AM203</f>
        <v>Reversão de Risco Hidrológico</v>
      </c>
      <c r="C81" s="447">
        <f ca="1">'Tabelas e Gráficos'!AN203</f>
        <v>-2719246.1550966692</v>
      </c>
      <c r="D81" s="466">
        <f ca="1">C81/Financeiros!$D$4</f>
        <v>-3.9842807125821639E-2</v>
      </c>
      <c r="E81" s="461">
        <f t="shared" ca="1" si="3"/>
        <v>1</v>
      </c>
    </row>
    <row r="82" spans="2:5" ht="15.75" customHeight="1">
      <c r="B82" s="82" t="str">
        <f>'Tabelas e Gráficos'!AM204</f>
        <v>Previsão de Risco Hidrologico</v>
      </c>
      <c r="C82" s="447">
        <f ca="1">'Tabelas e Gráficos'!AN204</f>
        <v>2657892.9444858003</v>
      </c>
      <c r="D82" s="466">
        <f ca="1">C82/Financeiros!$D$4</f>
        <v>3.8943850577758836E-2</v>
      </c>
      <c r="E82" s="461">
        <f t="shared" ca="1" si="3"/>
        <v>1</v>
      </c>
    </row>
    <row r="83" spans="2:5" ht="15.75" hidden="1" customHeight="1">
      <c r="B83" s="82" t="str">
        <f>'Tabelas e Gráficos'!AM205</f>
        <v>Diferimento da Previsão do Risco Hidrológico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 xml:space="preserve">Diferimento CUSD 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customHeight="1">
      <c r="B85" s="82" t="str">
        <f>'Tabelas e Gráficos'!AM207</f>
        <v>Garantias Financeiras</v>
      </c>
      <c r="C85" s="447">
        <f>'Tabelas e Gráficos'!AN207</f>
        <v>62622.378336678128</v>
      </c>
      <c r="D85" s="466">
        <f ca="1">C85/Financeiros!$D$4</f>
        <v>9.1755258609156664E-4</v>
      </c>
      <c r="E85" s="461">
        <f t="shared" ca="1" si="3"/>
        <v>1</v>
      </c>
    </row>
    <row r="86" spans="2:5" ht="15.75" hidden="1" customHeight="1">
      <c r="B86" s="1760"/>
      <c r="C86" s="1761"/>
      <c r="D86" s="1762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5"/>
      <c r="B102" s="1760"/>
      <c r="C102" s="1761"/>
      <c r="D102" s="1762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E420" sqref="E420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2084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2029</v>
      </c>
      <c r="EQ2" s="261" t="s">
        <v>2030</v>
      </c>
      <c r="ER2" s="261" t="s">
        <v>2031</v>
      </c>
      <c r="ES2" s="261" t="s">
        <v>2032</v>
      </c>
      <c r="ET2" s="261" t="s">
        <v>2033</v>
      </c>
      <c r="EU2" s="261" t="s">
        <v>2034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2343</v>
      </c>
      <c r="D3" s="399" t="s">
        <v>1823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2344</v>
      </c>
      <c r="K3" s="791">
        <v>44440</v>
      </c>
      <c r="L3" s="399">
        <v>0</v>
      </c>
      <c r="M3" s="399">
        <v>0</v>
      </c>
      <c r="N3" s="399">
        <v>1208.9939999999999</v>
      </c>
      <c r="O3" s="399">
        <v>1208.9939999999999</v>
      </c>
      <c r="P3" s="399">
        <v>1208.9939999999999</v>
      </c>
      <c r="Q3" s="399">
        <v>1208.9939999999999</v>
      </c>
      <c r="R3" s="399"/>
      <c r="S3" s="399">
        <v>239.69</v>
      </c>
      <c r="T3" s="399">
        <v>171.61</v>
      </c>
      <c r="U3" s="399"/>
      <c r="V3" s="399">
        <v>497259.23219999997</v>
      </c>
      <c r="W3" s="399">
        <v>497259.23219999997</v>
      </c>
      <c r="X3" s="399">
        <v>495433.65125999996</v>
      </c>
      <c r="Y3" s="399">
        <v>0</v>
      </c>
      <c r="Z3" s="399">
        <v>73092.512126628208</v>
      </c>
      <c r="AA3" s="399">
        <v>0</v>
      </c>
      <c r="AB3" s="399">
        <v>0</v>
      </c>
      <c r="AC3" s="399">
        <v>0</v>
      </c>
      <c r="AD3" s="399">
        <v>64482.895555187497</v>
      </c>
      <c r="AE3" s="399">
        <v>107134.6723453704</v>
      </c>
      <c r="AF3" s="399">
        <v>199936.44904602534</v>
      </c>
      <c r="AG3" s="399">
        <v>7538.5091363409538</v>
      </c>
      <c r="AH3" s="399">
        <v>0</v>
      </c>
      <c r="AI3" s="399">
        <v>0</v>
      </c>
      <c r="AJ3" s="399">
        <v>0</v>
      </c>
      <c r="AK3" s="399">
        <v>0</v>
      </c>
      <c r="AL3" s="399">
        <v>11301.809841224667</v>
      </c>
      <c r="AM3" s="399"/>
      <c r="AN3" s="399">
        <v>478.82406420929851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19355.888664008609</v>
      </c>
      <c r="BH3" s="399">
        <v>0</v>
      </c>
      <c r="BI3" s="399">
        <v>0</v>
      </c>
      <c r="BJ3" s="399">
        <v>0</v>
      </c>
      <c r="BK3" s="399">
        <v>140822.82999999999</v>
      </c>
      <c r="BL3" s="399">
        <v>4693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219292.33771003396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495432.01209999999</v>
      </c>
      <c r="CJ3" s="399">
        <v>-1827.2501000000047</v>
      </c>
      <c r="CK3" s="399"/>
      <c r="CL3" s="399"/>
      <c r="CM3" s="399"/>
      <c r="CN3" s="399"/>
      <c r="CO3" s="399">
        <v>-29040.03588000001</v>
      </c>
      <c r="CP3" s="399">
        <v>27214.454939999989</v>
      </c>
      <c r="CQ3" s="399">
        <v>30</v>
      </c>
      <c r="CR3" s="399">
        <v>21343.148610062315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2903.8340600982774</v>
      </c>
      <c r="DA3" s="399">
        <v>0</v>
      </c>
      <c r="DB3" s="399">
        <v>0</v>
      </c>
      <c r="DC3" s="399">
        <v>27220.919008309313</v>
      </c>
      <c r="DD3" s="399">
        <v>0</v>
      </c>
      <c r="DE3" s="399">
        <v>0</v>
      </c>
      <c r="DF3" s="399">
        <v>0</v>
      </c>
      <c r="DG3" s="399">
        <v>2635.2627555945983</v>
      </c>
      <c r="DH3" s="399">
        <v>0</v>
      </c>
      <c r="DI3" s="399">
        <v>-10039.457802545141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-1302.4613800633088</v>
      </c>
      <c r="DP3" s="399">
        <v>-74.948031331491791</v>
      </c>
      <c r="DQ3" s="399">
        <v>0</v>
      </c>
      <c r="DR3" s="399">
        <v>0</v>
      </c>
      <c r="DS3" s="399"/>
      <c r="DT3" s="399"/>
      <c r="DU3" s="399"/>
      <c r="DV3" s="399">
        <v>107134.6723453704</v>
      </c>
      <c r="DW3" s="399">
        <v>0</v>
      </c>
      <c r="DX3" s="399">
        <v>0</v>
      </c>
      <c r="DY3" s="399">
        <v>-29040.03588000001</v>
      </c>
      <c r="DZ3" s="399">
        <v>27214.454939999996</v>
      </c>
      <c r="EA3" s="399">
        <v>0</v>
      </c>
      <c r="EB3" s="399">
        <v>0</v>
      </c>
      <c r="EC3" s="399">
        <v>-23161.938107198439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13938.487711103082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215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2345</v>
      </c>
      <c r="C4" s="399" t="s">
        <v>2343</v>
      </c>
      <c r="D4" s="399" t="s">
        <v>1823</v>
      </c>
      <c r="E4" s="399" t="s">
        <v>889</v>
      </c>
      <c r="F4" s="399" t="s">
        <v>889</v>
      </c>
      <c r="G4" s="399" t="s">
        <v>1239</v>
      </c>
      <c r="H4" s="399" t="s">
        <v>1239</v>
      </c>
      <c r="I4" s="399" t="s">
        <v>1239</v>
      </c>
      <c r="J4" s="399" t="s">
        <v>2344</v>
      </c>
      <c r="K4" s="791">
        <v>44440</v>
      </c>
      <c r="L4" s="399">
        <v>0</v>
      </c>
      <c r="M4" s="399">
        <v>0</v>
      </c>
      <c r="N4" s="399">
        <v>-0.22800000000000001</v>
      </c>
      <c r="O4" s="399">
        <v>-0.22800000000000001</v>
      </c>
      <c r="P4" s="399">
        <v>-0.22800000000000001</v>
      </c>
      <c r="Q4" s="399">
        <v>-0.22800000000000001</v>
      </c>
      <c r="R4" s="399"/>
      <c r="S4" s="399">
        <v>239.69</v>
      </c>
      <c r="T4" s="399">
        <v>171.61</v>
      </c>
      <c r="U4" s="399"/>
      <c r="V4" s="399">
        <v>-93.77640000000001</v>
      </c>
      <c r="W4" s="399">
        <v>-93.77640000000001</v>
      </c>
      <c r="X4" s="399">
        <v>-93.432119999999998</v>
      </c>
      <c r="Y4" s="399">
        <v>0</v>
      </c>
      <c r="Z4" s="399">
        <v>-13.784264243553924</v>
      </c>
      <c r="AA4" s="399">
        <v>0</v>
      </c>
      <c r="AB4" s="399">
        <v>0</v>
      </c>
      <c r="AC4" s="399">
        <v>0</v>
      </c>
      <c r="AD4" s="399">
        <v>-12.160606410439382</v>
      </c>
      <c r="AE4" s="399">
        <v>-20.204157584524367</v>
      </c>
      <c r="AF4" s="399">
        <v>-37.705323915994441</v>
      </c>
      <c r="AG4" s="399">
        <v>-1.4216613838329535</v>
      </c>
      <c r="AH4" s="399">
        <v>0</v>
      </c>
      <c r="AI4" s="399">
        <v>0</v>
      </c>
      <c r="AJ4" s="399">
        <v>0</v>
      </c>
      <c r="AK4" s="399">
        <v>0</v>
      </c>
      <c r="AL4" s="399">
        <v>-2.131369257249601</v>
      </c>
      <c r="AM4" s="399"/>
      <c r="AN4" s="399">
        <v>-9.0299775383269124E-2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-3.6502601463646331</v>
      </c>
      <c r="BH4" s="399">
        <v>0</v>
      </c>
      <c r="BI4" s="399">
        <v>0</v>
      </c>
      <c r="BJ4" s="399">
        <v>0</v>
      </c>
      <c r="BK4" s="399">
        <v>24.69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-41.355584062359071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-94.2517</v>
      </c>
      <c r="CJ4" s="399">
        <v>-0.5052999999999912</v>
      </c>
      <c r="CK4" s="399"/>
      <c r="CL4" s="399"/>
      <c r="CM4" s="399"/>
      <c r="CN4" s="399"/>
      <c r="CO4" s="399">
        <v>5.4765600000000028</v>
      </c>
      <c r="CP4" s="399">
        <v>-5.132279999999998</v>
      </c>
      <c r="CQ4" s="399">
        <v>30</v>
      </c>
      <c r="CR4" s="399">
        <v>-4.0250306313299973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-0.54762402931892851</v>
      </c>
      <c r="DA4" s="399">
        <v>0</v>
      </c>
      <c r="DB4" s="399">
        <v>0</v>
      </c>
      <c r="DC4" s="399">
        <v>-5.1334990363016857</v>
      </c>
      <c r="DD4" s="399">
        <v>0</v>
      </c>
      <c r="DE4" s="399">
        <v>0</v>
      </c>
      <c r="DF4" s="399">
        <v>0</v>
      </c>
      <c r="DG4" s="399">
        <v>-0.49697509522426797</v>
      </c>
      <c r="DH4" s="399">
        <v>0</v>
      </c>
      <c r="DI4" s="399">
        <v>1.8933066491482098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0.24562669016921035</v>
      </c>
      <c r="DP4" s="399">
        <v>1.4134190197453531E-2</v>
      </c>
      <c r="DQ4" s="399">
        <v>0</v>
      </c>
      <c r="DR4" s="399">
        <v>0</v>
      </c>
      <c r="DS4" s="399"/>
      <c r="DT4" s="399"/>
      <c r="DU4" s="399"/>
      <c r="DV4" s="399">
        <v>-20.204157584524367</v>
      </c>
      <c r="DW4" s="399">
        <v>0</v>
      </c>
      <c r="DX4" s="399">
        <v>0</v>
      </c>
      <c r="DY4" s="399">
        <v>5.4765600000000063</v>
      </c>
      <c r="DZ4" s="399">
        <v>-5.1322799999999944</v>
      </c>
      <c r="EA4" s="399">
        <v>0</v>
      </c>
      <c r="EB4" s="399">
        <v>0</v>
      </c>
      <c r="EC4" s="399">
        <v>4.3680298565925408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-2.6286112239858119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215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2346</v>
      </c>
      <c r="C5" s="399" t="s">
        <v>2343</v>
      </c>
      <c r="D5" s="399" t="s">
        <v>1823</v>
      </c>
      <c r="E5" s="399" t="s">
        <v>889</v>
      </c>
      <c r="F5" s="399" t="s">
        <v>889</v>
      </c>
      <c r="G5" s="399" t="s">
        <v>1239</v>
      </c>
      <c r="H5" s="399" t="s">
        <v>1239</v>
      </c>
      <c r="I5" s="399" t="s">
        <v>1239</v>
      </c>
      <c r="J5" s="399" t="s">
        <v>2344</v>
      </c>
      <c r="K5" s="791">
        <v>44440</v>
      </c>
      <c r="L5" s="399">
        <v>0</v>
      </c>
      <c r="M5" s="399">
        <v>0</v>
      </c>
      <c r="N5" s="399">
        <v>1.784</v>
      </c>
      <c r="O5" s="399">
        <v>1.784</v>
      </c>
      <c r="P5" s="399">
        <v>1.784</v>
      </c>
      <c r="Q5" s="399">
        <v>1.784</v>
      </c>
      <c r="R5" s="399"/>
      <c r="S5" s="399">
        <v>239.69</v>
      </c>
      <c r="T5" s="399">
        <v>171.61</v>
      </c>
      <c r="U5" s="399"/>
      <c r="V5" s="399">
        <v>733.75919999999996</v>
      </c>
      <c r="W5" s="399">
        <v>733.75919999999996</v>
      </c>
      <c r="X5" s="399">
        <v>731.06536000000006</v>
      </c>
      <c r="Y5" s="399">
        <v>0</v>
      </c>
      <c r="Z5" s="399">
        <v>107.85582197587807</v>
      </c>
      <c r="AA5" s="399">
        <v>0</v>
      </c>
      <c r="AB5" s="399">
        <v>0</v>
      </c>
      <c r="AC5" s="399">
        <v>0</v>
      </c>
      <c r="AD5" s="399">
        <v>95.151411562385334</v>
      </c>
      <c r="AE5" s="399">
        <v>158.0886716262784</v>
      </c>
      <c r="AF5" s="399">
        <v>295.02762221988633</v>
      </c>
      <c r="AG5" s="399">
        <v>11.123876792798196</v>
      </c>
      <c r="AH5" s="399">
        <v>0</v>
      </c>
      <c r="AI5" s="399">
        <v>0</v>
      </c>
      <c r="AJ5" s="399">
        <v>0</v>
      </c>
      <c r="AK5" s="399">
        <v>0</v>
      </c>
      <c r="AL5" s="399">
        <v>16.677029626900389</v>
      </c>
      <c r="AM5" s="399"/>
      <c r="AN5" s="399">
        <v>0.70655613720943911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28.561684654010989</v>
      </c>
      <c r="BH5" s="399">
        <v>0</v>
      </c>
      <c r="BI5" s="399">
        <v>0</v>
      </c>
      <c r="BJ5" s="399">
        <v>0</v>
      </c>
      <c r="BK5" s="399">
        <v>409.9</v>
      </c>
      <c r="BL5" s="399">
        <v>7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323.58930687389733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729.42619999999999</v>
      </c>
      <c r="CJ5" s="399">
        <v>-4.3629999999999427</v>
      </c>
      <c r="CK5" s="399"/>
      <c r="CL5" s="399"/>
      <c r="CM5" s="399"/>
      <c r="CN5" s="399"/>
      <c r="CO5" s="399">
        <v>-42.851680000000016</v>
      </c>
      <c r="CP5" s="399">
        <v>40.157839999999986</v>
      </c>
      <c r="CQ5" s="399">
        <v>30</v>
      </c>
      <c r="CR5" s="399">
        <v>31.494099325845582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4.2849178434428552</v>
      </c>
      <c r="DA5" s="399">
        <v>0</v>
      </c>
      <c r="DB5" s="399">
        <v>0</v>
      </c>
      <c r="DC5" s="399">
        <v>40.167378424395679</v>
      </c>
      <c r="DD5" s="399">
        <v>0</v>
      </c>
      <c r="DE5" s="399">
        <v>0</v>
      </c>
      <c r="DF5" s="399">
        <v>0</v>
      </c>
      <c r="DG5" s="399">
        <v>3.8886121485969056</v>
      </c>
      <c r="DH5" s="399">
        <v>0</v>
      </c>
      <c r="DI5" s="399">
        <v>-14.814294131931618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-1.921921119569614</v>
      </c>
      <c r="DP5" s="399">
        <v>-0.1105938390888469</v>
      </c>
      <c r="DQ5" s="399">
        <v>0</v>
      </c>
      <c r="DR5" s="399">
        <v>0</v>
      </c>
      <c r="DS5" s="399"/>
      <c r="DT5" s="399"/>
      <c r="DU5" s="399"/>
      <c r="DV5" s="399">
        <v>158.0886716262784</v>
      </c>
      <c r="DW5" s="399">
        <v>0</v>
      </c>
      <c r="DX5" s="399">
        <v>0</v>
      </c>
      <c r="DY5" s="399">
        <v>-42.851680000000044</v>
      </c>
      <c r="DZ5" s="399">
        <v>40.157840000000022</v>
      </c>
      <c r="EA5" s="399">
        <v>0</v>
      </c>
      <c r="EB5" s="399">
        <v>0</v>
      </c>
      <c r="EC5" s="399">
        <v>-34.177917825267969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20.567729928029337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215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2343</v>
      </c>
      <c r="D6" s="399" t="s">
        <v>1823</v>
      </c>
      <c r="E6" s="399" t="s">
        <v>889</v>
      </c>
      <c r="F6" s="399" t="s">
        <v>2347</v>
      </c>
      <c r="G6" s="399" t="s">
        <v>1239</v>
      </c>
      <c r="H6" s="399" t="s">
        <v>1239</v>
      </c>
      <c r="I6" s="399" t="s">
        <v>1239</v>
      </c>
      <c r="J6" s="399" t="s">
        <v>2344</v>
      </c>
      <c r="K6" s="791">
        <v>44440</v>
      </c>
      <c r="L6" s="399">
        <v>0</v>
      </c>
      <c r="M6" s="399">
        <v>0</v>
      </c>
      <c r="N6" s="399">
        <v>6.39</v>
      </c>
      <c r="O6" s="399">
        <v>6.39</v>
      </c>
      <c r="P6" s="399">
        <v>6.39</v>
      </c>
      <c r="Q6" s="399">
        <v>6.39</v>
      </c>
      <c r="R6" s="399"/>
      <c r="S6" s="399">
        <v>158.36000000000001</v>
      </c>
      <c r="T6" s="399">
        <v>171.61</v>
      </c>
      <c r="U6" s="399"/>
      <c r="V6" s="399">
        <v>2108.5083</v>
      </c>
      <c r="W6" s="399">
        <v>2108.5083</v>
      </c>
      <c r="X6" s="399">
        <v>2158.7975999999999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340.81699545047212</v>
      </c>
      <c r="AE6" s="399">
        <v>566.24810072416972</v>
      </c>
      <c r="AF6" s="399">
        <v>1056.7413150140546</v>
      </c>
      <c r="AG6" s="399">
        <v>39.843930889002507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2.5307700206100421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102.30334357574563</v>
      </c>
      <c r="BH6" s="399">
        <v>0</v>
      </c>
      <c r="BI6" s="399">
        <v>0</v>
      </c>
      <c r="BJ6" s="399">
        <v>0</v>
      </c>
      <c r="BK6" s="399">
        <v>89.63</v>
      </c>
      <c r="BL6" s="399">
        <v>0</v>
      </c>
      <c r="BM6" s="399"/>
      <c r="BN6" s="399"/>
      <c r="BO6" s="399"/>
      <c r="BP6" s="399"/>
      <c r="BQ6" s="399"/>
      <c r="BR6" s="399"/>
      <c r="BS6" s="399"/>
      <c r="BT6" s="399">
        <v>1403.2440000000001</v>
      </c>
      <c r="BU6" s="399"/>
      <c r="BV6" s="399">
        <v>1159.0446585898003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755.55359999999996</v>
      </c>
      <c r="CJ6" s="399">
        <v>17.606400000000008</v>
      </c>
      <c r="CK6" s="399"/>
      <c r="CL6" s="399"/>
      <c r="CM6" s="399"/>
      <c r="CN6" s="399"/>
      <c r="CO6" s="399">
        <v>-93.549600000000083</v>
      </c>
      <c r="CP6" s="399">
        <v>143.83889999999994</v>
      </c>
      <c r="CQ6" s="399">
        <v>30</v>
      </c>
      <c r="CR6" s="399">
        <v>172.75320075630293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15.347883979596304</v>
      </c>
      <c r="DA6" s="399">
        <v>0</v>
      </c>
      <c r="DB6" s="399">
        <v>0</v>
      </c>
      <c r="DC6" s="399">
        <v>143.87306509635005</v>
      </c>
      <c r="DD6" s="399">
        <v>0</v>
      </c>
      <c r="DE6" s="399">
        <v>0</v>
      </c>
      <c r="DF6" s="399">
        <v>0</v>
      </c>
      <c r="DG6" s="399">
        <v>13.928380958259098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-0.39612927790231556</v>
      </c>
      <c r="DQ6" s="399">
        <v>0</v>
      </c>
      <c r="DR6" s="399">
        <v>0</v>
      </c>
      <c r="DS6" s="399"/>
      <c r="DT6" s="399"/>
      <c r="DU6" s="399"/>
      <c r="DV6" s="399">
        <v>566.24810072416972</v>
      </c>
      <c r="DW6" s="399">
        <v>0</v>
      </c>
      <c r="DX6" s="399">
        <v>0</v>
      </c>
      <c r="DY6" s="399">
        <v>-93.549600000000169</v>
      </c>
      <c r="DZ6" s="399">
        <v>143.83889999999997</v>
      </c>
      <c r="EA6" s="399">
        <v>0</v>
      </c>
      <c r="EB6" s="399">
        <v>0</v>
      </c>
      <c r="EC6" s="399">
        <v>-122.41978413871198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215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2343</v>
      </c>
      <c r="D7" s="399" t="s">
        <v>1823</v>
      </c>
      <c r="E7" s="399" t="s">
        <v>889</v>
      </c>
      <c r="F7" s="399" t="s">
        <v>2348</v>
      </c>
      <c r="G7" s="399" t="s">
        <v>1239</v>
      </c>
      <c r="H7" s="399" t="s">
        <v>1239</v>
      </c>
      <c r="I7" s="399" t="s">
        <v>1239</v>
      </c>
      <c r="J7" s="399" t="s">
        <v>2344</v>
      </c>
      <c r="K7" s="791">
        <v>44440</v>
      </c>
      <c r="L7" s="399">
        <v>0</v>
      </c>
      <c r="M7" s="399">
        <v>0</v>
      </c>
      <c r="N7" s="399">
        <v>14.516999999999999</v>
      </c>
      <c r="O7" s="399">
        <v>14.516999999999999</v>
      </c>
      <c r="P7" s="399">
        <v>14.516999999999999</v>
      </c>
      <c r="Q7" s="399">
        <v>14.516999999999999</v>
      </c>
      <c r="R7" s="399"/>
      <c r="S7" s="399">
        <v>158.36000000000001</v>
      </c>
      <c r="T7" s="399">
        <v>171.61</v>
      </c>
      <c r="U7" s="399"/>
      <c r="V7" s="399">
        <v>4790.1744899999994</v>
      </c>
      <c r="W7" s="399">
        <v>4790.1744899999994</v>
      </c>
      <c r="X7" s="399">
        <v>4904.42328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774.27861079100217</v>
      </c>
      <c r="AE7" s="399">
        <v>1286.4199809409658</v>
      </c>
      <c r="AF7" s="399">
        <v>2400.7376635460146</v>
      </c>
      <c r="AG7" s="399">
        <v>90.518676794311332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5.7494817510478846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232.41590589813762</v>
      </c>
      <c r="BH7" s="399">
        <v>0</v>
      </c>
      <c r="BI7" s="399">
        <v>0</v>
      </c>
      <c r="BJ7" s="399">
        <v>0</v>
      </c>
      <c r="BK7" s="399">
        <v>361.25</v>
      </c>
      <c r="BL7" s="399">
        <v>13</v>
      </c>
      <c r="BM7" s="399"/>
      <c r="BN7" s="399"/>
      <c r="BO7" s="399"/>
      <c r="BP7" s="399"/>
      <c r="BQ7" s="399"/>
      <c r="BR7" s="399"/>
      <c r="BS7" s="399"/>
      <c r="BT7" s="399">
        <v>1961.8273799999997</v>
      </c>
      <c r="BU7" s="399"/>
      <c r="BV7" s="399">
        <v>2633.1535694441523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2943.2039999999997</v>
      </c>
      <c r="CJ7" s="399">
        <v>69.098339999999553</v>
      </c>
      <c r="CK7" s="399"/>
      <c r="CL7" s="399"/>
      <c r="CM7" s="399"/>
      <c r="CN7" s="399"/>
      <c r="CO7" s="399">
        <v>-212.52888000000021</v>
      </c>
      <c r="CP7" s="399">
        <v>326.77766999999983</v>
      </c>
      <c r="CQ7" s="399">
        <v>30</v>
      </c>
      <c r="CR7" s="399">
        <v>392.46607439424861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34.867798393082808</v>
      </c>
      <c r="DA7" s="399">
        <v>0</v>
      </c>
      <c r="DB7" s="399">
        <v>0</v>
      </c>
      <c r="DC7" s="399">
        <v>326.8552873245244</v>
      </c>
      <c r="DD7" s="399">
        <v>0</v>
      </c>
      <c r="DE7" s="399">
        <v>0</v>
      </c>
      <c r="DF7" s="399">
        <v>0</v>
      </c>
      <c r="DG7" s="399">
        <v>31.64292744460829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-0.89993876796681072</v>
      </c>
      <c r="DQ7" s="399">
        <v>0</v>
      </c>
      <c r="DR7" s="399">
        <v>0</v>
      </c>
      <c r="DS7" s="399"/>
      <c r="DT7" s="399"/>
      <c r="DU7" s="399"/>
      <c r="DV7" s="399">
        <v>1286.4199809409658</v>
      </c>
      <c r="DW7" s="399">
        <v>0</v>
      </c>
      <c r="DX7" s="399">
        <v>0</v>
      </c>
      <c r="DY7" s="399">
        <v>-212.52887999999984</v>
      </c>
      <c r="DZ7" s="399">
        <v>326.77766999999994</v>
      </c>
      <c r="EA7" s="399">
        <v>0</v>
      </c>
      <c r="EB7" s="399">
        <v>0</v>
      </c>
      <c r="EC7" s="399">
        <v>-278.1170588954119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215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2343</v>
      </c>
      <c r="D8" s="399" t="s">
        <v>1823</v>
      </c>
      <c r="E8" s="399" t="s">
        <v>889</v>
      </c>
      <c r="F8" s="399" t="s">
        <v>2349</v>
      </c>
      <c r="G8" s="399" t="s">
        <v>1239</v>
      </c>
      <c r="H8" s="399" t="s">
        <v>1239</v>
      </c>
      <c r="I8" s="399" t="s">
        <v>1239</v>
      </c>
      <c r="J8" s="399" t="s">
        <v>2344</v>
      </c>
      <c r="K8" s="791">
        <v>44440</v>
      </c>
      <c r="L8" s="399">
        <v>0</v>
      </c>
      <c r="M8" s="399">
        <v>0</v>
      </c>
      <c r="N8" s="399">
        <v>18.957000000000001</v>
      </c>
      <c r="O8" s="399">
        <v>18.957000000000001</v>
      </c>
      <c r="P8" s="399">
        <v>18.957000000000001</v>
      </c>
      <c r="Q8" s="399">
        <v>18.957000000000001</v>
      </c>
      <c r="R8" s="399"/>
      <c r="S8" s="399">
        <v>158.36000000000001</v>
      </c>
      <c r="T8" s="399">
        <v>171.61</v>
      </c>
      <c r="U8" s="399"/>
      <c r="V8" s="399">
        <v>6255.2412900000008</v>
      </c>
      <c r="W8" s="399">
        <v>6255.2412900000008</v>
      </c>
      <c r="X8" s="399">
        <v>6404.4328800000003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1011.0904198364008</v>
      </c>
      <c r="AE8" s="399">
        <v>1679.8693654817037</v>
      </c>
      <c r="AF8" s="399">
        <v>3134.9992345416958</v>
      </c>
      <c r="AG8" s="399">
        <v>118.20366163737411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7.5079510611431264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303.49991927471206</v>
      </c>
      <c r="BH8" s="399">
        <v>0</v>
      </c>
      <c r="BI8" s="399">
        <v>0</v>
      </c>
      <c r="BJ8" s="399">
        <v>0</v>
      </c>
      <c r="BK8" s="399">
        <v>1389.22</v>
      </c>
      <c r="BL8" s="399">
        <v>92</v>
      </c>
      <c r="BM8" s="399"/>
      <c r="BN8" s="399"/>
      <c r="BO8" s="399"/>
      <c r="BP8" s="399"/>
      <c r="BQ8" s="399"/>
      <c r="BR8" s="399"/>
      <c r="BS8" s="399"/>
      <c r="BT8" s="399">
        <v>640.36746000000005</v>
      </c>
      <c r="BU8" s="399"/>
      <c r="BV8" s="399">
        <v>3438.4991538164077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5764.9776000000002</v>
      </c>
      <c r="CJ8" s="399">
        <v>135.28730999999971</v>
      </c>
      <c r="CK8" s="399"/>
      <c r="CL8" s="399"/>
      <c r="CM8" s="399"/>
      <c r="CN8" s="399"/>
      <c r="CO8" s="399">
        <v>-277.5304800000003</v>
      </c>
      <c r="CP8" s="399">
        <v>426.72206999999986</v>
      </c>
      <c r="CQ8" s="399">
        <v>30</v>
      </c>
      <c r="CR8" s="399">
        <v>512.50116224369958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45.532055806135531</v>
      </c>
      <c r="DA8" s="399">
        <v>0</v>
      </c>
      <c r="DB8" s="399">
        <v>0</v>
      </c>
      <c r="DC8" s="399">
        <v>426.82342645250492</v>
      </c>
      <c r="DD8" s="399">
        <v>0</v>
      </c>
      <c r="DE8" s="399">
        <v>0</v>
      </c>
      <c r="DF8" s="399">
        <v>0</v>
      </c>
      <c r="DG8" s="399">
        <v>41.320863509501976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-1.175183524443538</v>
      </c>
      <c r="DQ8" s="399">
        <v>0</v>
      </c>
      <c r="DR8" s="399">
        <v>0</v>
      </c>
      <c r="DS8" s="399"/>
      <c r="DT8" s="399"/>
      <c r="DU8" s="399"/>
      <c r="DV8" s="399">
        <v>1679.8693654817037</v>
      </c>
      <c r="DW8" s="399">
        <v>0</v>
      </c>
      <c r="DX8" s="399">
        <v>0</v>
      </c>
      <c r="DY8" s="399">
        <v>-277.53048000000035</v>
      </c>
      <c r="DZ8" s="399">
        <v>426.7220699999998</v>
      </c>
      <c r="EA8" s="399">
        <v>0</v>
      </c>
      <c r="EB8" s="399">
        <v>0</v>
      </c>
      <c r="EC8" s="399">
        <v>-363.17869294484558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215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2345</v>
      </c>
      <c r="C9" s="399" t="s">
        <v>2343</v>
      </c>
      <c r="D9" s="399" t="s">
        <v>1823</v>
      </c>
      <c r="E9" s="399" t="s">
        <v>889</v>
      </c>
      <c r="F9" s="399" t="s">
        <v>2349</v>
      </c>
      <c r="G9" s="399" t="s">
        <v>1239</v>
      </c>
      <c r="H9" s="399" t="s">
        <v>1239</v>
      </c>
      <c r="I9" s="399" t="s">
        <v>1239</v>
      </c>
      <c r="J9" s="399" t="s">
        <v>2344</v>
      </c>
      <c r="K9" s="791">
        <v>44440</v>
      </c>
      <c r="L9" s="399">
        <v>0</v>
      </c>
      <c r="M9" s="399">
        <v>0</v>
      </c>
      <c r="N9" s="399">
        <v>-5.1999999999999998E-2</v>
      </c>
      <c r="O9" s="399">
        <v>-5.1999999999999998E-2</v>
      </c>
      <c r="P9" s="399">
        <v>-5.1999999999999998E-2</v>
      </c>
      <c r="Q9" s="399">
        <v>-5.1999999999999998E-2</v>
      </c>
      <c r="R9" s="399"/>
      <c r="S9" s="399">
        <v>158.36000000000001</v>
      </c>
      <c r="T9" s="399">
        <v>171.61</v>
      </c>
      <c r="U9" s="399"/>
      <c r="V9" s="399">
        <v>-17.158439999999999</v>
      </c>
      <c r="W9" s="399">
        <v>-17.158439999999999</v>
      </c>
      <c r="X9" s="399">
        <v>-17.567679999999999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-2.773471637468631</v>
      </c>
      <c r="AE9" s="399">
        <v>-4.6079657648915227</v>
      </c>
      <c r="AF9" s="399">
        <v>-8.5994598404899598</v>
      </c>
      <c r="AG9" s="399">
        <v>-0.32423856122505951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-2.0594685613728042E-2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-0.83251547197789877</v>
      </c>
      <c r="BH9" s="399">
        <v>0</v>
      </c>
      <c r="BI9" s="399">
        <v>0</v>
      </c>
      <c r="BJ9" s="399">
        <v>0</v>
      </c>
      <c r="BK9" s="399">
        <v>-4.97</v>
      </c>
      <c r="BL9" s="399">
        <v>0</v>
      </c>
      <c r="BM9" s="399"/>
      <c r="BN9" s="399"/>
      <c r="BO9" s="399"/>
      <c r="BP9" s="399"/>
      <c r="BQ9" s="399"/>
      <c r="BR9" s="399"/>
      <c r="BS9" s="399"/>
      <c r="BT9" s="399">
        <v>-1.7565599999999999</v>
      </c>
      <c r="BU9" s="399"/>
      <c r="BV9" s="399">
        <v>-9.4319753124678591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-15.202999999999999</v>
      </c>
      <c r="CJ9" s="399">
        <v>0.20944000000000074</v>
      </c>
      <c r="CK9" s="399"/>
      <c r="CL9" s="399"/>
      <c r="CM9" s="399"/>
      <c r="CN9" s="399"/>
      <c r="CO9" s="399">
        <v>0.76128000000000073</v>
      </c>
      <c r="CP9" s="399">
        <v>-1.1705199999999996</v>
      </c>
      <c r="CQ9" s="399">
        <v>30</v>
      </c>
      <c r="CR9" s="399">
        <v>-1.4058163441827443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-0.12489670844115874</v>
      </c>
      <c r="DA9" s="399">
        <v>0</v>
      </c>
      <c r="DB9" s="399">
        <v>0</v>
      </c>
      <c r="DC9" s="399">
        <v>-1.170798025823192</v>
      </c>
      <c r="DD9" s="399">
        <v>0</v>
      </c>
      <c r="DE9" s="399">
        <v>0</v>
      </c>
      <c r="DF9" s="399">
        <v>0</v>
      </c>
      <c r="DG9" s="399">
        <v>-0.113345197156412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3.2235872380157148E-3</v>
      </c>
      <c r="DQ9" s="399">
        <v>0</v>
      </c>
      <c r="DR9" s="399">
        <v>0</v>
      </c>
      <c r="DS9" s="399"/>
      <c r="DT9" s="399"/>
      <c r="DU9" s="399"/>
      <c r="DV9" s="399">
        <v>-4.6079657648915227</v>
      </c>
      <c r="DW9" s="399">
        <v>0</v>
      </c>
      <c r="DX9" s="399">
        <v>0</v>
      </c>
      <c r="DY9" s="399">
        <v>0.76128000000000196</v>
      </c>
      <c r="DZ9" s="399">
        <v>-1.1705199999999998</v>
      </c>
      <c r="EA9" s="399">
        <v>0</v>
      </c>
      <c r="EB9" s="399">
        <v>0</v>
      </c>
      <c r="EC9" s="399">
        <v>0.9962173357140891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215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2343</v>
      </c>
      <c r="D10" s="399" t="s">
        <v>1823</v>
      </c>
      <c r="E10" s="399" t="s">
        <v>889</v>
      </c>
      <c r="F10" s="399" t="s">
        <v>2350</v>
      </c>
      <c r="G10" s="399" t="s">
        <v>1239</v>
      </c>
      <c r="H10" s="399" t="s">
        <v>1239</v>
      </c>
      <c r="I10" s="399" t="s">
        <v>1239</v>
      </c>
      <c r="J10" s="399" t="s">
        <v>2344</v>
      </c>
      <c r="K10" s="791">
        <v>44440</v>
      </c>
      <c r="L10" s="399">
        <v>0</v>
      </c>
      <c r="M10" s="399">
        <v>0</v>
      </c>
      <c r="N10" s="399">
        <v>12.157999999999999</v>
      </c>
      <c r="O10" s="399">
        <v>12.157999999999999</v>
      </c>
      <c r="P10" s="399">
        <v>12.157999999999999</v>
      </c>
      <c r="Q10" s="399">
        <v>12.157999999999999</v>
      </c>
      <c r="R10" s="399"/>
      <c r="S10" s="399">
        <v>158.36000000000001</v>
      </c>
      <c r="T10" s="399">
        <v>171.61</v>
      </c>
      <c r="U10" s="399"/>
      <c r="V10" s="399">
        <v>4011.7752600000003</v>
      </c>
      <c r="W10" s="399">
        <v>4011.7752600000003</v>
      </c>
      <c r="X10" s="399">
        <v>4107.4587199999996</v>
      </c>
      <c r="Y10" s="399">
        <v>0</v>
      </c>
      <c r="Z10" s="399">
        <v>0</v>
      </c>
      <c r="AA10" s="399">
        <v>0</v>
      </c>
      <c r="AB10" s="399">
        <v>0</v>
      </c>
      <c r="AC10" s="399">
        <v>0</v>
      </c>
      <c r="AD10" s="399">
        <v>648.45900323737715</v>
      </c>
      <c r="AE10" s="399">
        <v>1077.377841722137</v>
      </c>
      <c r="AF10" s="399">
        <v>2010.6198603976334</v>
      </c>
      <c r="AG10" s="399">
        <v>75.809469757197576</v>
      </c>
      <c r="AH10" s="399">
        <v>0</v>
      </c>
      <c r="AI10" s="399">
        <v>0</v>
      </c>
      <c r="AJ10" s="399">
        <v>0</v>
      </c>
      <c r="AK10" s="399">
        <v>0</v>
      </c>
      <c r="AL10" s="399">
        <v>0</v>
      </c>
      <c r="AM10" s="399"/>
      <c r="AN10" s="399">
        <v>4.8151959171481842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194.64852131360178</v>
      </c>
      <c r="BH10" s="399">
        <v>0</v>
      </c>
      <c r="BI10" s="399">
        <v>0</v>
      </c>
      <c r="BJ10" s="399">
        <v>0</v>
      </c>
      <c r="BK10" s="399">
        <v>1909.62</v>
      </c>
      <c r="BL10" s="399">
        <v>107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2205.2683817112352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4108.1343999999999</v>
      </c>
      <c r="CJ10" s="399">
        <v>96.329139999999825</v>
      </c>
      <c r="CK10" s="399"/>
      <c r="CL10" s="399"/>
      <c r="CM10" s="399"/>
      <c r="CN10" s="399"/>
      <c r="CO10" s="399">
        <v>-177.99312000000018</v>
      </c>
      <c r="CP10" s="399">
        <v>273.67657999999989</v>
      </c>
      <c r="CQ10" s="399">
        <v>30</v>
      </c>
      <c r="CR10" s="399">
        <v>328.69067524180491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29.201811177454147</v>
      </c>
      <c r="DA10" s="399">
        <v>0</v>
      </c>
      <c r="DB10" s="399">
        <v>0</v>
      </c>
      <c r="DC10" s="399">
        <v>273.74158457612225</v>
      </c>
      <c r="DD10" s="399">
        <v>0</v>
      </c>
      <c r="DE10" s="399">
        <v>0</v>
      </c>
      <c r="DF10" s="399">
        <v>0</v>
      </c>
      <c r="DG10" s="399">
        <v>26.500978981301103</v>
      </c>
      <c r="DH10" s="399">
        <v>0</v>
      </c>
      <c r="DI10" s="399">
        <v>0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0</v>
      </c>
      <c r="DP10" s="399">
        <v>-0.75369949307298256</v>
      </c>
      <c r="DQ10" s="399">
        <v>0</v>
      </c>
      <c r="DR10" s="399">
        <v>0</v>
      </c>
      <c r="DS10" s="399"/>
      <c r="DT10" s="399"/>
      <c r="DU10" s="399"/>
      <c r="DV10" s="399">
        <v>1077.377841722137</v>
      </c>
      <c r="DW10" s="399">
        <v>0</v>
      </c>
      <c r="DX10" s="399">
        <v>0</v>
      </c>
      <c r="DY10" s="399">
        <v>-177.99312000000009</v>
      </c>
      <c r="DZ10" s="399">
        <v>273.67657999999983</v>
      </c>
      <c r="EA10" s="399">
        <v>0</v>
      </c>
      <c r="EB10" s="399">
        <v>0</v>
      </c>
      <c r="EC10" s="399">
        <v>-232.92327630022851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215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956</v>
      </c>
      <c r="C11" s="399" t="s">
        <v>2343</v>
      </c>
      <c r="D11" s="399" t="s">
        <v>1826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1239</v>
      </c>
      <c r="J11" s="399" t="s">
        <v>2344</v>
      </c>
      <c r="K11" s="791">
        <v>44440</v>
      </c>
      <c r="L11" s="399">
        <v>0</v>
      </c>
      <c r="M11" s="399">
        <v>0</v>
      </c>
      <c r="N11" s="399">
        <v>246.81100000000001</v>
      </c>
      <c r="O11" s="399">
        <v>246.81100000000001</v>
      </c>
      <c r="P11" s="399">
        <v>246.81100000000001</v>
      </c>
      <c r="Q11" s="399">
        <v>246.81100000000001</v>
      </c>
      <c r="R11" s="399"/>
      <c r="S11" s="399">
        <v>239.69</v>
      </c>
      <c r="T11" s="399">
        <v>171.61</v>
      </c>
      <c r="U11" s="399"/>
      <c r="V11" s="399">
        <v>101513.36430000002</v>
      </c>
      <c r="W11" s="399">
        <v>101513.36430000002</v>
      </c>
      <c r="X11" s="399">
        <v>101140.67968999999</v>
      </c>
      <c r="Y11" s="399">
        <v>0</v>
      </c>
      <c r="Z11" s="399">
        <v>14921.526500946436</v>
      </c>
      <c r="AA11" s="399">
        <v>0</v>
      </c>
      <c r="AB11" s="399">
        <v>0</v>
      </c>
      <c r="AC11" s="399">
        <v>0</v>
      </c>
      <c r="AD11" s="399">
        <v>13163.90977529366</v>
      </c>
      <c r="AE11" s="399">
        <v>21871.089199973878</v>
      </c>
      <c r="AF11" s="399">
        <v>40816.178513291685</v>
      </c>
      <c r="AG11" s="399">
        <v>1538.9546833561187</v>
      </c>
      <c r="AH11" s="399">
        <v>0</v>
      </c>
      <c r="AI11" s="399">
        <v>0</v>
      </c>
      <c r="AJ11" s="399">
        <v>0</v>
      </c>
      <c r="AK11" s="399">
        <v>0</v>
      </c>
      <c r="AL11" s="399">
        <v>2307.2165690834704</v>
      </c>
      <c r="AM11" s="399"/>
      <c r="AN11" s="399">
        <v>97.749902904035238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3951.422618352638</v>
      </c>
      <c r="BH11" s="399">
        <v>0</v>
      </c>
      <c r="BI11" s="399">
        <v>0</v>
      </c>
      <c r="BJ11" s="399">
        <v>0</v>
      </c>
      <c r="BK11" s="399">
        <v>41444.57</v>
      </c>
      <c r="BL11" s="399">
        <v>78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44767.601131644326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101140.2699</v>
      </c>
      <c r="CJ11" s="399">
        <v>-373.12440000000061</v>
      </c>
      <c r="CK11" s="399"/>
      <c r="CL11" s="399"/>
      <c r="CM11" s="399"/>
      <c r="CN11" s="399"/>
      <c r="CO11" s="399">
        <v>-5928.4002200000023</v>
      </c>
      <c r="CP11" s="399">
        <v>5555.7156099999975</v>
      </c>
      <c r="CQ11" s="399">
        <v>30</v>
      </c>
      <c r="CR11" s="399">
        <v>4357.1133120578597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592.80541359751805</v>
      </c>
      <c r="DA11" s="399">
        <v>0</v>
      </c>
      <c r="DB11" s="399">
        <v>0</v>
      </c>
      <c r="DC11" s="399">
        <v>5557.0352221432258</v>
      </c>
      <c r="DD11" s="399">
        <v>0</v>
      </c>
      <c r="DE11" s="399">
        <v>0</v>
      </c>
      <c r="DF11" s="399">
        <v>0</v>
      </c>
      <c r="DG11" s="399">
        <v>537.97772029560019</v>
      </c>
      <c r="DH11" s="399">
        <v>0</v>
      </c>
      <c r="DI11" s="399">
        <v>-2049.5127516794691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-265.89196941821479</v>
      </c>
      <c r="DP11" s="399">
        <v>-15.300322880805709</v>
      </c>
      <c r="DQ11" s="399">
        <v>0</v>
      </c>
      <c r="DR11" s="399">
        <v>0</v>
      </c>
      <c r="DS11" s="399"/>
      <c r="DT11" s="399"/>
      <c r="DU11" s="399"/>
      <c r="DV11" s="399">
        <v>21871.089199973878</v>
      </c>
      <c r="DW11" s="399">
        <v>0</v>
      </c>
      <c r="DX11" s="399">
        <v>0</v>
      </c>
      <c r="DY11" s="399">
        <v>-5928.4002200000032</v>
      </c>
      <c r="DZ11" s="399">
        <v>5555.715609999992</v>
      </c>
      <c r="EA11" s="399">
        <v>0</v>
      </c>
      <c r="EB11" s="399">
        <v>0</v>
      </c>
      <c r="EC11" s="399">
        <v>-4728.4114777871146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2845.4831789612381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215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2345</v>
      </c>
      <c r="C12" s="399" t="s">
        <v>2343</v>
      </c>
      <c r="D12" s="399" t="s">
        <v>1826</v>
      </c>
      <c r="E12" s="399" t="s">
        <v>890</v>
      </c>
      <c r="F12" s="399" t="s">
        <v>1239</v>
      </c>
      <c r="G12" s="399" t="s">
        <v>1239</v>
      </c>
      <c r="H12" s="399" t="s">
        <v>1239</v>
      </c>
      <c r="I12" s="399" t="s">
        <v>1239</v>
      </c>
      <c r="J12" s="399" t="s">
        <v>2344</v>
      </c>
      <c r="K12" s="791">
        <v>44440</v>
      </c>
      <c r="L12" s="399">
        <v>0</v>
      </c>
      <c r="M12" s="399">
        <v>0</v>
      </c>
      <c r="N12" s="399">
        <v>0.65</v>
      </c>
      <c r="O12" s="399">
        <v>0.65</v>
      </c>
      <c r="P12" s="399">
        <v>0.65</v>
      </c>
      <c r="Q12" s="399">
        <v>0.65</v>
      </c>
      <c r="R12" s="399"/>
      <c r="S12" s="399">
        <v>239.69</v>
      </c>
      <c r="T12" s="399">
        <v>171.61</v>
      </c>
      <c r="U12" s="399"/>
      <c r="V12" s="399">
        <v>267.34500000000003</v>
      </c>
      <c r="W12" s="399">
        <v>267.34500000000003</v>
      </c>
      <c r="X12" s="399">
        <v>266.36349999999999</v>
      </c>
      <c r="Y12" s="399">
        <v>0</v>
      </c>
      <c r="Z12" s="399">
        <v>39.297244553991447</v>
      </c>
      <c r="AA12" s="399">
        <v>0</v>
      </c>
      <c r="AB12" s="399">
        <v>0</v>
      </c>
      <c r="AC12" s="399">
        <v>0</v>
      </c>
      <c r="AD12" s="399">
        <v>34.668395468357886</v>
      </c>
      <c r="AE12" s="399">
        <v>57.59957206114403</v>
      </c>
      <c r="AF12" s="399">
        <v>107.4932480061245</v>
      </c>
      <c r="AG12" s="399">
        <v>4.0529820153132441</v>
      </c>
      <c r="AH12" s="399">
        <v>0</v>
      </c>
      <c r="AI12" s="399">
        <v>0</v>
      </c>
      <c r="AJ12" s="399">
        <v>0</v>
      </c>
      <c r="AK12" s="399">
        <v>0</v>
      </c>
      <c r="AL12" s="399">
        <v>6.0762720053168451</v>
      </c>
      <c r="AM12" s="399"/>
      <c r="AN12" s="399">
        <v>0.25743357017160057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10.406443399723734</v>
      </c>
      <c r="BH12" s="399">
        <v>0</v>
      </c>
      <c r="BI12" s="399">
        <v>0</v>
      </c>
      <c r="BJ12" s="399">
        <v>0</v>
      </c>
      <c r="BK12" s="399">
        <v>99.98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117.89969140584824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266.36349999999999</v>
      </c>
      <c r="CJ12" s="399">
        <v>-1.0115000000000123</v>
      </c>
      <c r="CK12" s="399"/>
      <c r="CL12" s="399"/>
      <c r="CM12" s="399"/>
      <c r="CN12" s="399"/>
      <c r="CO12" s="399">
        <v>-15.613000000000007</v>
      </c>
      <c r="CP12" s="399">
        <v>14.631499999999994</v>
      </c>
      <c r="CQ12" s="399">
        <v>30</v>
      </c>
      <c r="CR12" s="399">
        <v>11.474868027914511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1.5612088555144936</v>
      </c>
      <c r="DA12" s="399">
        <v>0</v>
      </c>
      <c r="DB12" s="399">
        <v>0</v>
      </c>
      <c r="DC12" s="399">
        <v>14.634975322789899</v>
      </c>
      <c r="DD12" s="399">
        <v>0</v>
      </c>
      <c r="DE12" s="399">
        <v>0</v>
      </c>
      <c r="DF12" s="399">
        <v>0</v>
      </c>
      <c r="DG12" s="399">
        <v>1.4168149644551509</v>
      </c>
      <c r="DH12" s="399">
        <v>0</v>
      </c>
      <c r="DI12" s="399">
        <v>-5.3975847453786656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-0.70025152899116971</v>
      </c>
      <c r="DP12" s="399">
        <v>-4.0294840475196464E-2</v>
      </c>
      <c r="DQ12" s="399">
        <v>0</v>
      </c>
      <c r="DR12" s="399">
        <v>0</v>
      </c>
      <c r="DS12" s="399"/>
      <c r="DT12" s="399"/>
      <c r="DU12" s="399"/>
      <c r="DV12" s="399">
        <v>57.59957206114403</v>
      </c>
      <c r="DW12" s="399">
        <v>0</v>
      </c>
      <c r="DX12" s="399">
        <v>0</v>
      </c>
      <c r="DY12" s="399">
        <v>-15.613</v>
      </c>
      <c r="DZ12" s="399">
        <v>14.631500000000003</v>
      </c>
      <c r="EA12" s="399">
        <v>0</v>
      </c>
      <c r="EB12" s="399">
        <v>0</v>
      </c>
      <c r="EC12" s="399">
        <v>-12.452716696426108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7.4938477876788498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215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2346</v>
      </c>
      <c r="C13" s="399" t="s">
        <v>2343</v>
      </c>
      <c r="D13" s="399" t="s">
        <v>1826</v>
      </c>
      <c r="E13" s="399" t="s">
        <v>890</v>
      </c>
      <c r="F13" s="399" t="s">
        <v>1239</v>
      </c>
      <c r="G13" s="399" t="s">
        <v>1239</v>
      </c>
      <c r="H13" s="399" t="s">
        <v>1239</v>
      </c>
      <c r="I13" s="399" t="s">
        <v>1239</v>
      </c>
      <c r="J13" s="399" t="s">
        <v>2344</v>
      </c>
      <c r="K13" s="791">
        <v>44440</v>
      </c>
      <c r="L13" s="399">
        <v>0</v>
      </c>
      <c r="M13" s="399">
        <v>0</v>
      </c>
      <c r="N13" s="399">
        <v>7.9219999999999997</v>
      </c>
      <c r="O13" s="399">
        <v>7.9219999999999997</v>
      </c>
      <c r="P13" s="399">
        <v>7.9219999999999997</v>
      </c>
      <c r="Q13" s="399">
        <v>7.9219999999999997</v>
      </c>
      <c r="R13" s="399"/>
      <c r="S13" s="399">
        <v>239.69</v>
      </c>
      <c r="T13" s="399">
        <v>171.61</v>
      </c>
      <c r="U13" s="399"/>
      <c r="V13" s="399">
        <v>3258.3185999999996</v>
      </c>
      <c r="W13" s="399">
        <v>3258.3185999999996</v>
      </c>
      <c r="X13" s="399">
        <v>3246.3563799999997</v>
      </c>
      <c r="Y13" s="399">
        <v>0</v>
      </c>
      <c r="Z13" s="399">
        <v>478.94272516418499</v>
      </c>
      <c r="AA13" s="399">
        <v>0</v>
      </c>
      <c r="AB13" s="399">
        <v>0</v>
      </c>
      <c r="AC13" s="399">
        <v>0</v>
      </c>
      <c r="AD13" s="399">
        <v>422.52773676974027</v>
      </c>
      <c r="AE13" s="399">
        <v>702.0058613359738</v>
      </c>
      <c r="AF13" s="399">
        <v>1310.0946318531051</v>
      </c>
      <c r="AG13" s="399">
        <v>49.396497731248495</v>
      </c>
      <c r="AH13" s="399">
        <v>0</v>
      </c>
      <c r="AI13" s="399">
        <v>0</v>
      </c>
      <c r="AJ13" s="399">
        <v>0</v>
      </c>
      <c r="AK13" s="399">
        <v>0</v>
      </c>
      <c r="AL13" s="399">
        <v>74.055733578646226</v>
      </c>
      <c r="AM13" s="399"/>
      <c r="AN13" s="399">
        <v>3.1375211429221839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126.83053017324835</v>
      </c>
      <c r="BH13" s="399">
        <v>0</v>
      </c>
      <c r="BI13" s="399">
        <v>0</v>
      </c>
      <c r="BJ13" s="399">
        <v>0</v>
      </c>
      <c r="BK13" s="399">
        <v>1341.97</v>
      </c>
      <c r="BL13" s="399">
        <v>4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1436.9251620263535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3245.5367999999999</v>
      </c>
      <c r="CJ13" s="399">
        <v>-12.811800000000403</v>
      </c>
      <c r="CK13" s="399"/>
      <c r="CL13" s="399"/>
      <c r="CM13" s="399"/>
      <c r="CN13" s="399"/>
      <c r="CO13" s="399">
        <v>-190.28644000000008</v>
      </c>
      <c r="CP13" s="399">
        <v>178.32421999999991</v>
      </c>
      <c r="CQ13" s="399">
        <v>30</v>
      </c>
      <c r="CR13" s="399">
        <v>139.85216079559768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19.027533159055054</v>
      </c>
      <c r="DA13" s="399">
        <v>0</v>
      </c>
      <c r="DB13" s="399">
        <v>0</v>
      </c>
      <c r="DC13" s="399">
        <v>178.36657616483308</v>
      </c>
      <c r="DD13" s="399">
        <v>0</v>
      </c>
      <c r="DE13" s="399">
        <v>0</v>
      </c>
      <c r="DF13" s="399">
        <v>0</v>
      </c>
      <c r="DG13" s="399">
        <v>17.267704843713375</v>
      </c>
      <c r="DH13" s="399">
        <v>0</v>
      </c>
      <c r="DI13" s="399">
        <v>-65.784102081368985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-8.5344501733354718</v>
      </c>
      <c r="DP13" s="399">
        <v>-0.49110111729924055</v>
      </c>
      <c r="DQ13" s="399">
        <v>0</v>
      </c>
      <c r="DR13" s="399">
        <v>0</v>
      </c>
      <c r="DS13" s="399"/>
      <c r="DT13" s="399"/>
      <c r="DU13" s="399"/>
      <c r="DV13" s="399">
        <v>702.0058613359738</v>
      </c>
      <c r="DW13" s="399">
        <v>0</v>
      </c>
      <c r="DX13" s="399">
        <v>0</v>
      </c>
      <c r="DY13" s="399">
        <v>-190.28644000000008</v>
      </c>
      <c r="DZ13" s="399">
        <v>178.32421999999997</v>
      </c>
      <c r="EA13" s="399">
        <v>0</v>
      </c>
      <c r="EB13" s="399">
        <v>0</v>
      </c>
      <c r="EC13" s="399">
        <v>-151.76987949090403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91.332711036910538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215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2351</v>
      </c>
      <c r="D14" s="399" t="s">
        <v>533</v>
      </c>
      <c r="E14" s="399" t="s">
        <v>890</v>
      </c>
      <c r="F14" s="399" t="s">
        <v>1239</v>
      </c>
      <c r="G14" s="399" t="s">
        <v>1239</v>
      </c>
      <c r="H14" s="399" t="s">
        <v>1239</v>
      </c>
      <c r="I14" s="399" t="s">
        <v>893</v>
      </c>
      <c r="J14" s="399" t="s">
        <v>2344</v>
      </c>
      <c r="K14" s="791">
        <v>44440</v>
      </c>
      <c r="L14" s="399">
        <v>19324</v>
      </c>
      <c r="M14" s="399">
        <v>19324</v>
      </c>
      <c r="N14" s="399">
        <v>916.72699999999998</v>
      </c>
      <c r="O14" s="399">
        <v>916.72699999999998</v>
      </c>
      <c r="P14" s="399">
        <v>916.72699999999998</v>
      </c>
      <c r="Q14" s="399">
        <v>916.72699999999998</v>
      </c>
      <c r="R14" s="399">
        <v>37.64</v>
      </c>
      <c r="S14" s="399">
        <v>78.42</v>
      </c>
      <c r="T14" s="399">
        <v>171.61</v>
      </c>
      <c r="U14" s="399">
        <v>727355.36</v>
      </c>
      <c r="V14" s="399">
        <v>229209.25181000002</v>
      </c>
      <c r="W14" s="399">
        <v>956564.61181000003</v>
      </c>
      <c r="X14" s="399">
        <v>895540.80408000015</v>
      </c>
      <c r="Y14" s="399">
        <v>0</v>
      </c>
      <c r="Z14" s="399">
        <v>48217.869606422792</v>
      </c>
      <c r="AA14" s="399">
        <v>0</v>
      </c>
      <c r="AB14" s="399">
        <v>0</v>
      </c>
      <c r="AC14" s="399">
        <v>0</v>
      </c>
      <c r="AD14" s="399">
        <v>315833.68318200059</v>
      </c>
      <c r="AE14" s="399">
        <v>411455.87252835033</v>
      </c>
      <c r="AF14" s="399">
        <v>151603.01963832384</v>
      </c>
      <c r="AG14" s="399">
        <v>5716.1200676185608</v>
      </c>
      <c r="AH14" s="399">
        <v>0</v>
      </c>
      <c r="AI14" s="399">
        <v>0</v>
      </c>
      <c r="AJ14" s="399">
        <v>0</v>
      </c>
      <c r="AK14" s="399">
        <v>0</v>
      </c>
      <c r="AL14" s="399">
        <v>8569.6655486432228</v>
      </c>
      <c r="AM14" s="399"/>
      <c r="AN14" s="399">
        <v>242.07136694399159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5666.5543057788072</v>
      </c>
      <c r="BH14" s="399">
        <v>0</v>
      </c>
      <c r="BI14" s="399">
        <v>0</v>
      </c>
      <c r="BJ14" s="399">
        <v>0</v>
      </c>
      <c r="BK14" s="399">
        <v>0</v>
      </c>
      <c r="BL14" s="399">
        <v>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157269.57394410265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895541.59920000006</v>
      </c>
      <c r="CJ14" s="399">
        <v>-61023.042610000004</v>
      </c>
      <c r="CK14" s="399"/>
      <c r="CL14" s="399"/>
      <c r="CM14" s="399"/>
      <c r="CN14" s="399"/>
      <c r="CO14" s="399">
        <v>-81659.332499999946</v>
      </c>
      <c r="CP14" s="399">
        <v>20635.524769999993</v>
      </c>
      <c r="CQ14" s="399">
        <v>30</v>
      </c>
      <c r="CR14" s="399">
        <v>27986.388623720966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14222.819844764192</v>
      </c>
      <c r="DA14" s="399">
        <v>0</v>
      </c>
      <c r="DB14" s="399">
        <v>0</v>
      </c>
      <c r="DC14" s="399">
        <v>20640.426188823418</v>
      </c>
      <c r="DD14" s="399">
        <v>0</v>
      </c>
      <c r="DE14" s="399">
        <v>0</v>
      </c>
      <c r="DF14" s="399">
        <v>0</v>
      </c>
      <c r="DG14" s="399">
        <v>771.48922344959374</v>
      </c>
      <c r="DH14" s="399">
        <v>0</v>
      </c>
      <c r="DI14" s="399">
        <v>-6622.8571594811292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-987.59920525767393</v>
      </c>
      <c r="DP14" s="399">
        <v>-37.890268577322615</v>
      </c>
      <c r="DQ14" s="399">
        <v>0</v>
      </c>
      <c r="DR14" s="399">
        <v>0</v>
      </c>
      <c r="DS14" s="399"/>
      <c r="DT14" s="399"/>
      <c r="DU14" s="399">
        <v>411455.87252835033</v>
      </c>
      <c r="DV14" s="399">
        <v>0</v>
      </c>
      <c r="DW14" s="399">
        <v>0</v>
      </c>
      <c r="DX14" s="399">
        <v>0</v>
      </c>
      <c r="DY14" s="399">
        <v>-81659.332499999902</v>
      </c>
      <c r="DZ14" s="399">
        <v>20635.524769999989</v>
      </c>
      <c r="EA14" s="399">
        <v>0</v>
      </c>
      <c r="EB14" s="399">
        <v>0</v>
      </c>
      <c r="EC14" s="399">
        <v>-88954.539596878283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9194.979942683447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215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2346</v>
      </c>
      <c r="C15" s="399" t="s">
        <v>2351</v>
      </c>
      <c r="D15" s="399" t="s">
        <v>533</v>
      </c>
      <c r="E15" s="399" t="s">
        <v>890</v>
      </c>
      <c r="F15" s="399" t="s">
        <v>1239</v>
      </c>
      <c r="G15" s="399" t="s">
        <v>1239</v>
      </c>
      <c r="H15" s="399" t="s">
        <v>1239</v>
      </c>
      <c r="I15" s="399" t="s">
        <v>893</v>
      </c>
      <c r="J15" s="399" t="s">
        <v>2344</v>
      </c>
      <c r="K15" s="791">
        <v>44440</v>
      </c>
      <c r="L15" s="399">
        <v>1356</v>
      </c>
      <c r="M15" s="399">
        <v>1356</v>
      </c>
      <c r="N15" s="399">
        <v>72.861000000000004</v>
      </c>
      <c r="O15" s="399">
        <v>72.861000000000004</v>
      </c>
      <c r="P15" s="399">
        <v>72.861000000000004</v>
      </c>
      <c r="Q15" s="399">
        <v>72.861000000000004</v>
      </c>
      <c r="R15" s="399">
        <v>37.64</v>
      </c>
      <c r="S15" s="399">
        <v>78.42</v>
      </c>
      <c r="T15" s="399">
        <v>171.61</v>
      </c>
      <c r="U15" s="399">
        <v>51039.840000000004</v>
      </c>
      <c r="V15" s="399">
        <v>18217.435830000002</v>
      </c>
      <c r="W15" s="399">
        <v>69257.275830000013</v>
      </c>
      <c r="X15" s="399">
        <v>65103.199440000004</v>
      </c>
      <c r="Y15" s="399">
        <v>0</v>
      </c>
      <c r="Z15" s="399">
        <v>3832.3319782155113</v>
      </c>
      <c r="AA15" s="399">
        <v>0</v>
      </c>
      <c r="AB15" s="399">
        <v>0</v>
      </c>
      <c r="AC15" s="399">
        <v>0</v>
      </c>
      <c r="AD15" s="399">
        <v>22162.620285385678</v>
      </c>
      <c r="AE15" s="399">
        <v>28872.602108696083</v>
      </c>
      <c r="AF15" s="399">
        <v>12049.331604575751</v>
      </c>
      <c r="AG15" s="399">
        <v>454.31434248882817</v>
      </c>
      <c r="AH15" s="399">
        <v>0</v>
      </c>
      <c r="AI15" s="399">
        <v>0</v>
      </c>
      <c r="AJ15" s="399">
        <v>0</v>
      </c>
      <c r="AK15" s="399">
        <v>0</v>
      </c>
      <c r="AL15" s="399">
        <v>681.11269935290875</v>
      </c>
      <c r="AM15" s="399"/>
      <c r="AN15" s="399">
        <v>19.239710259331485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450.37488071514173</v>
      </c>
      <c r="BH15" s="399">
        <v>0</v>
      </c>
      <c r="BI15" s="399">
        <v>0</v>
      </c>
      <c r="BJ15" s="399">
        <v>0</v>
      </c>
      <c r="BK15" s="399">
        <v>0</v>
      </c>
      <c r="BL15" s="399">
        <v>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12499.706485290893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65102.934400000006</v>
      </c>
      <c r="CJ15" s="399">
        <v>-4154.371429999992</v>
      </c>
      <c r="CK15" s="399"/>
      <c r="CL15" s="399"/>
      <c r="CM15" s="399"/>
      <c r="CN15" s="399"/>
      <c r="CO15" s="399">
        <v>-5794.1774999999961</v>
      </c>
      <c r="CP15" s="399">
        <v>1640.1011099999994</v>
      </c>
      <c r="CQ15" s="399">
        <v>30</v>
      </c>
      <c r="CR15" s="399">
        <v>2091.9624810400637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998.04097027013995</v>
      </c>
      <c r="DA15" s="399">
        <v>0</v>
      </c>
      <c r="DB15" s="399">
        <v>0</v>
      </c>
      <c r="DC15" s="399">
        <v>1640.490672298145</v>
      </c>
      <c r="DD15" s="399">
        <v>0</v>
      </c>
      <c r="DE15" s="399">
        <v>0</v>
      </c>
      <c r="DF15" s="399">
        <v>0</v>
      </c>
      <c r="DG15" s="399">
        <v>61.317574708458267</v>
      </c>
      <c r="DH15" s="399">
        <v>0</v>
      </c>
      <c r="DI15" s="399">
        <v>-526.38134962421145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-78.493887159731798</v>
      </c>
      <c r="DP15" s="399">
        <v>-3.0114994527403525</v>
      </c>
      <c r="DQ15" s="399">
        <v>0</v>
      </c>
      <c r="DR15" s="399">
        <v>0</v>
      </c>
      <c r="DS15" s="399"/>
      <c r="DT15" s="399"/>
      <c r="DU15" s="399">
        <v>28872.602108696083</v>
      </c>
      <c r="DV15" s="399">
        <v>0</v>
      </c>
      <c r="DW15" s="399">
        <v>0</v>
      </c>
      <c r="DX15" s="399">
        <v>0</v>
      </c>
      <c r="DY15" s="399">
        <v>-5794.1775000000052</v>
      </c>
      <c r="DZ15" s="399">
        <v>1640.1011099999996</v>
      </c>
      <c r="EA15" s="399">
        <v>0</v>
      </c>
      <c r="EB15" s="399">
        <v>0</v>
      </c>
      <c r="EC15" s="399">
        <v>-6242.1007914182883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730.81237228079749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215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2351</v>
      </c>
      <c r="D16" s="399" t="s">
        <v>533</v>
      </c>
      <c r="E16" s="399" t="s">
        <v>890</v>
      </c>
      <c r="F16" s="399" t="s">
        <v>1239</v>
      </c>
      <c r="G16" s="399" t="s">
        <v>1239</v>
      </c>
      <c r="H16" s="399" t="s">
        <v>1239</v>
      </c>
      <c r="I16" s="399" t="s">
        <v>2326</v>
      </c>
      <c r="J16" s="399" t="s">
        <v>2344</v>
      </c>
      <c r="K16" s="791">
        <v>44440</v>
      </c>
      <c r="L16" s="399">
        <v>21775</v>
      </c>
      <c r="M16" s="399">
        <v>21775</v>
      </c>
      <c r="N16" s="399">
        <v>8304.3739999999998</v>
      </c>
      <c r="O16" s="399">
        <v>8304.3739999999998</v>
      </c>
      <c r="P16" s="399">
        <v>8304.3739999999998</v>
      </c>
      <c r="Q16" s="399">
        <v>8304.3739999999998</v>
      </c>
      <c r="R16" s="399">
        <v>12.58</v>
      </c>
      <c r="S16" s="399">
        <v>78.42</v>
      </c>
      <c r="T16" s="399">
        <v>171.61</v>
      </c>
      <c r="U16" s="399">
        <v>273929.5</v>
      </c>
      <c r="V16" s="399">
        <v>2076342.6312200001</v>
      </c>
      <c r="W16" s="399">
        <v>2350272.1312199999</v>
      </c>
      <c r="X16" s="399">
        <v>2453363.5349599998</v>
      </c>
      <c r="Y16" s="399">
        <v>0</v>
      </c>
      <c r="Z16" s="399">
        <v>436792.22134285088</v>
      </c>
      <c r="AA16" s="399">
        <v>0</v>
      </c>
      <c r="AB16" s="399">
        <v>0</v>
      </c>
      <c r="AC16" s="399">
        <v>0</v>
      </c>
      <c r="AD16" s="399">
        <v>144312.49342475284</v>
      </c>
      <c r="AE16" s="399">
        <v>129554.91402826378</v>
      </c>
      <c r="AF16" s="399">
        <v>1373329.4367963264</v>
      </c>
      <c r="AG16" s="399">
        <v>51780.736108361394</v>
      </c>
      <c r="AH16" s="399">
        <v>0</v>
      </c>
      <c r="AI16" s="399">
        <v>0</v>
      </c>
      <c r="AJ16" s="399">
        <v>0</v>
      </c>
      <c r="AK16" s="399">
        <v>0</v>
      </c>
      <c r="AL16" s="399">
        <v>77630.208089047796</v>
      </c>
      <c r="AM16" s="399"/>
      <c r="AN16" s="399">
        <v>2192.8569419185246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51331.733707524239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1424661.1705038506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2453362.4748000004</v>
      </c>
      <c r="CJ16" s="399">
        <v>103090.31358000031</v>
      </c>
      <c r="CK16" s="399"/>
      <c r="CL16" s="399"/>
      <c r="CM16" s="399"/>
      <c r="CN16" s="399"/>
      <c r="CO16" s="399">
        <v>-83840.055000000008</v>
      </c>
      <c r="CP16" s="399">
        <v>186931.45873999991</v>
      </c>
      <c r="CQ16" s="399">
        <v>30</v>
      </c>
      <c r="CR16" s="399">
        <v>131179.09805048443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6498.7704118505644</v>
      </c>
      <c r="DA16" s="399">
        <v>0</v>
      </c>
      <c r="DB16" s="399">
        <v>0</v>
      </c>
      <c r="DC16" s="399">
        <v>186975.85932495072</v>
      </c>
      <c r="DD16" s="399">
        <v>0</v>
      </c>
      <c r="DE16" s="399">
        <v>0</v>
      </c>
      <c r="DF16" s="399">
        <v>0</v>
      </c>
      <c r="DG16" s="399">
        <v>6988.7055235582666</v>
      </c>
      <c r="DH16" s="399">
        <v>0</v>
      </c>
      <c r="DI16" s="399">
        <v>-59994.614319103654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-8946.385524330035</v>
      </c>
      <c r="DP16" s="399">
        <v>-343.23736644228325</v>
      </c>
      <c r="DQ16" s="399">
        <v>0</v>
      </c>
      <c r="DR16" s="399">
        <v>0</v>
      </c>
      <c r="DS16" s="399"/>
      <c r="DT16" s="399"/>
      <c r="DU16" s="399">
        <v>129554.91402826378</v>
      </c>
      <c r="DV16" s="399">
        <v>0</v>
      </c>
      <c r="DW16" s="399">
        <v>0</v>
      </c>
      <c r="DX16" s="399">
        <v>0</v>
      </c>
      <c r="DY16" s="399">
        <v>-83840.054999999935</v>
      </c>
      <c r="DZ16" s="399">
        <v>186931.45873999991</v>
      </c>
      <c r="EA16" s="399">
        <v>0</v>
      </c>
      <c r="EB16" s="399">
        <v>0</v>
      </c>
      <c r="EC16" s="399">
        <v>-28009.073388795703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83294.756635881669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215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2346</v>
      </c>
      <c r="C17" s="399" t="s">
        <v>2351</v>
      </c>
      <c r="D17" s="399" t="s">
        <v>533</v>
      </c>
      <c r="E17" s="399" t="s">
        <v>890</v>
      </c>
      <c r="F17" s="399" t="s">
        <v>1239</v>
      </c>
      <c r="G17" s="399" t="s">
        <v>1239</v>
      </c>
      <c r="H17" s="399" t="s">
        <v>1239</v>
      </c>
      <c r="I17" s="399" t="s">
        <v>2326</v>
      </c>
      <c r="J17" s="399" t="s">
        <v>2344</v>
      </c>
      <c r="K17" s="791">
        <v>44440</v>
      </c>
      <c r="L17" s="399">
        <v>1372</v>
      </c>
      <c r="M17" s="399">
        <v>1372</v>
      </c>
      <c r="N17" s="399">
        <v>632.803</v>
      </c>
      <c r="O17" s="399">
        <v>632.803</v>
      </c>
      <c r="P17" s="399">
        <v>632.803</v>
      </c>
      <c r="Q17" s="399">
        <v>632.803</v>
      </c>
      <c r="R17" s="399">
        <v>12.58</v>
      </c>
      <c r="S17" s="399">
        <v>78.42</v>
      </c>
      <c r="T17" s="399">
        <v>171.61</v>
      </c>
      <c r="U17" s="399">
        <v>17259.759999999998</v>
      </c>
      <c r="V17" s="399">
        <v>158219.73409000001</v>
      </c>
      <c r="W17" s="399">
        <v>175479.49408999999</v>
      </c>
      <c r="X17" s="399">
        <v>183619.58711999998</v>
      </c>
      <c r="Y17" s="399">
        <v>0</v>
      </c>
      <c r="Z17" s="399">
        <v>33284.077528591566</v>
      </c>
      <c r="AA17" s="399">
        <v>0</v>
      </c>
      <c r="AB17" s="399">
        <v>0</v>
      </c>
      <c r="AC17" s="399">
        <v>0</v>
      </c>
      <c r="AD17" s="399">
        <v>9092.8468876583647</v>
      </c>
      <c r="AE17" s="399">
        <v>8163.0007828600646</v>
      </c>
      <c r="AF17" s="399">
        <v>104649.30741233785</v>
      </c>
      <c r="AG17" s="399">
        <v>3945.7525819019488</v>
      </c>
      <c r="AH17" s="399">
        <v>0</v>
      </c>
      <c r="AI17" s="399">
        <v>0</v>
      </c>
      <c r="AJ17" s="399">
        <v>0</v>
      </c>
      <c r="AK17" s="399">
        <v>0</v>
      </c>
      <c r="AL17" s="399">
        <v>5915.5125442777162</v>
      </c>
      <c r="AM17" s="399"/>
      <c r="AN17" s="399">
        <v>167.09826067767037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3911.5380744319154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108560.84548676976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183618.79200000002</v>
      </c>
      <c r="CJ17" s="399">
        <v>8139.267909999995</v>
      </c>
      <c r="CK17" s="399"/>
      <c r="CL17" s="399"/>
      <c r="CM17" s="399"/>
      <c r="CN17" s="399"/>
      <c r="CO17" s="399">
        <v>-6104.3024999999998</v>
      </c>
      <c r="CP17" s="399">
        <v>14244.395529999994</v>
      </c>
      <c r="CQ17" s="399">
        <v>30</v>
      </c>
      <c r="CR17" s="399">
        <v>9910.2613829480542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409.47476487067615</v>
      </c>
      <c r="DA17" s="399">
        <v>0</v>
      </c>
      <c r="DB17" s="399">
        <v>0</v>
      </c>
      <c r="DC17" s="399">
        <v>14247.778906442181</v>
      </c>
      <c r="DD17" s="399">
        <v>0</v>
      </c>
      <c r="DE17" s="399">
        <v>0</v>
      </c>
      <c r="DF17" s="399">
        <v>0</v>
      </c>
      <c r="DG17" s="399">
        <v>532.54752512642608</v>
      </c>
      <c r="DH17" s="399">
        <v>0</v>
      </c>
      <c r="DI17" s="399">
        <v>-4571.6596970429964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-681.72502815415282</v>
      </c>
      <c r="DP17" s="399">
        <v>-26.155088294045527</v>
      </c>
      <c r="DQ17" s="399">
        <v>0</v>
      </c>
      <c r="DR17" s="399">
        <v>0</v>
      </c>
      <c r="DS17" s="399"/>
      <c r="DT17" s="399"/>
      <c r="DU17" s="399">
        <v>8163.0007828600646</v>
      </c>
      <c r="DV17" s="399">
        <v>0</v>
      </c>
      <c r="DW17" s="399">
        <v>0</v>
      </c>
      <c r="DX17" s="399">
        <v>0</v>
      </c>
      <c r="DY17" s="399">
        <v>-6104.3025000000052</v>
      </c>
      <c r="DZ17" s="399">
        <v>14244.395529999994</v>
      </c>
      <c r="EA17" s="399">
        <v>0</v>
      </c>
      <c r="EB17" s="399">
        <v>0</v>
      </c>
      <c r="EC17" s="399">
        <v>-1764.7967251172304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6347.1577608927337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215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2351</v>
      </c>
      <c r="D18" s="399" t="s">
        <v>533</v>
      </c>
      <c r="E18" s="399" t="s">
        <v>890</v>
      </c>
      <c r="F18" s="399" t="s">
        <v>1239</v>
      </c>
      <c r="G18" s="399" t="s">
        <v>1239</v>
      </c>
      <c r="H18" s="399" t="s">
        <v>1239</v>
      </c>
      <c r="I18" s="399" t="s">
        <v>1239</v>
      </c>
      <c r="J18" s="399" t="s">
        <v>2344</v>
      </c>
      <c r="K18" s="791">
        <v>44440</v>
      </c>
      <c r="L18" s="399">
        <v>0</v>
      </c>
      <c r="M18" s="399">
        <v>0</v>
      </c>
      <c r="N18" s="399">
        <v>0</v>
      </c>
      <c r="O18" s="399">
        <v>0</v>
      </c>
      <c r="P18" s="399">
        <v>0</v>
      </c>
      <c r="Q18" s="399">
        <v>0</v>
      </c>
      <c r="R18" s="399"/>
      <c r="S18" s="399"/>
      <c r="T18" s="399"/>
      <c r="U18" s="399"/>
      <c r="V18" s="399"/>
      <c r="W18" s="399"/>
      <c r="X18" s="399"/>
      <c r="Y18" s="399"/>
      <c r="Z18" s="399"/>
      <c r="AA18" s="399">
        <v>0</v>
      </c>
      <c r="AB18" s="399"/>
      <c r="AC18" s="399"/>
      <c r="AD18" s="399"/>
      <c r="AE18" s="399"/>
      <c r="AF18" s="399"/>
      <c r="AG18" s="399"/>
      <c r="AH18" s="399"/>
      <c r="AI18" s="399"/>
      <c r="AJ18" s="399"/>
      <c r="AK18" s="399"/>
      <c r="AL18" s="399"/>
      <c r="AM18" s="399"/>
      <c r="AN18" s="399"/>
      <c r="AO18" s="399"/>
      <c r="AP18" s="399"/>
      <c r="AQ18" s="399"/>
      <c r="AR18" s="399"/>
      <c r="AS18" s="399"/>
      <c r="AT18" s="399"/>
      <c r="AU18" s="399"/>
      <c r="AV18" s="399"/>
      <c r="AW18" s="399"/>
      <c r="AX18" s="399"/>
      <c r="AY18" s="399"/>
      <c r="AZ18" s="399">
        <v>0</v>
      </c>
      <c r="BA18" s="399"/>
      <c r="BB18" s="399"/>
      <c r="BC18" s="399"/>
      <c r="BD18" s="399"/>
      <c r="BE18" s="399"/>
      <c r="BF18" s="399"/>
      <c r="BG18" s="399"/>
      <c r="BH18" s="399"/>
      <c r="BI18" s="399">
        <v>0</v>
      </c>
      <c r="BJ18" s="399">
        <v>0</v>
      </c>
      <c r="BK18" s="399">
        <v>1441415.57</v>
      </c>
      <c r="BL18" s="399">
        <v>22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/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/>
      <c r="CJ18" s="399">
        <v>-0.03</v>
      </c>
      <c r="CK18" s="399"/>
      <c r="CL18" s="399"/>
      <c r="CM18" s="399"/>
      <c r="CN18" s="399"/>
      <c r="CO18" s="399">
        <v>0</v>
      </c>
      <c r="CP18" s="399">
        <v>0</v>
      </c>
      <c r="CQ18" s="399">
        <v>30</v>
      </c>
      <c r="CR18" s="399"/>
      <c r="CS18" s="399"/>
      <c r="CT18" s="399"/>
      <c r="CU18" s="399"/>
      <c r="CV18" s="399"/>
      <c r="CW18" s="399"/>
      <c r="CX18" s="399"/>
      <c r="CY18" s="399"/>
      <c r="CZ18" s="399"/>
      <c r="DA18" s="399"/>
      <c r="DB18" s="399"/>
      <c r="DC18" s="399"/>
      <c r="DD18" s="399"/>
      <c r="DE18" s="399"/>
      <c r="DF18" s="399"/>
      <c r="DG18" s="399"/>
      <c r="DH18" s="399"/>
      <c r="DI18" s="399"/>
      <c r="DJ18" s="399"/>
      <c r="DK18" s="399">
        <v>0</v>
      </c>
      <c r="DL18" s="399"/>
      <c r="DM18" s="399"/>
      <c r="DN18" s="399"/>
      <c r="DO18" s="399"/>
      <c r="DP18" s="399"/>
      <c r="DQ18" s="399"/>
      <c r="DR18" s="399"/>
      <c r="DS18" s="399"/>
      <c r="DT18" s="399"/>
      <c r="DU18" s="399"/>
      <c r="DV18" s="399"/>
      <c r="DW18" s="399"/>
      <c r="DX18" s="399"/>
      <c r="DY18" s="399"/>
      <c r="DZ18" s="399"/>
      <c r="EA18" s="399"/>
      <c r="EB18" s="399"/>
      <c r="EC18" s="399"/>
      <c r="ED18" s="399"/>
      <c r="EE18" s="399"/>
      <c r="EF18" s="399"/>
      <c r="EG18" s="399"/>
      <c r="EH18" s="399"/>
      <c r="EI18" s="399"/>
      <c r="EJ18" s="399"/>
      <c r="EK18" s="399"/>
      <c r="EL18" s="399"/>
      <c r="EM18" s="399"/>
      <c r="EN18" s="399"/>
      <c r="EO18" s="399"/>
      <c r="EP18" s="399"/>
      <c r="EQ18" s="399"/>
      <c r="ER18" s="399"/>
      <c r="ES18" s="399"/>
      <c r="ET18" s="399"/>
      <c r="EU18" s="399"/>
      <c r="EV18" s="399">
        <v>215</v>
      </c>
      <c r="EW18" s="399"/>
      <c r="EX18" s="399"/>
      <c r="EY18" s="399"/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2346</v>
      </c>
      <c r="C19" s="399" t="s">
        <v>2351</v>
      </c>
      <c r="D19" s="399" t="s">
        <v>533</v>
      </c>
      <c r="E19" s="399" t="s">
        <v>890</v>
      </c>
      <c r="F19" s="399" t="s">
        <v>1239</v>
      </c>
      <c r="G19" s="399" t="s">
        <v>1239</v>
      </c>
      <c r="H19" s="399" t="s">
        <v>1239</v>
      </c>
      <c r="I19" s="399" t="s">
        <v>1239</v>
      </c>
      <c r="J19" s="399" t="s">
        <v>2344</v>
      </c>
      <c r="K19" s="791">
        <v>44440</v>
      </c>
      <c r="L19" s="399">
        <v>0</v>
      </c>
      <c r="M19" s="399">
        <v>0</v>
      </c>
      <c r="N19" s="399">
        <v>0</v>
      </c>
      <c r="O19" s="399">
        <v>0</v>
      </c>
      <c r="P19" s="399">
        <v>0</v>
      </c>
      <c r="Q19" s="399">
        <v>0</v>
      </c>
      <c r="R19" s="399"/>
      <c r="S19" s="399"/>
      <c r="T19" s="399"/>
      <c r="U19" s="399"/>
      <c r="V19" s="399"/>
      <c r="W19" s="399"/>
      <c r="X19" s="399"/>
      <c r="Y19" s="399"/>
      <c r="Z19" s="399"/>
      <c r="AA19" s="399">
        <v>0</v>
      </c>
      <c r="AB19" s="399"/>
      <c r="AC19" s="399"/>
      <c r="AD19" s="399"/>
      <c r="AE19" s="399"/>
      <c r="AF19" s="399"/>
      <c r="AG19" s="399"/>
      <c r="AH19" s="399"/>
      <c r="AI19" s="399"/>
      <c r="AJ19" s="399"/>
      <c r="AK19" s="399"/>
      <c r="AL19" s="399"/>
      <c r="AM19" s="399"/>
      <c r="AN19" s="399"/>
      <c r="AO19" s="399"/>
      <c r="AP19" s="399"/>
      <c r="AQ19" s="399"/>
      <c r="AR19" s="399"/>
      <c r="AS19" s="399"/>
      <c r="AT19" s="399"/>
      <c r="AU19" s="399"/>
      <c r="AV19" s="399"/>
      <c r="AW19" s="399"/>
      <c r="AX19" s="399"/>
      <c r="AY19" s="399"/>
      <c r="AZ19" s="399">
        <v>0</v>
      </c>
      <c r="BA19" s="399"/>
      <c r="BB19" s="399"/>
      <c r="BC19" s="399"/>
      <c r="BD19" s="399"/>
      <c r="BE19" s="399"/>
      <c r="BF19" s="399"/>
      <c r="BG19" s="399"/>
      <c r="BH19" s="399"/>
      <c r="BI19" s="399">
        <v>0</v>
      </c>
      <c r="BJ19" s="399">
        <v>0</v>
      </c>
      <c r="BK19" s="399">
        <v>110994.45</v>
      </c>
      <c r="BL19" s="399">
        <v>2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/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/>
      <c r="CJ19" s="399">
        <v>-0.03</v>
      </c>
      <c r="CK19" s="399"/>
      <c r="CL19" s="399"/>
      <c r="CM19" s="399"/>
      <c r="CN19" s="399"/>
      <c r="CO19" s="399">
        <v>0</v>
      </c>
      <c r="CP19" s="399">
        <v>0</v>
      </c>
      <c r="CQ19" s="399">
        <v>30</v>
      </c>
      <c r="CR19" s="399"/>
      <c r="CS19" s="399"/>
      <c r="CT19" s="399"/>
      <c r="CU19" s="399"/>
      <c r="CV19" s="399"/>
      <c r="CW19" s="399"/>
      <c r="CX19" s="399"/>
      <c r="CY19" s="399"/>
      <c r="CZ19" s="399"/>
      <c r="DA19" s="399"/>
      <c r="DB19" s="399"/>
      <c r="DC19" s="399"/>
      <c r="DD19" s="399"/>
      <c r="DE19" s="399"/>
      <c r="DF19" s="399"/>
      <c r="DG19" s="399"/>
      <c r="DH19" s="399"/>
      <c r="DI19" s="399"/>
      <c r="DJ19" s="399"/>
      <c r="DK19" s="399">
        <v>0</v>
      </c>
      <c r="DL19" s="399"/>
      <c r="DM19" s="399"/>
      <c r="DN19" s="399"/>
      <c r="DO19" s="399"/>
      <c r="DP19" s="399"/>
      <c r="DQ19" s="399"/>
      <c r="DR19" s="399"/>
      <c r="DS19" s="399"/>
      <c r="DT19" s="399"/>
      <c r="DU19" s="399"/>
      <c r="DV19" s="399"/>
      <c r="DW19" s="399"/>
      <c r="DX19" s="399"/>
      <c r="DY19" s="399"/>
      <c r="DZ19" s="399"/>
      <c r="EA19" s="399"/>
      <c r="EB19" s="399"/>
      <c r="EC19" s="399"/>
      <c r="ED19" s="399"/>
      <c r="EE19" s="399"/>
      <c r="EF19" s="399"/>
      <c r="EG19" s="399"/>
      <c r="EH19" s="399"/>
      <c r="EI19" s="399"/>
      <c r="EJ19" s="399"/>
      <c r="EK19" s="399"/>
      <c r="EL19" s="399"/>
      <c r="EM19" s="399"/>
      <c r="EN19" s="399"/>
      <c r="EO19" s="399"/>
      <c r="EP19" s="399"/>
      <c r="EQ19" s="399"/>
      <c r="ER19" s="399"/>
      <c r="ES19" s="399"/>
      <c r="ET19" s="399"/>
      <c r="EU19" s="399"/>
      <c r="EV19" s="399">
        <v>215</v>
      </c>
      <c r="EW19" s="399"/>
      <c r="EX19" s="399"/>
      <c r="EY19" s="399"/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2352</v>
      </c>
      <c r="D20" s="399" t="s">
        <v>533</v>
      </c>
      <c r="E20" s="399" t="s">
        <v>890</v>
      </c>
      <c r="F20" s="399" t="s">
        <v>1239</v>
      </c>
      <c r="G20" s="399" t="s">
        <v>1239</v>
      </c>
      <c r="H20" s="399" t="s">
        <v>1239</v>
      </c>
      <c r="I20" s="399" t="s">
        <v>893</v>
      </c>
      <c r="J20" s="399" t="s">
        <v>2344</v>
      </c>
      <c r="K20" s="791">
        <v>44440</v>
      </c>
      <c r="L20" s="399">
        <v>0</v>
      </c>
      <c r="M20" s="399">
        <v>0</v>
      </c>
      <c r="N20" s="399">
        <v>163.99</v>
      </c>
      <c r="O20" s="399">
        <v>163.99</v>
      </c>
      <c r="P20" s="399">
        <v>163.99</v>
      </c>
      <c r="Q20" s="399">
        <v>163.99</v>
      </c>
      <c r="R20" s="399"/>
      <c r="S20" s="399">
        <v>984.21</v>
      </c>
      <c r="T20" s="399">
        <v>171.61</v>
      </c>
      <c r="U20" s="399"/>
      <c r="V20" s="399">
        <v>189542.92180000001</v>
      </c>
      <c r="W20" s="399">
        <v>189542.92180000001</v>
      </c>
      <c r="X20" s="399">
        <v>176756.62150000001</v>
      </c>
      <c r="Y20" s="399">
        <v>0</v>
      </c>
      <c r="Z20" s="399">
        <v>8625.5214875936599</v>
      </c>
      <c r="AA20" s="399">
        <v>0</v>
      </c>
      <c r="AB20" s="399">
        <v>0</v>
      </c>
      <c r="AC20" s="399">
        <v>0</v>
      </c>
      <c r="AD20" s="399">
        <v>64564.284038920916</v>
      </c>
      <c r="AE20" s="399">
        <v>83976.346991316386</v>
      </c>
      <c r="AF20" s="399">
        <v>27119.719600806704</v>
      </c>
      <c r="AG20" s="399">
        <v>1022.5361856787983</v>
      </c>
      <c r="AH20" s="399">
        <v>0</v>
      </c>
      <c r="AI20" s="399">
        <v>0</v>
      </c>
      <c r="AJ20" s="399">
        <v>0</v>
      </c>
      <c r="AK20" s="399">
        <v>0</v>
      </c>
      <c r="AL20" s="399">
        <v>1532.9966863875529</v>
      </c>
      <c r="AM20" s="399"/>
      <c r="AN20" s="399">
        <v>43.303277273545106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1013.6695445914287</v>
      </c>
      <c r="BH20" s="399">
        <v>0</v>
      </c>
      <c r="BI20" s="399">
        <v>0</v>
      </c>
      <c r="BJ20" s="399">
        <v>0</v>
      </c>
      <c r="BK20" s="399">
        <v>0</v>
      </c>
      <c r="BL20" s="399">
        <v>0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28133.389145398134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176756.62150000001</v>
      </c>
      <c r="CJ20" s="399">
        <v>-12786.330300000031</v>
      </c>
      <c r="CK20" s="399"/>
      <c r="CL20" s="399"/>
      <c r="CM20" s="399"/>
      <c r="CN20" s="399"/>
      <c r="CO20" s="399">
        <v>-16477.715200000002</v>
      </c>
      <c r="CP20" s="399">
        <v>3691.4148999999989</v>
      </c>
      <c r="CQ20" s="399">
        <v>30</v>
      </c>
      <c r="CR20" s="399">
        <v>5369.6145751000731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2907.4991971727868</v>
      </c>
      <c r="DA20" s="399">
        <v>0</v>
      </c>
      <c r="DB20" s="399">
        <v>0</v>
      </c>
      <c r="DC20" s="399">
        <v>3692.2916972066414</v>
      </c>
      <c r="DD20" s="399">
        <v>0</v>
      </c>
      <c r="DE20" s="399">
        <v>0</v>
      </c>
      <c r="DF20" s="399">
        <v>0</v>
      </c>
      <c r="DG20" s="399">
        <v>138.00893587021972</v>
      </c>
      <c r="DH20" s="399">
        <v>0</v>
      </c>
      <c r="DI20" s="399">
        <v>-1184.7391268974397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-176.66807421424915</v>
      </c>
      <c r="DP20" s="399">
        <v>-6.7780540378925593</v>
      </c>
      <c r="DQ20" s="399">
        <v>0</v>
      </c>
      <c r="DR20" s="399">
        <v>0</v>
      </c>
      <c r="DS20" s="399"/>
      <c r="DT20" s="399"/>
      <c r="DU20" s="399"/>
      <c r="DV20" s="399">
        <v>83976.346991316386</v>
      </c>
      <c r="DW20" s="399">
        <v>0</v>
      </c>
      <c r="DX20" s="399">
        <v>0</v>
      </c>
      <c r="DY20" s="399">
        <v>-16477.715200000006</v>
      </c>
      <c r="DZ20" s="399">
        <v>3691.4148999999998</v>
      </c>
      <c r="EA20" s="399">
        <v>0</v>
      </c>
      <c r="EB20" s="399">
        <v>0</v>
      </c>
      <c r="EC20" s="399">
        <v>-18155.233118286938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1644.8569321080959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215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2346</v>
      </c>
      <c r="C21" s="399" t="s">
        <v>2352</v>
      </c>
      <c r="D21" s="399" t="s">
        <v>533</v>
      </c>
      <c r="E21" s="399" t="s">
        <v>890</v>
      </c>
      <c r="F21" s="399" t="s">
        <v>1239</v>
      </c>
      <c r="G21" s="399" t="s">
        <v>1239</v>
      </c>
      <c r="H21" s="399" t="s">
        <v>1239</v>
      </c>
      <c r="I21" s="399" t="s">
        <v>893</v>
      </c>
      <c r="J21" s="399" t="s">
        <v>2344</v>
      </c>
      <c r="K21" s="791">
        <v>44440</v>
      </c>
      <c r="L21" s="399">
        <v>0</v>
      </c>
      <c r="M21" s="399">
        <v>0</v>
      </c>
      <c r="N21" s="399">
        <v>1.3180000000000001</v>
      </c>
      <c r="O21" s="399">
        <v>1.3180000000000001</v>
      </c>
      <c r="P21" s="399">
        <v>1.3180000000000001</v>
      </c>
      <c r="Q21" s="399">
        <v>1.3180000000000001</v>
      </c>
      <c r="R21" s="399"/>
      <c r="S21" s="399">
        <v>984.21</v>
      </c>
      <c r="T21" s="399">
        <v>171.61</v>
      </c>
      <c r="U21" s="399"/>
      <c r="V21" s="399">
        <v>1523.3707600000002</v>
      </c>
      <c r="W21" s="399">
        <v>1523.3707600000002</v>
      </c>
      <c r="X21" s="399">
        <v>1420.6063000000001</v>
      </c>
      <c r="Y21" s="399">
        <v>0</v>
      </c>
      <c r="Z21" s="399">
        <v>69.323966831199741</v>
      </c>
      <c r="AA21" s="399">
        <v>0</v>
      </c>
      <c r="AB21" s="399">
        <v>0</v>
      </c>
      <c r="AC21" s="399">
        <v>0</v>
      </c>
      <c r="AD21" s="399">
        <v>518.9080209969984</v>
      </c>
      <c r="AE21" s="399">
        <v>674.92423522504419</v>
      </c>
      <c r="AF21" s="399">
        <v>217.96323211088017</v>
      </c>
      <c r="AG21" s="399">
        <v>8.2182004556659329</v>
      </c>
      <c r="AH21" s="399">
        <v>0</v>
      </c>
      <c r="AI21" s="399">
        <v>0</v>
      </c>
      <c r="AJ21" s="399">
        <v>0</v>
      </c>
      <c r="AK21" s="399">
        <v>0</v>
      </c>
      <c r="AL21" s="399">
        <v>12.320810004627081</v>
      </c>
      <c r="AM21" s="399"/>
      <c r="AN21" s="399">
        <v>0.34803170587555615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8.1469385924233375</v>
      </c>
      <c r="BH21" s="399">
        <v>0</v>
      </c>
      <c r="BI21" s="399">
        <v>0</v>
      </c>
      <c r="BJ21" s="399">
        <v>0</v>
      </c>
      <c r="BK21" s="399">
        <v>0</v>
      </c>
      <c r="BL21" s="399">
        <v>0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226.11017070330351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1422.7619999999999</v>
      </c>
      <c r="CJ21" s="399">
        <v>-100.63876000000027</v>
      </c>
      <c r="CK21" s="399"/>
      <c r="CL21" s="399"/>
      <c r="CM21" s="399"/>
      <c r="CN21" s="399"/>
      <c r="CO21" s="399">
        <v>-132.43264000000002</v>
      </c>
      <c r="CP21" s="399">
        <v>29.668179999999989</v>
      </c>
      <c r="CQ21" s="399">
        <v>30</v>
      </c>
      <c r="CR21" s="399">
        <v>43.155997377778363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23.367790364496159</v>
      </c>
      <c r="DA21" s="399">
        <v>0</v>
      </c>
      <c r="DB21" s="399">
        <v>0</v>
      </c>
      <c r="DC21" s="399">
        <v>29.675226885287799</v>
      </c>
      <c r="DD21" s="399">
        <v>0</v>
      </c>
      <c r="DE21" s="399">
        <v>0</v>
      </c>
      <c r="DF21" s="399">
        <v>0</v>
      </c>
      <c r="DG21" s="399">
        <v>1.1091882278001677</v>
      </c>
      <c r="DH21" s="399">
        <v>0</v>
      </c>
      <c r="DI21" s="399">
        <v>-9.5218377294397669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-1.4198946387851734</v>
      </c>
      <c r="DP21" s="399">
        <v>-5.4475731580842734E-2</v>
      </c>
      <c r="DQ21" s="399">
        <v>0</v>
      </c>
      <c r="DR21" s="399">
        <v>0</v>
      </c>
      <c r="DS21" s="399"/>
      <c r="DT21" s="399"/>
      <c r="DU21" s="399"/>
      <c r="DV21" s="399">
        <v>674.92423522504419</v>
      </c>
      <c r="DW21" s="399">
        <v>0</v>
      </c>
      <c r="DX21" s="399">
        <v>0</v>
      </c>
      <c r="DY21" s="399">
        <v>-132.43263999999999</v>
      </c>
      <c r="DZ21" s="399">
        <v>29.668179999999978</v>
      </c>
      <c r="EA21" s="399">
        <v>0</v>
      </c>
      <c r="EB21" s="399">
        <v>0</v>
      </c>
      <c r="EC21" s="399">
        <v>-145.91497804684536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13.219839237261239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215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2352</v>
      </c>
      <c r="D22" s="399" t="s">
        <v>533</v>
      </c>
      <c r="E22" s="399" t="s">
        <v>890</v>
      </c>
      <c r="F22" s="399" t="s">
        <v>1239</v>
      </c>
      <c r="G22" s="399" t="s">
        <v>1239</v>
      </c>
      <c r="H22" s="399" t="s">
        <v>1239</v>
      </c>
      <c r="I22" s="399" t="s">
        <v>2326</v>
      </c>
      <c r="J22" s="399" t="s">
        <v>2344</v>
      </c>
      <c r="K22" s="791">
        <v>44440</v>
      </c>
      <c r="L22" s="399">
        <v>0</v>
      </c>
      <c r="M22" s="399">
        <v>0</v>
      </c>
      <c r="N22" s="399">
        <v>1962.8109999999999</v>
      </c>
      <c r="O22" s="399">
        <v>1962.8109999999999</v>
      </c>
      <c r="P22" s="399">
        <v>1962.8109999999999</v>
      </c>
      <c r="Q22" s="399">
        <v>1962.8109999999999</v>
      </c>
      <c r="R22" s="399"/>
      <c r="S22" s="399">
        <v>78.42</v>
      </c>
      <c r="T22" s="399">
        <v>171.61</v>
      </c>
      <c r="U22" s="399"/>
      <c r="V22" s="399">
        <v>490761.63432999997</v>
      </c>
      <c r="W22" s="399">
        <v>490761.63432999997</v>
      </c>
      <c r="X22" s="399">
        <v>520223.42744</v>
      </c>
      <c r="Y22" s="399">
        <v>0</v>
      </c>
      <c r="Z22" s="399">
        <v>103239.63934743093</v>
      </c>
      <c r="AA22" s="399">
        <v>0</v>
      </c>
      <c r="AB22" s="399">
        <v>0</v>
      </c>
      <c r="AC22" s="399">
        <v>0</v>
      </c>
      <c r="AD22" s="399">
        <v>0</v>
      </c>
      <c r="AE22" s="399">
        <v>0</v>
      </c>
      <c r="AF22" s="399">
        <v>324598.35324946034</v>
      </c>
      <c r="AG22" s="399">
        <v>12238.827203783083</v>
      </c>
      <c r="AH22" s="399">
        <v>0</v>
      </c>
      <c r="AI22" s="399">
        <v>0</v>
      </c>
      <c r="AJ22" s="399">
        <v>0</v>
      </c>
      <c r="AK22" s="399">
        <v>0</v>
      </c>
      <c r="AL22" s="399">
        <v>18348.57466311994</v>
      </c>
      <c r="AM22" s="399"/>
      <c r="AN22" s="399">
        <v>518.30080473543717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12132.701582346768</v>
      </c>
      <c r="BH22" s="399">
        <v>0</v>
      </c>
      <c r="BI22" s="399">
        <v>0</v>
      </c>
      <c r="BJ22" s="399">
        <v>0</v>
      </c>
      <c r="BK22" s="399">
        <v>0</v>
      </c>
      <c r="BL22" s="399">
        <v>0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336731.05483180709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520223.16239999997</v>
      </c>
      <c r="CJ22" s="399">
        <v>29461.498069999972</v>
      </c>
      <c r="CK22" s="399"/>
      <c r="CL22" s="399"/>
      <c r="CM22" s="399"/>
      <c r="CN22" s="399"/>
      <c r="CO22" s="399">
        <v>-14721.082499999999</v>
      </c>
      <c r="CP22" s="399">
        <v>44182.875609999981</v>
      </c>
      <c r="CQ22" s="399">
        <v>30</v>
      </c>
      <c r="CR22" s="399">
        <v>29469.279511341068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0</v>
      </c>
      <c r="DA22" s="399">
        <v>0</v>
      </c>
      <c r="DB22" s="399">
        <v>0</v>
      </c>
      <c r="DC22" s="399">
        <v>44193.370074308594</v>
      </c>
      <c r="DD22" s="399">
        <v>0</v>
      </c>
      <c r="DE22" s="399">
        <v>0</v>
      </c>
      <c r="DF22" s="399">
        <v>0</v>
      </c>
      <c r="DG22" s="399">
        <v>1651.8413160824548</v>
      </c>
      <c r="DH22" s="399">
        <v>0</v>
      </c>
      <c r="DI22" s="399">
        <v>-14180.248737146729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-2114.5560059549043</v>
      </c>
      <c r="DP22" s="399">
        <v>-81.127135948350144</v>
      </c>
      <c r="DQ22" s="399">
        <v>0</v>
      </c>
      <c r="DR22" s="399">
        <v>0</v>
      </c>
      <c r="DS22" s="399"/>
      <c r="DT22" s="399"/>
      <c r="DU22" s="399"/>
      <c r="DV22" s="399">
        <v>0</v>
      </c>
      <c r="DW22" s="399">
        <v>0</v>
      </c>
      <c r="DX22" s="399">
        <v>0</v>
      </c>
      <c r="DY22" s="399">
        <v>-14721.08249999999</v>
      </c>
      <c r="DZ22" s="399">
        <v>44182.875609999988</v>
      </c>
      <c r="EA22" s="399">
        <v>0</v>
      </c>
      <c r="EB22" s="399">
        <v>0</v>
      </c>
      <c r="EC22" s="399">
        <v>0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19687.439964436999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215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2346</v>
      </c>
      <c r="C23" s="399" t="s">
        <v>2352</v>
      </c>
      <c r="D23" s="399" t="s">
        <v>533</v>
      </c>
      <c r="E23" s="399" t="s">
        <v>890</v>
      </c>
      <c r="F23" s="399" t="s">
        <v>1239</v>
      </c>
      <c r="G23" s="399" t="s">
        <v>1239</v>
      </c>
      <c r="H23" s="399" t="s">
        <v>1239</v>
      </c>
      <c r="I23" s="399" t="s">
        <v>2326</v>
      </c>
      <c r="J23" s="399" t="s">
        <v>2344</v>
      </c>
      <c r="K23" s="791">
        <v>44440</v>
      </c>
      <c r="L23" s="399">
        <v>0</v>
      </c>
      <c r="M23" s="399">
        <v>0</v>
      </c>
      <c r="N23" s="399">
        <v>35.271000000000001</v>
      </c>
      <c r="O23" s="399">
        <v>35.271000000000001</v>
      </c>
      <c r="P23" s="399">
        <v>35.271000000000001</v>
      </c>
      <c r="Q23" s="399">
        <v>35.271000000000001</v>
      </c>
      <c r="R23" s="399"/>
      <c r="S23" s="399">
        <v>78.42</v>
      </c>
      <c r="T23" s="399">
        <v>171.61</v>
      </c>
      <c r="U23" s="399"/>
      <c r="V23" s="399">
        <v>8818.8081300000013</v>
      </c>
      <c r="W23" s="399">
        <v>8818.8081300000013</v>
      </c>
      <c r="X23" s="399">
        <v>9348.2258399999992</v>
      </c>
      <c r="Y23" s="399">
        <v>0</v>
      </c>
      <c r="Z23" s="399">
        <v>1855.1787815654368</v>
      </c>
      <c r="AA23" s="399">
        <v>0</v>
      </c>
      <c r="AB23" s="399">
        <v>0</v>
      </c>
      <c r="AC23" s="399">
        <v>0</v>
      </c>
      <c r="AD23" s="399">
        <v>0</v>
      </c>
      <c r="AE23" s="399">
        <v>0</v>
      </c>
      <c r="AF23" s="399">
        <v>5832.9143852677189</v>
      </c>
      <c r="AG23" s="399">
        <v>219.92727486478992</v>
      </c>
      <c r="AH23" s="399">
        <v>0</v>
      </c>
      <c r="AI23" s="399">
        <v>0</v>
      </c>
      <c r="AJ23" s="399">
        <v>0</v>
      </c>
      <c r="AK23" s="399">
        <v>0</v>
      </c>
      <c r="AL23" s="399">
        <v>329.71721523004686</v>
      </c>
      <c r="AM23" s="399"/>
      <c r="AN23" s="399">
        <v>9.3136770090567076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218.02023603441845</v>
      </c>
      <c r="BH23" s="399">
        <v>0</v>
      </c>
      <c r="BI23" s="399">
        <v>0</v>
      </c>
      <c r="BJ23" s="399">
        <v>0</v>
      </c>
      <c r="BK23" s="399">
        <v>0</v>
      </c>
      <c r="BL23" s="399">
        <v>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6050.9346213021372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9347.9608000000007</v>
      </c>
      <c r="CJ23" s="399">
        <v>529.12266999999883</v>
      </c>
      <c r="CK23" s="399"/>
      <c r="CL23" s="399"/>
      <c r="CM23" s="399"/>
      <c r="CN23" s="399"/>
      <c r="CO23" s="399">
        <v>-264.53250000000003</v>
      </c>
      <c r="CP23" s="399">
        <v>793.95020999999974</v>
      </c>
      <c r="CQ23" s="399">
        <v>30</v>
      </c>
      <c r="CR23" s="399">
        <v>529.55223791007302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0</v>
      </c>
      <c r="DA23" s="399">
        <v>0</v>
      </c>
      <c r="DB23" s="399">
        <v>0</v>
      </c>
      <c r="DC23" s="399">
        <v>794.13879170788096</v>
      </c>
      <c r="DD23" s="399">
        <v>0</v>
      </c>
      <c r="DE23" s="399">
        <v>0</v>
      </c>
      <c r="DF23" s="399">
        <v>0</v>
      </c>
      <c r="DG23" s="399">
        <v>29.682987847298733</v>
      </c>
      <c r="DH23" s="399">
        <v>0</v>
      </c>
      <c r="DI23" s="399">
        <v>-254.81391392645673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-37.997802583150133</v>
      </c>
      <c r="DP23" s="399">
        <v>-1.457825135499168</v>
      </c>
      <c r="DQ23" s="399">
        <v>0</v>
      </c>
      <c r="DR23" s="399">
        <v>0</v>
      </c>
      <c r="DS23" s="399"/>
      <c r="DT23" s="399"/>
      <c r="DU23" s="399"/>
      <c r="DV23" s="399">
        <v>0</v>
      </c>
      <c r="DW23" s="399">
        <v>0</v>
      </c>
      <c r="DX23" s="399">
        <v>0</v>
      </c>
      <c r="DY23" s="399">
        <v>-264.53250000000025</v>
      </c>
      <c r="DZ23" s="399">
        <v>793.95020999999906</v>
      </c>
      <c r="EA23" s="399">
        <v>0</v>
      </c>
      <c r="EB23" s="399">
        <v>0</v>
      </c>
      <c r="EC23" s="399">
        <v>0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353.77613788880205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215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956</v>
      </c>
      <c r="C24" s="399" t="s">
        <v>2352</v>
      </c>
      <c r="D24" s="399" t="s">
        <v>533</v>
      </c>
      <c r="E24" s="399" t="s">
        <v>890</v>
      </c>
      <c r="F24" s="399" t="s">
        <v>1239</v>
      </c>
      <c r="G24" s="399" t="s">
        <v>1239</v>
      </c>
      <c r="H24" s="399" t="s">
        <v>1239</v>
      </c>
      <c r="I24" s="399" t="s">
        <v>1239</v>
      </c>
      <c r="J24" s="399" t="s">
        <v>2344</v>
      </c>
      <c r="K24" s="791">
        <v>44440</v>
      </c>
      <c r="L24" s="399">
        <v>9593</v>
      </c>
      <c r="M24" s="399">
        <v>9593</v>
      </c>
      <c r="N24" s="399">
        <v>0</v>
      </c>
      <c r="O24" s="399">
        <v>0</v>
      </c>
      <c r="P24" s="399">
        <v>0</v>
      </c>
      <c r="Q24" s="399">
        <v>0</v>
      </c>
      <c r="R24" s="399">
        <v>12.58</v>
      </c>
      <c r="S24" s="399"/>
      <c r="T24" s="399"/>
      <c r="U24" s="399">
        <v>120679.94</v>
      </c>
      <c r="V24" s="399"/>
      <c r="W24" s="399">
        <v>120679.94</v>
      </c>
      <c r="X24" s="399">
        <v>111182.87</v>
      </c>
      <c r="Y24" s="399">
        <v>0</v>
      </c>
      <c r="Z24" s="399">
        <v>0</v>
      </c>
      <c r="AA24" s="399">
        <v>0</v>
      </c>
      <c r="AB24" s="399">
        <v>0</v>
      </c>
      <c r="AC24" s="399">
        <v>0</v>
      </c>
      <c r="AD24" s="399">
        <v>63577.026379961149</v>
      </c>
      <c r="AE24" s="399">
        <v>57075.558680740956</v>
      </c>
      <c r="AF24" s="399"/>
      <c r="AG24" s="399"/>
      <c r="AH24" s="399"/>
      <c r="AI24" s="399">
        <v>0</v>
      </c>
      <c r="AJ24" s="399">
        <v>0</v>
      </c>
      <c r="AK24" s="399">
        <v>0</v>
      </c>
      <c r="AL24" s="399">
        <v>0</v>
      </c>
      <c r="AM24" s="399"/>
      <c r="AN24" s="399">
        <v>0</v>
      </c>
      <c r="AO24" s="399">
        <v>0</v>
      </c>
      <c r="AP24" s="399">
        <v>0</v>
      </c>
      <c r="AQ24" s="399">
        <v>0</v>
      </c>
      <c r="AR24" s="399">
        <v>0</v>
      </c>
      <c r="AS24" s="399"/>
      <c r="AT24" s="399"/>
      <c r="AU24" s="399">
        <v>0</v>
      </c>
      <c r="AV24" s="399">
        <v>0</v>
      </c>
      <c r="AW24" s="399">
        <v>0</v>
      </c>
      <c r="AX24" s="399"/>
      <c r="AY24" s="399"/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/>
      <c r="BG24" s="399">
        <v>0</v>
      </c>
      <c r="BH24" s="399">
        <v>0</v>
      </c>
      <c r="BI24" s="399">
        <v>0</v>
      </c>
      <c r="BJ24" s="399">
        <v>0</v>
      </c>
      <c r="BK24" s="399">
        <v>344410.69</v>
      </c>
      <c r="BL24" s="399">
        <v>49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0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111182.87</v>
      </c>
      <c r="CJ24" s="399">
        <v>-9497.0999999999913</v>
      </c>
      <c r="CK24" s="399"/>
      <c r="CL24" s="399"/>
      <c r="CM24" s="399"/>
      <c r="CN24" s="399"/>
      <c r="CO24" s="399">
        <v>-9497.0700000000015</v>
      </c>
      <c r="CP24" s="399">
        <v>0</v>
      </c>
      <c r="CQ24" s="399">
        <v>30</v>
      </c>
      <c r="CR24" s="399">
        <v>2863.0403931518886</v>
      </c>
      <c r="CS24" s="399">
        <v>0</v>
      </c>
      <c r="CT24" s="399">
        <v>0</v>
      </c>
      <c r="CU24" s="399">
        <v>0</v>
      </c>
      <c r="CV24" s="399">
        <v>0</v>
      </c>
      <c r="CW24" s="399"/>
      <c r="CX24" s="399"/>
      <c r="CY24" s="399"/>
      <c r="CZ24" s="399">
        <v>2863.0403931518886</v>
      </c>
      <c r="DA24" s="399">
        <v>0</v>
      </c>
      <c r="DB24" s="399">
        <v>0</v>
      </c>
      <c r="DC24" s="399"/>
      <c r="DD24" s="399"/>
      <c r="DE24" s="399">
        <v>0</v>
      </c>
      <c r="DF24" s="399">
        <v>0</v>
      </c>
      <c r="DG24" s="399">
        <v>0</v>
      </c>
      <c r="DH24" s="399">
        <v>0</v>
      </c>
      <c r="DI24" s="399">
        <v>0</v>
      </c>
      <c r="DJ24" s="399"/>
      <c r="DK24" s="399">
        <v>0</v>
      </c>
      <c r="DL24" s="399">
        <v>0</v>
      </c>
      <c r="DM24" s="399"/>
      <c r="DN24" s="399">
        <v>0</v>
      </c>
      <c r="DO24" s="399">
        <v>0</v>
      </c>
      <c r="DP24" s="399">
        <v>0</v>
      </c>
      <c r="DQ24" s="399">
        <v>0</v>
      </c>
      <c r="DR24" s="399">
        <v>0</v>
      </c>
      <c r="DS24" s="399"/>
      <c r="DT24" s="399"/>
      <c r="DU24" s="399">
        <v>57075.558680740956</v>
      </c>
      <c r="DV24" s="399"/>
      <c r="DW24" s="399">
        <v>0</v>
      </c>
      <c r="DX24" s="399">
        <v>0</v>
      </c>
      <c r="DY24" s="399">
        <v>-9497.070000000007</v>
      </c>
      <c r="DZ24" s="399"/>
      <c r="EA24" s="399">
        <v>0</v>
      </c>
      <c r="EB24" s="399"/>
      <c r="EC24" s="399">
        <v>-12339.427830939931</v>
      </c>
      <c r="ED24" s="399"/>
      <c r="EE24" s="399">
        <v>0</v>
      </c>
      <c r="EF24" s="399">
        <v>0</v>
      </c>
      <c r="EG24" s="399"/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/>
      <c r="EN24" s="399"/>
      <c r="EO24" s="399">
        <v>0</v>
      </c>
      <c r="EP24" s="399">
        <v>0</v>
      </c>
      <c r="EQ24" s="399"/>
      <c r="ER24" s="399">
        <v>0</v>
      </c>
      <c r="ES24" s="399"/>
      <c r="ET24" s="399">
        <v>0</v>
      </c>
      <c r="EU24" s="399"/>
      <c r="EV24" s="399">
        <v>215</v>
      </c>
      <c r="EW24" s="399"/>
      <c r="EX24" s="399"/>
      <c r="EY24" s="399"/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2346</v>
      </c>
      <c r="C25" s="399" t="s">
        <v>2352</v>
      </c>
      <c r="D25" s="399" t="s">
        <v>533</v>
      </c>
      <c r="E25" s="399" t="s">
        <v>890</v>
      </c>
      <c r="F25" s="399" t="s">
        <v>1239</v>
      </c>
      <c r="G25" s="399" t="s">
        <v>1239</v>
      </c>
      <c r="H25" s="399" t="s">
        <v>1239</v>
      </c>
      <c r="I25" s="399" t="s">
        <v>1239</v>
      </c>
      <c r="J25" s="399" t="s">
        <v>2344</v>
      </c>
      <c r="K25" s="791">
        <v>44440</v>
      </c>
      <c r="L25" s="399">
        <v>873</v>
      </c>
      <c r="M25" s="399">
        <v>873</v>
      </c>
      <c r="N25" s="399">
        <v>0</v>
      </c>
      <c r="O25" s="399">
        <v>0</v>
      </c>
      <c r="P25" s="399">
        <v>0</v>
      </c>
      <c r="Q25" s="399">
        <v>0</v>
      </c>
      <c r="R25" s="399">
        <v>12.58</v>
      </c>
      <c r="S25" s="399"/>
      <c r="T25" s="399"/>
      <c r="U25" s="399">
        <v>10982.34</v>
      </c>
      <c r="V25" s="399"/>
      <c r="W25" s="399">
        <v>10982.34</v>
      </c>
      <c r="X25" s="399">
        <v>10118.07</v>
      </c>
      <c r="Y25" s="399">
        <v>0</v>
      </c>
      <c r="Z25" s="399">
        <v>0</v>
      </c>
      <c r="AA25" s="399">
        <v>0</v>
      </c>
      <c r="AB25" s="399">
        <v>0</v>
      </c>
      <c r="AC25" s="399">
        <v>0</v>
      </c>
      <c r="AD25" s="399">
        <v>5785.754615835097</v>
      </c>
      <c r="AE25" s="399">
        <v>5194.0959791813675</v>
      </c>
      <c r="AF25" s="399"/>
      <c r="AG25" s="399"/>
      <c r="AH25" s="399"/>
      <c r="AI25" s="399">
        <v>0</v>
      </c>
      <c r="AJ25" s="399">
        <v>0</v>
      </c>
      <c r="AK25" s="399">
        <v>0</v>
      </c>
      <c r="AL25" s="399">
        <v>0</v>
      </c>
      <c r="AM25" s="399"/>
      <c r="AN25" s="399">
        <v>0</v>
      </c>
      <c r="AO25" s="399">
        <v>0</v>
      </c>
      <c r="AP25" s="399">
        <v>0</v>
      </c>
      <c r="AQ25" s="399">
        <v>0</v>
      </c>
      <c r="AR25" s="399">
        <v>0</v>
      </c>
      <c r="AS25" s="399"/>
      <c r="AT25" s="399"/>
      <c r="AU25" s="399">
        <v>0</v>
      </c>
      <c r="AV25" s="399">
        <v>0</v>
      </c>
      <c r="AW25" s="399">
        <v>0</v>
      </c>
      <c r="AX25" s="399"/>
      <c r="AY25" s="399"/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/>
      <c r="BG25" s="399">
        <v>0</v>
      </c>
      <c r="BH25" s="399">
        <v>0</v>
      </c>
      <c r="BI25" s="399">
        <v>0</v>
      </c>
      <c r="BJ25" s="399">
        <v>0</v>
      </c>
      <c r="BK25" s="399">
        <v>8823.17</v>
      </c>
      <c r="BL25" s="399">
        <v>3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0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10118.07</v>
      </c>
      <c r="CJ25" s="399">
        <v>-864.30000000000109</v>
      </c>
      <c r="CK25" s="399"/>
      <c r="CL25" s="399"/>
      <c r="CM25" s="399"/>
      <c r="CN25" s="399"/>
      <c r="CO25" s="399">
        <v>-864.27000000000021</v>
      </c>
      <c r="CP25" s="399">
        <v>0</v>
      </c>
      <c r="CQ25" s="399">
        <v>30</v>
      </c>
      <c r="CR25" s="399">
        <v>260.54771846363019</v>
      </c>
      <c r="CS25" s="399">
        <v>0</v>
      </c>
      <c r="CT25" s="399">
        <v>0</v>
      </c>
      <c r="CU25" s="399">
        <v>0</v>
      </c>
      <c r="CV25" s="399">
        <v>0</v>
      </c>
      <c r="CW25" s="399"/>
      <c r="CX25" s="399"/>
      <c r="CY25" s="399"/>
      <c r="CZ25" s="399">
        <v>260.54771846363019</v>
      </c>
      <c r="DA25" s="399">
        <v>0</v>
      </c>
      <c r="DB25" s="399">
        <v>0</v>
      </c>
      <c r="DC25" s="399"/>
      <c r="DD25" s="399"/>
      <c r="DE25" s="399">
        <v>0</v>
      </c>
      <c r="DF25" s="399">
        <v>0</v>
      </c>
      <c r="DG25" s="399">
        <v>0</v>
      </c>
      <c r="DH25" s="399">
        <v>0</v>
      </c>
      <c r="DI25" s="399">
        <v>0</v>
      </c>
      <c r="DJ25" s="399"/>
      <c r="DK25" s="399">
        <v>0</v>
      </c>
      <c r="DL25" s="399">
        <v>0</v>
      </c>
      <c r="DM25" s="399"/>
      <c r="DN25" s="399">
        <v>0</v>
      </c>
      <c r="DO25" s="399">
        <v>0</v>
      </c>
      <c r="DP25" s="399">
        <v>0</v>
      </c>
      <c r="DQ25" s="399">
        <v>0</v>
      </c>
      <c r="DR25" s="399">
        <v>0</v>
      </c>
      <c r="DS25" s="399"/>
      <c r="DT25" s="399"/>
      <c r="DU25" s="399">
        <v>5194.0959791813675</v>
      </c>
      <c r="DV25" s="399"/>
      <c r="DW25" s="399">
        <v>0</v>
      </c>
      <c r="DX25" s="399">
        <v>0</v>
      </c>
      <c r="DY25" s="399">
        <v>-864.27000000000044</v>
      </c>
      <c r="DZ25" s="399"/>
      <c r="EA25" s="399">
        <v>0</v>
      </c>
      <c r="EB25" s="399"/>
      <c r="EC25" s="399">
        <v>-1122.9355255301325</v>
      </c>
      <c r="ED25" s="399"/>
      <c r="EE25" s="399">
        <v>0</v>
      </c>
      <c r="EF25" s="399">
        <v>0</v>
      </c>
      <c r="EG25" s="399"/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/>
      <c r="EN25" s="399"/>
      <c r="EO25" s="399">
        <v>0</v>
      </c>
      <c r="EP25" s="399">
        <v>0</v>
      </c>
      <c r="EQ25" s="399"/>
      <c r="ER25" s="399">
        <v>0</v>
      </c>
      <c r="ES25" s="399"/>
      <c r="ET25" s="399">
        <v>0</v>
      </c>
      <c r="EU25" s="399"/>
      <c r="EV25" s="399">
        <v>215</v>
      </c>
      <c r="EW25" s="399"/>
      <c r="EX25" s="399"/>
      <c r="EY25" s="399"/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2343</v>
      </c>
      <c r="D26" s="399" t="s">
        <v>1826</v>
      </c>
      <c r="E26" s="399" t="s">
        <v>918</v>
      </c>
      <c r="F26" s="399" t="s">
        <v>1239</v>
      </c>
      <c r="G26" s="399" t="s">
        <v>1239</v>
      </c>
      <c r="H26" s="399" t="s">
        <v>1239</v>
      </c>
      <c r="I26" s="399" t="s">
        <v>1239</v>
      </c>
      <c r="J26" s="399" t="s">
        <v>2344</v>
      </c>
      <c r="K26" s="791">
        <v>44440</v>
      </c>
      <c r="L26" s="399">
        <v>0</v>
      </c>
      <c r="M26" s="399">
        <v>0</v>
      </c>
      <c r="N26" s="399">
        <v>485.08499999999998</v>
      </c>
      <c r="O26" s="399">
        <v>485.08499999999998</v>
      </c>
      <c r="P26" s="399">
        <v>485.08499999999998</v>
      </c>
      <c r="Q26" s="399">
        <v>485.08499999999998</v>
      </c>
      <c r="R26" s="399"/>
      <c r="S26" s="399">
        <v>239.69</v>
      </c>
      <c r="T26" s="399">
        <v>171.61</v>
      </c>
      <c r="U26" s="399"/>
      <c r="V26" s="399">
        <v>199515.46049999999</v>
      </c>
      <c r="W26" s="399">
        <v>199515.46049999999</v>
      </c>
      <c r="X26" s="399">
        <v>198782.98215</v>
      </c>
      <c r="Y26" s="399">
        <v>0</v>
      </c>
      <c r="Z26" s="399">
        <v>29326.92903765068</v>
      </c>
      <c r="AA26" s="399">
        <v>0</v>
      </c>
      <c r="AB26" s="399">
        <v>0</v>
      </c>
      <c r="AC26" s="399">
        <v>0</v>
      </c>
      <c r="AD26" s="399">
        <v>25872.490178105207</v>
      </c>
      <c r="AE26" s="399">
        <v>42985.674481969312</v>
      </c>
      <c r="AF26" s="399">
        <v>80220.5572446937</v>
      </c>
      <c r="AG26" s="399">
        <v>3024.6781244588078</v>
      </c>
      <c r="AH26" s="399">
        <v>0</v>
      </c>
      <c r="AI26" s="399">
        <v>0</v>
      </c>
      <c r="AJ26" s="399">
        <v>0</v>
      </c>
      <c r="AK26" s="399">
        <v>0</v>
      </c>
      <c r="AL26" s="399">
        <v>4534.6283164601873</v>
      </c>
      <c r="AM26" s="399"/>
      <c r="AN26" s="399">
        <v>192.11871290260132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7766.1686100845964</v>
      </c>
      <c r="BH26" s="399">
        <v>0</v>
      </c>
      <c r="BI26" s="399">
        <v>0</v>
      </c>
      <c r="BJ26" s="399">
        <v>0</v>
      </c>
      <c r="BK26" s="399">
        <v>81666.52</v>
      </c>
      <c r="BL26" s="399">
        <v>549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87986.725854778299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198785.03109999996</v>
      </c>
      <c r="CJ26" s="399">
        <v>-730.45940000002156</v>
      </c>
      <c r="CK26" s="399"/>
      <c r="CL26" s="399"/>
      <c r="CM26" s="399"/>
      <c r="CN26" s="399"/>
      <c r="CO26" s="399">
        <v>-11651.741700000004</v>
      </c>
      <c r="CP26" s="399">
        <v>10919.263349999996</v>
      </c>
      <c r="CQ26" s="399">
        <v>30</v>
      </c>
      <c r="CR26" s="399">
        <v>8563.5174728013808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1165.106150272688</v>
      </c>
      <c r="DA26" s="399">
        <v>0</v>
      </c>
      <c r="DB26" s="399">
        <v>0</v>
      </c>
      <c r="DC26" s="399">
        <v>10921.856929931586</v>
      </c>
      <c r="DD26" s="399">
        <v>0</v>
      </c>
      <c r="DE26" s="399">
        <v>0</v>
      </c>
      <c r="DF26" s="399">
        <v>0</v>
      </c>
      <c r="DG26" s="399">
        <v>1057.3472108195783</v>
      </c>
      <c r="DH26" s="399">
        <v>0</v>
      </c>
      <c r="DI26" s="399">
        <v>-4028.1344557107877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-522.58694298566434</v>
      </c>
      <c r="DP26" s="399">
        <v>-30.071419526016427</v>
      </c>
      <c r="DQ26" s="399">
        <v>0</v>
      </c>
      <c r="DR26" s="399">
        <v>0</v>
      </c>
      <c r="DS26" s="399"/>
      <c r="DT26" s="399"/>
      <c r="DU26" s="399"/>
      <c r="DV26" s="399">
        <v>42985.674481969312</v>
      </c>
      <c r="DW26" s="399">
        <v>0</v>
      </c>
      <c r="DX26" s="399">
        <v>0</v>
      </c>
      <c r="DY26" s="399">
        <v>-11651.741699999999</v>
      </c>
      <c r="DZ26" s="399">
        <v>10919.263349999994</v>
      </c>
      <c r="EA26" s="399">
        <v>0</v>
      </c>
      <c r="EB26" s="399">
        <v>0</v>
      </c>
      <c r="EC26" s="399">
        <v>-9293.2708902859376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5592.543313978761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215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2345</v>
      </c>
      <c r="C27" s="399" t="s">
        <v>2343</v>
      </c>
      <c r="D27" s="399" t="s">
        <v>1826</v>
      </c>
      <c r="E27" s="399" t="s">
        <v>918</v>
      </c>
      <c r="F27" s="399" t="s">
        <v>1239</v>
      </c>
      <c r="G27" s="399" t="s">
        <v>1239</v>
      </c>
      <c r="H27" s="399" t="s">
        <v>1239</v>
      </c>
      <c r="I27" s="399" t="s">
        <v>1239</v>
      </c>
      <c r="J27" s="399" t="s">
        <v>2344</v>
      </c>
      <c r="K27" s="791">
        <v>44440</v>
      </c>
      <c r="L27" s="399">
        <v>0</v>
      </c>
      <c r="M27" s="399">
        <v>0</v>
      </c>
      <c r="N27" s="399">
        <v>-3.2709999999999999</v>
      </c>
      <c r="O27" s="399">
        <v>-3.2709999999999999</v>
      </c>
      <c r="P27" s="399">
        <v>-3.2709999999999999</v>
      </c>
      <c r="Q27" s="399">
        <v>-3.2709999999999999</v>
      </c>
      <c r="R27" s="399"/>
      <c r="S27" s="399">
        <v>239.69</v>
      </c>
      <c r="T27" s="399">
        <v>171.61</v>
      </c>
      <c r="U27" s="399"/>
      <c r="V27" s="399">
        <v>-1345.3623</v>
      </c>
      <c r="W27" s="399">
        <v>-1345.3623</v>
      </c>
      <c r="X27" s="399">
        <v>-1340.4230899999998</v>
      </c>
      <c r="Y27" s="399">
        <v>0</v>
      </c>
      <c r="Z27" s="399">
        <v>-197.75582605554774</v>
      </c>
      <c r="AA27" s="399">
        <v>0</v>
      </c>
      <c r="AB27" s="399">
        <v>0</v>
      </c>
      <c r="AC27" s="399">
        <v>0</v>
      </c>
      <c r="AD27" s="399">
        <v>-174.46203319538253</v>
      </c>
      <c r="AE27" s="399">
        <v>-289.85876955692635</v>
      </c>
      <c r="AF27" s="399">
        <v>-540.93909881235879</v>
      </c>
      <c r="AG27" s="399">
        <v>-20.395852572445573</v>
      </c>
      <c r="AH27" s="399">
        <v>0</v>
      </c>
      <c r="AI27" s="399">
        <v>0</v>
      </c>
      <c r="AJ27" s="399">
        <v>0</v>
      </c>
      <c r="AK27" s="399">
        <v>0</v>
      </c>
      <c r="AL27" s="399">
        <v>-30.577670352909845</v>
      </c>
      <c r="AM27" s="399"/>
      <c r="AN27" s="399">
        <v>-1.2954849354327775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-52.36842516999436</v>
      </c>
      <c r="BH27" s="399">
        <v>0</v>
      </c>
      <c r="BI27" s="399">
        <v>0</v>
      </c>
      <c r="BJ27" s="399">
        <v>0</v>
      </c>
      <c r="BK27" s="399">
        <v>-503.11</v>
      </c>
      <c r="BL27" s="399">
        <v>0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-593.30752398235313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-1340.0133000000001</v>
      </c>
      <c r="CJ27" s="399">
        <v>5.31899999999996</v>
      </c>
      <c r="CK27" s="399"/>
      <c r="CL27" s="399"/>
      <c r="CM27" s="399"/>
      <c r="CN27" s="399"/>
      <c r="CO27" s="399">
        <v>78.569420000000036</v>
      </c>
      <c r="CP27" s="399">
        <v>-73.630209999999963</v>
      </c>
      <c r="CQ27" s="399">
        <v>30</v>
      </c>
      <c r="CR27" s="399">
        <v>-57.745066645089537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-7.8564833329044461</v>
      </c>
      <c r="DA27" s="399">
        <v>0</v>
      </c>
      <c r="DB27" s="399">
        <v>0</v>
      </c>
      <c r="DC27" s="399">
        <v>-73.64769889360889</v>
      </c>
      <c r="DD27" s="399">
        <v>0</v>
      </c>
      <c r="DE27" s="399">
        <v>0</v>
      </c>
      <c r="DF27" s="399">
        <v>0</v>
      </c>
      <c r="DG27" s="399">
        <v>-7.1298488442043038</v>
      </c>
      <c r="DH27" s="399">
        <v>0</v>
      </c>
      <c r="DI27" s="399">
        <v>27.162307234051752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3.5238811558924894</v>
      </c>
      <c r="DP27" s="399">
        <v>0.20277603568364255</v>
      </c>
      <c r="DQ27" s="399">
        <v>0</v>
      </c>
      <c r="DR27" s="399">
        <v>0</v>
      </c>
      <c r="DS27" s="399"/>
      <c r="DT27" s="399"/>
      <c r="DU27" s="399"/>
      <c r="DV27" s="399">
        <v>-289.85876955692635</v>
      </c>
      <c r="DW27" s="399">
        <v>0</v>
      </c>
      <c r="DX27" s="399">
        <v>0</v>
      </c>
      <c r="DY27" s="399">
        <v>78.569420000000036</v>
      </c>
      <c r="DZ27" s="399">
        <v>-73.63020999999992</v>
      </c>
      <c r="EA27" s="399">
        <v>0</v>
      </c>
      <c r="EB27" s="399">
        <v>0</v>
      </c>
      <c r="EC27" s="399">
        <v>62.665902021553535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-37.711347866919255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215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2346</v>
      </c>
      <c r="C28" s="399" t="s">
        <v>2343</v>
      </c>
      <c r="D28" s="399" t="s">
        <v>1826</v>
      </c>
      <c r="E28" s="399" t="s">
        <v>918</v>
      </c>
      <c r="F28" s="399" t="s">
        <v>1239</v>
      </c>
      <c r="G28" s="399" t="s">
        <v>1239</v>
      </c>
      <c r="H28" s="399" t="s">
        <v>1239</v>
      </c>
      <c r="I28" s="399" t="s">
        <v>1239</v>
      </c>
      <c r="J28" s="399" t="s">
        <v>2344</v>
      </c>
      <c r="K28" s="791">
        <v>44440</v>
      </c>
      <c r="L28" s="399">
        <v>0</v>
      </c>
      <c r="M28" s="399">
        <v>0</v>
      </c>
      <c r="N28" s="399">
        <v>2.6150000000000002</v>
      </c>
      <c r="O28" s="399">
        <v>2.6150000000000002</v>
      </c>
      <c r="P28" s="399">
        <v>2.6150000000000002</v>
      </c>
      <c r="Q28" s="399">
        <v>2.6150000000000002</v>
      </c>
      <c r="R28" s="399"/>
      <c r="S28" s="399">
        <v>239.69</v>
      </c>
      <c r="T28" s="399">
        <v>171.61</v>
      </c>
      <c r="U28" s="399"/>
      <c r="V28" s="399">
        <v>1075.5495000000001</v>
      </c>
      <c r="W28" s="399">
        <v>1075.5495000000001</v>
      </c>
      <c r="X28" s="399">
        <v>1071.60085</v>
      </c>
      <c r="Y28" s="399">
        <v>0</v>
      </c>
      <c r="Z28" s="399">
        <v>158.09583770567329</v>
      </c>
      <c r="AA28" s="399">
        <v>0</v>
      </c>
      <c r="AB28" s="399">
        <v>0</v>
      </c>
      <c r="AC28" s="399">
        <v>0</v>
      </c>
      <c r="AD28" s="399">
        <v>139.4736217688552</v>
      </c>
      <c r="AE28" s="399">
        <v>231.72750913829486</v>
      </c>
      <c r="AF28" s="399">
        <v>432.45360544002398</v>
      </c>
      <c r="AG28" s="399">
        <v>16.305458415452513</v>
      </c>
      <c r="AH28" s="399">
        <v>0</v>
      </c>
      <c r="AI28" s="399">
        <v>0</v>
      </c>
      <c r="AJ28" s="399">
        <v>0</v>
      </c>
      <c r="AK28" s="399">
        <v>0</v>
      </c>
      <c r="AL28" s="399">
        <v>24.445309682928539</v>
      </c>
      <c r="AM28" s="399"/>
      <c r="AN28" s="399">
        <v>1.0356750553826701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41.865922292734723</v>
      </c>
      <c r="BH28" s="399">
        <v>0</v>
      </c>
      <c r="BI28" s="399">
        <v>0</v>
      </c>
      <c r="BJ28" s="399">
        <v>0</v>
      </c>
      <c r="BK28" s="399">
        <v>1650.6</v>
      </c>
      <c r="BL28" s="399">
        <v>8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474.31952773275873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1073.6497999999999</v>
      </c>
      <c r="CJ28" s="399">
        <v>-1.929700000000139</v>
      </c>
      <c r="CK28" s="399"/>
      <c r="CL28" s="399"/>
      <c r="CM28" s="399"/>
      <c r="CN28" s="399"/>
      <c r="CO28" s="399">
        <v>-62.812300000000029</v>
      </c>
      <c r="CP28" s="399">
        <v>58.863649999999978</v>
      </c>
      <c r="CQ28" s="399">
        <v>30</v>
      </c>
      <c r="CR28" s="399">
        <v>46.16427675845614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6.2808633187236751</v>
      </c>
      <c r="DA28" s="399">
        <v>0</v>
      </c>
      <c r="DB28" s="399">
        <v>0</v>
      </c>
      <c r="DC28" s="399">
        <v>58.877631490916315</v>
      </c>
      <c r="DD28" s="399">
        <v>0</v>
      </c>
      <c r="DE28" s="399">
        <v>0</v>
      </c>
      <c r="DF28" s="399">
        <v>0</v>
      </c>
      <c r="DG28" s="399">
        <v>5.6999555877695656</v>
      </c>
      <c r="DH28" s="399">
        <v>0</v>
      </c>
      <c r="DI28" s="399">
        <v>-21.714898629484935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-2.8171657666337069</v>
      </c>
      <c r="DP28" s="399">
        <v>-0.16210924283482897</v>
      </c>
      <c r="DQ28" s="399">
        <v>0</v>
      </c>
      <c r="DR28" s="399">
        <v>0</v>
      </c>
      <c r="DS28" s="399"/>
      <c r="DT28" s="399"/>
      <c r="DU28" s="399"/>
      <c r="DV28" s="399">
        <v>231.72750913829486</v>
      </c>
      <c r="DW28" s="399">
        <v>0</v>
      </c>
      <c r="DX28" s="399">
        <v>0</v>
      </c>
      <c r="DY28" s="399">
        <v>-62.81230000000005</v>
      </c>
      <c r="DZ28" s="399">
        <v>58.863650000000007</v>
      </c>
      <c r="EA28" s="399">
        <v>0</v>
      </c>
      <c r="EB28" s="399">
        <v>0</v>
      </c>
      <c r="EC28" s="399">
        <v>-50.098237171006588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30.148326099661837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215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2352</v>
      </c>
      <c r="D29" s="399" t="s">
        <v>533</v>
      </c>
      <c r="E29" s="399" t="s">
        <v>918</v>
      </c>
      <c r="F29" s="399" t="s">
        <v>1239</v>
      </c>
      <c r="G29" s="399" t="s">
        <v>1239</v>
      </c>
      <c r="H29" s="399" t="s">
        <v>1239</v>
      </c>
      <c r="I29" s="399" t="s">
        <v>893</v>
      </c>
      <c r="J29" s="399" t="s">
        <v>2344</v>
      </c>
      <c r="K29" s="791">
        <v>44440</v>
      </c>
      <c r="L29" s="399">
        <v>0</v>
      </c>
      <c r="M29" s="399">
        <v>0</v>
      </c>
      <c r="N29" s="399">
        <v>5.8310000000000004</v>
      </c>
      <c r="O29" s="399">
        <v>5.8310000000000004</v>
      </c>
      <c r="P29" s="399">
        <v>5.8310000000000004</v>
      </c>
      <c r="Q29" s="399">
        <v>5.8310000000000004</v>
      </c>
      <c r="R29" s="399"/>
      <c r="S29" s="399">
        <v>984.21</v>
      </c>
      <c r="T29" s="399">
        <v>171.61</v>
      </c>
      <c r="U29" s="399"/>
      <c r="V29" s="399">
        <v>6739.5864200000005</v>
      </c>
      <c r="W29" s="399">
        <v>6739.5864200000005</v>
      </c>
      <c r="X29" s="399">
        <v>6284.9433500000014</v>
      </c>
      <c r="Y29" s="399">
        <v>0</v>
      </c>
      <c r="Z29" s="399">
        <v>306.69806570009536</v>
      </c>
      <c r="AA29" s="399">
        <v>0</v>
      </c>
      <c r="AB29" s="399">
        <v>0</v>
      </c>
      <c r="AC29" s="399">
        <v>0</v>
      </c>
      <c r="AD29" s="399">
        <v>2295.7152279465081</v>
      </c>
      <c r="AE29" s="399">
        <v>2985.950846431891</v>
      </c>
      <c r="AF29" s="399">
        <v>964.29712172878772</v>
      </c>
      <c r="AG29" s="399">
        <v>36.35836635583312</v>
      </c>
      <c r="AH29" s="399">
        <v>0</v>
      </c>
      <c r="AI29" s="399">
        <v>0</v>
      </c>
      <c r="AJ29" s="399">
        <v>0</v>
      </c>
      <c r="AK29" s="399">
        <v>0</v>
      </c>
      <c r="AL29" s="399">
        <v>54.508833943080809</v>
      </c>
      <c r="AM29" s="399"/>
      <c r="AN29" s="399">
        <v>1.5397366289532382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36.043094789393386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1000.3402165181811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6283.8655000000008</v>
      </c>
      <c r="CJ29" s="399">
        <v>-455.75092000000041</v>
      </c>
      <c r="CK29" s="399"/>
      <c r="CL29" s="399"/>
      <c r="CM29" s="399"/>
      <c r="CN29" s="399"/>
      <c r="CO29" s="399">
        <v>-585.89888000000019</v>
      </c>
      <c r="CP29" s="399">
        <v>131.25580999999997</v>
      </c>
      <c r="CQ29" s="399">
        <v>30</v>
      </c>
      <c r="CR29" s="399">
        <v>190.92763331549804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103.38208316796454</v>
      </c>
      <c r="DA29" s="399">
        <v>0</v>
      </c>
      <c r="DB29" s="399">
        <v>0</v>
      </c>
      <c r="DC29" s="399">
        <v>131.28698631875068</v>
      </c>
      <c r="DD29" s="399">
        <v>0</v>
      </c>
      <c r="DE29" s="399">
        <v>0</v>
      </c>
      <c r="DF29" s="399">
        <v>0</v>
      </c>
      <c r="DG29" s="399">
        <v>4.9071901034163687</v>
      </c>
      <c r="DH29" s="399">
        <v>0</v>
      </c>
      <c r="DI29" s="399">
        <v>-42.12582382425137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-6.2817948700730994</v>
      </c>
      <c r="DP29" s="399">
        <v>-0.24100758030947955</v>
      </c>
      <c r="DQ29" s="399">
        <v>0</v>
      </c>
      <c r="DR29" s="399">
        <v>0</v>
      </c>
      <c r="DS29" s="399"/>
      <c r="DT29" s="399"/>
      <c r="DU29" s="399"/>
      <c r="DV29" s="399">
        <v>2985.950846431891</v>
      </c>
      <c r="DW29" s="399">
        <v>0</v>
      </c>
      <c r="DX29" s="399">
        <v>0</v>
      </c>
      <c r="DY29" s="399">
        <v>-585.89887999999974</v>
      </c>
      <c r="DZ29" s="399">
        <v>131.25580999999988</v>
      </c>
      <c r="EA29" s="399">
        <v>0</v>
      </c>
      <c r="EB29" s="399">
        <v>0</v>
      </c>
      <c r="EC29" s="399">
        <v>-645.54646205702193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58.486253863786253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215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2352</v>
      </c>
      <c r="D30" s="399" t="s">
        <v>533</v>
      </c>
      <c r="E30" s="399" t="s">
        <v>918</v>
      </c>
      <c r="F30" s="399" t="s">
        <v>1239</v>
      </c>
      <c r="G30" s="399" t="s">
        <v>1239</v>
      </c>
      <c r="H30" s="399" t="s">
        <v>1239</v>
      </c>
      <c r="I30" s="399" t="s">
        <v>2326</v>
      </c>
      <c r="J30" s="399" t="s">
        <v>2344</v>
      </c>
      <c r="K30" s="791">
        <v>44440</v>
      </c>
      <c r="L30" s="399">
        <v>0</v>
      </c>
      <c r="M30" s="399">
        <v>0</v>
      </c>
      <c r="N30" s="399">
        <v>64.052000000000007</v>
      </c>
      <c r="O30" s="399">
        <v>64.052000000000007</v>
      </c>
      <c r="P30" s="399">
        <v>64.052000000000007</v>
      </c>
      <c r="Q30" s="399">
        <v>64.052000000000007</v>
      </c>
      <c r="R30" s="399"/>
      <c r="S30" s="399">
        <v>78.42</v>
      </c>
      <c r="T30" s="399">
        <v>171.61</v>
      </c>
      <c r="U30" s="399"/>
      <c r="V30" s="399">
        <v>16014.921560000003</v>
      </c>
      <c r="W30" s="399">
        <v>16014.921560000003</v>
      </c>
      <c r="X30" s="399">
        <v>16976.342080000002</v>
      </c>
      <c r="Y30" s="399">
        <v>0</v>
      </c>
      <c r="Z30" s="399">
        <v>3368.9975140151787</v>
      </c>
      <c r="AA30" s="399">
        <v>0</v>
      </c>
      <c r="AB30" s="399">
        <v>0</v>
      </c>
      <c r="AC30" s="399">
        <v>0</v>
      </c>
      <c r="AD30" s="399">
        <v>0</v>
      </c>
      <c r="AE30" s="399">
        <v>0</v>
      </c>
      <c r="AF30" s="399">
        <v>10592.550032751211</v>
      </c>
      <c r="AG30" s="399">
        <v>399.38708314591378</v>
      </c>
      <c r="AH30" s="399">
        <v>0</v>
      </c>
      <c r="AI30" s="399">
        <v>0</v>
      </c>
      <c r="AJ30" s="399">
        <v>0</v>
      </c>
      <c r="AK30" s="399">
        <v>0</v>
      </c>
      <c r="AL30" s="399">
        <v>598.76519151469938</v>
      </c>
      <c r="AM30" s="399"/>
      <c r="AN30" s="399">
        <v>16.913601536222398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395.92390798323186</v>
      </c>
      <c r="BH30" s="399">
        <v>0</v>
      </c>
      <c r="BI30" s="399">
        <v>0</v>
      </c>
      <c r="BJ30" s="399">
        <v>0</v>
      </c>
      <c r="BK30" s="399">
        <v>0</v>
      </c>
      <c r="BL30" s="399">
        <v>0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10988.473940734442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16975.811999999998</v>
      </c>
      <c r="CJ30" s="399">
        <v>960.86043999999492</v>
      </c>
      <c r="CK30" s="399"/>
      <c r="CL30" s="399"/>
      <c r="CM30" s="399"/>
      <c r="CN30" s="399"/>
      <c r="CO30" s="399">
        <v>-480.39000000000004</v>
      </c>
      <c r="CP30" s="399">
        <v>1441.8105199999995</v>
      </c>
      <c r="CQ30" s="399">
        <v>30</v>
      </c>
      <c r="CR30" s="399">
        <v>961.66482216597251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0</v>
      </c>
      <c r="DA30" s="399">
        <v>0</v>
      </c>
      <c r="DB30" s="399">
        <v>0</v>
      </c>
      <c r="DC30" s="399">
        <v>1442.1529836543668</v>
      </c>
      <c r="DD30" s="399">
        <v>0</v>
      </c>
      <c r="DE30" s="399">
        <v>0</v>
      </c>
      <c r="DF30" s="399">
        <v>0</v>
      </c>
      <c r="DG30" s="399">
        <v>53.904191477281017</v>
      </c>
      <c r="DH30" s="399">
        <v>0</v>
      </c>
      <c r="DI30" s="399">
        <v>-462.74108516394199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-69.003862976834512</v>
      </c>
      <c r="DP30" s="399">
        <v>-2.6474048248984339</v>
      </c>
      <c r="DQ30" s="399">
        <v>0</v>
      </c>
      <c r="DR30" s="399">
        <v>0</v>
      </c>
      <c r="DS30" s="399"/>
      <c r="DT30" s="399"/>
      <c r="DU30" s="399"/>
      <c r="DV30" s="399">
        <v>0</v>
      </c>
      <c r="DW30" s="399">
        <v>0</v>
      </c>
      <c r="DX30" s="399">
        <v>0</v>
      </c>
      <c r="DY30" s="399">
        <v>-480.39000000000033</v>
      </c>
      <c r="DZ30" s="399">
        <v>1441.8105200000009</v>
      </c>
      <c r="EA30" s="399">
        <v>0</v>
      </c>
      <c r="EB30" s="399">
        <v>0</v>
      </c>
      <c r="EC30" s="399">
        <v>0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642.45610229518729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215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956</v>
      </c>
      <c r="C31" s="399" t="s">
        <v>2352</v>
      </c>
      <c r="D31" s="399" t="s">
        <v>533</v>
      </c>
      <c r="E31" s="399" t="s">
        <v>918</v>
      </c>
      <c r="F31" s="399" t="s">
        <v>1239</v>
      </c>
      <c r="G31" s="399" t="s">
        <v>1239</v>
      </c>
      <c r="H31" s="399" t="s">
        <v>1239</v>
      </c>
      <c r="I31" s="399" t="s">
        <v>1239</v>
      </c>
      <c r="J31" s="399" t="s">
        <v>2344</v>
      </c>
      <c r="K31" s="791">
        <v>44440</v>
      </c>
      <c r="L31" s="399">
        <v>393</v>
      </c>
      <c r="M31" s="399">
        <v>393</v>
      </c>
      <c r="N31" s="399">
        <v>0</v>
      </c>
      <c r="O31" s="399">
        <v>0</v>
      </c>
      <c r="P31" s="399">
        <v>0</v>
      </c>
      <c r="Q31" s="399">
        <v>0</v>
      </c>
      <c r="R31" s="399">
        <v>12.58</v>
      </c>
      <c r="S31" s="399"/>
      <c r="T31" s="399"/>
      <c r="U31" s="399">
        <v>4943.9399999999996</v>
      </c>
      <c r="V31" s="399"/>
      <c r="W31" s="399">
        <v>4943.9399999999996</v>
      </c>
      <c r="X31" s="399">
        <v>4554.87</v>
      </c>
      <c r="Y31" s="399">
        <v>0</v>
      </c>
      <c r="Z31" s="399">
        <v>0</v>
      </c>
      <c r="AA31" s="399">
        <v>0</v>
      </c>
      <c r="AB31" s="399">
        <v>0</v>
      </c>
      <c r="AC31" s="399">
        <v>0</v>
      </c>
      <c r="AD31" s="399">
        <v>2604.5836930391674</v>
      </c>
      <c r="AE31" s="399">
        <v>2338.2356469854267</v>
      </c>
      <c r="AF31" s="399"/>
      <c r="AG31" s="399"/>
      <c r="AH31" s="399"/>
      <c r="AI31" s="399">
        <v>0</v>
      </c>
      <c r="AJ31" s="399">
        <v>0</v>
      </c>
      <c r="AK31" s="399">
        <v>0</v>
      </c>
      <c r="AL31" s="399">
        <v>0</v>
      </c>
      <c r="AM31" s="399"/>
      <c r="AN31" s="399">
        <v>0</v>
      </c>
      <c r="AO31" s="399">
        <v>0</v>
      </c>
      <c r="AP31" s="399">
        <v>0</v>
      </c>
      <c r="AQ31" s="399">
        <v>0</v>
      </c>
      <c r="AR31" s="399">
        <v>0</v>
      </c>
      <c r="AS31" s="399"/>
      <c r="AT31" s="399"/>
      <c r="AU31" s="399">
        <v>0</v>
      </c>
      <c r="AV31" s="399">
        <v>0</v>
      </c>
      <c r="AW31" s="399">
        <v>0</v>
      </c>
      <c r="AX31" s="399"/>
      <c r="AY31" s="399"/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/>
      <c r="BG31" s="399">
        <v>0</v>
      </c>
      <c r="BH31" s="399">
        <v>0</v>
      </c>
      <c r="BI31" s="399">
        <v>0</v>
      </c>
      <c r="BJ31" s="399">
        <v>0</v>
      </c>
      <c r="BK31" s="399">
        <v>11663.39</v>
      </c>
      <c r="BL31" s="399">
        <v>5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0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4554.87</v>
      </c>
      <c r="CJ31" s="399">
        <v>-389.10000000000036</v>
      </c>
      <c r="CK31" s="399"/>
      <c r="CL31" s="399"/>
      <c r="CM31" s="399"/>
      <c r="CN31" s="399"/>
      <c r="CO31" s="399">
        <v>-389.07000000000011</v>
      </c>
      <c r="CP31" s="399">
        <v>0</v>
      </c>
      <c r="CQ31" s="399">
        <v>30</v>
      </c>
      <c r="CR31" s="399">
        <v>117.29124095785392</v>
      </c>
      <c r="CS31" s="399">
        <v>0</v>
      </c>
      <c r="CT31" s="399">
        <v>0</v>
      </c>
      <c r="CU31" s="399">
        <v>0</v>
      </c>
      <c r="CV31" s="399">
        <v>0</v>
      </c>
      <c r="CW31" s="399"/>
      <c r="CX31" s="399"/>
      <c r="CY31" s="399"/>
      <c r="CZ31" s="399">
        <v>117.29124095785392</v>
      </c>
      <c r="DA31" s="399">
        <v>0</v>
      </c>
      <c r="DB31" s="399">
        <v>0</v>
      </c>
      <c r="DC31" s="399"/>
      <c r="DD31" s="399"/>
      <c r="DE31" s="399">
        <v>0</v>
      </c>
      <c r="DF31" s="399">
        <v>0</v>
      </c>
      <c r="DG31" s="399">
        <v>0</v>
      </c>
      <c r="DH31" s="399">
        <v>0</v>
      </c>
      <c r="DI31" s="399">
        <v>0</v>
      </c>
      <c r="DJ31" s="399"/>
      <c r="DK31" s="399">
        <v>0</v>
      </c>
      <c r="DL31" s="399">
        <v>0</v>
      </c>
      <c r="DM31" s="399"/>
      <c r="DN31" s="399">
        <v>0</v>
      </c>
      <c r="DO31" s="399">
        <v>0</v>
      </c>
      <c r="DP31" s="399">
        <v>0</v>
      </c>
      <c r="DQ31" s="399">
        <v>0</v>
      </c>
      <c r="DR31" s="399">
        <v>0</v>
      </c>
      <c r="DS31" s="399"/>
      <c r="DT31" s="399"/>
      <c r="DU31" s="399">
        <v>2338.2356469854267</v>
      </c>
      <c r="DV31" s="399"/>
      <c r="DW31" s="399">
        <v>0</v>
      </c>
      <c r="DX31" s="399">
        <v>0</v>
      </c>
      <c r="DY31" s="399">
        <v>-389.06999999999971</v>
      </c>
      <c r="DZ31" s="399"/>
      <c r="EA31" s="399">
        <v>0</v>
      </c>
      <c r="EB31" s="399"/>
      <c r="EC31" s="399">
        <v>-505.51393073693271</v>
      </c>
      <c r="ED31" s="399"/>
      <c r="EE31" s="399">
        <v>0</v>
      </c>
      <c r="EF31" s="399">
        <v>0</v>
      </c>
      <c r="EG31" s="399"/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/>
      <c r="EN31" s="399"/>
      <c r="EO31" s="399">
        <v>0</v>
      </c>
      <c r="EP31" s="399">
        <v>0</v>
      </c>
      <c r="EQ31" s="399"/>
      <c r="ER31" s="399">
        <v>0</v>
      </c>
      <c r="ES31" s="399"/>
      <c r="ET31" s="399">
        <v>0</v>
      </c>
      <c r="EU31" s="399"/>
      <c r="EV31" s="399">
        <v>215</v>
      </c>
      <c r="EW31" s="399"/>
      <c r="EX31" s="399"/>
      <c r="EY31" s="399"/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2343</v>
      </c>
      <c r="D32" s="399" t="s">
        <v>2353</v>
      </c>
      <c r="E32" s="399" t="s">
        <v>894</v>
      </c>
      <c r="F32" s="399" t="s">
        <v>1239</v>
      </c>
      <c r="G32" s="399" t="s">
        <v>1239</v>
      </c>
      <c r="H32" s="399" t="s">
        <v>1239</v>
      </c>
      <c r="I32" s="399" t="s">
        <v>1239</v>
      </c>
      <c r="J32" s="399" t="s">
        <v>2344</v>
      </c>
      <c r="K32" s="791">
        <v>44440</v>
      </c>
      <c r="L32" s="399">
        <v>0</v>
      </c>
      <c r="M32" s="399">
        <v>0</v>
      </c>
      <c r="N32" s="399">
        <v>547.06799999999998</v>
      </c>
      <c r="O32" s="399">
        <v>547.06799999999998</v>
      </c>
      <c r="P32" s="399">
        <v>547.06799999999998</v>
      </c>
      <c r="Q32" s="399">
        <v>547.06799999999998</v>
      </c>
      <c r="R32" s="399"/>
      <c r="S32" s="399">
        <v>239.69</v>
      </c>
      <c r="T32" s="399">
        <v>171.61</v>
      </c>
      <c r="U32" s="399"/>
      <c r="V32" s="399">
        <v>225009.06839999999</v>
      </c>
      <c r="W32" s="399">
        <v>225009.06839999999</v>
      </c>
      <c r="X32" s="399">
        <v>224182.99571999998</v>
      </c>
      <c r="Y32" s="399">
        <v>0</v>
      </c>
      <c r="Z32" s="399">
        <v>33074.253821019993</v>
      </c>
      <c r="AA32" s="399">
        <v>0</v>
      </c>
      <c r="AB32" s="399">
        <v>0</v>
      </c>
      <c r="AC32" s="399">
        <v>0</v>
      </c>
      <c r="AD32" s="399">
        <v>29178.415033974787</v>
      </c>
      <c r="AE32" s="399">
        <v>48478.281058993758</v>
      </c>
      <c r="AF32" s="399">
        <v>90470.948000330027</v>
      </c>
      <c r="AG32" s="399">
        <v>3411.1642540821322</v>
      </c>
      <c r="AH32" s="399">
        <v>0</v>
      </c>
      <c r="AI32" s="399">
        <v>0</v>
      </c>
      <c r="AJ32" s="399">
        <v>0</v>
      </c>
      <c r="AK32" s="399">
        <v>0</v>
      </c>
      <c r="AL32" s="399">
        <v>5114.0522667764244</v>
      </c>
      <c r="AM32" s="399"/>
      <c r="AN32" s="399">
        <v>216.66718210251872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8758.5110427693289</v>
      </c>
      <c r="BH32" s="399">
        <v>0</v>
      </c>
      <c r="BI32" s="399">
        <v>0</v>
      </c>
      <c r="BJ32" s="399">
        <v>0</v>
      </c>
      <c r="BK32" s="399">
        <v>65650.559999999998</v>
      </c>
      <c r="BL32" s="399">
        <v>739</v>
      </c>
      <c r="BM32" s="399"/>
      <c r="BN32" s="399"/>
      <c r="BO32" s="399"/>
      <c r="BP32" s="399"/>
      <c r="BQ32" s="399"/>
      <c r="BR32" s="399">
        <v>26899.333559999992</v>
      </c>
      <c r="BS32" s="399"/>
      <c r="BT32" s="399"/>
      <c r="BU32" s="399"/>
      <c r="BV32" s="399">
        <v>99229.459043099356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197284.38340000002</v>
      </c>
      <c r="CJ32" s="399">
        <v>-726.90919999996549</v>
      </c>
      <c r="CK32" s="399"/>
      <c r="CL32" s="399"/>
      <c r="CM32" s="399"/>
      <c r="CN32" s="399"/>
      <c r="CO32" s="399">
        <v>-13140.573360000006</v>
      </c>
      <c r="CP32" s="399">
        <v>12314.500679999996</v>
      </c>
      <c r="CQ32" s="399">
        <v>30</v>
      </c>
      <c r="CR32" s="399">
        <v>9657.7432343002292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1313.98062487477</v>
      </c>
      <c r="DA32" s="399">
        <v>0</v>
      </c>
      <c r="DB32" s="399">
        <v>0</v>
      </c>
      <c r="DC32" s="399">
        <v>12317.425661366186</v>
      </c>
      <c r="DD32" s="399">
        <v>0</v>
      </c>
      <c r="DE32" s="399">
        <v>0</v>
      </c>
      <c r="DF32" s="399">
        <v>0</v>
      </c>
      <c r="DG32" s="399">
        <v>1192.4525061146924</v>
      </c>
      <c r="DH32" s="399">
        <v>0</v>
      </c>
      <c r="DI32" s="399">
        <v>-4542.8398330535711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-589.36185148021832</v>
      </c>
      <c r="DP32" s="399">
        <v>-33.913873521668876</v>
      </c>
      <c r="DQ32" s="399">
        <v>0</v>
      </c>
      <c r="DR32" s="399">
        <v>0</v>
      </c>
      <c r="DS32" s="399"/>
      <c r="DT32" s="399"/>
      <c r="DU32" s="399"/>
      <c r="DV32" s="399">
        <v>48478.281058993758</v>
      </c>
      <c r="DW32" s="399">
        <v>0</v>
      </c>
      <c r="DX32" s="399">
        <v>0</v>
      </c>
      <c r="DY32" s="399">
        <v>-13140.573360000009</v>
      </c>
      <c r="DZ32" s="399">
        <v>12314.500679999983</v>
      </c>
      <c r="EA32" s="399">
        <v>0</v>
      </c>
      <c r="EB32" s="399">
        <v>0</v>
      </c>
      <c r="EC32" s="399">
        <v>-10480.742796431441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6307.1451100152199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215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2345</v>
      </c>
      <c r="C33" s="399" t="s">
        <v>2343</v>
      </c>
      <c r="D33" s="399" t="s">
        <v>2353</v>
      </c>
      <c r="E33" s="399" t="s">
        <v>894</v>
      </c>
      <c r="F33" s="399" t="s">
        <v>1239</v>
      </c>
      <c r="G33" s="399" t="s">
        <v>1239</v>
      </c>
      <c r="H33" s="399" t="s">
        <v>1239</v>
      </c>
      <c r="I33" s="399" t="s">
        <v>1239</v>
      </c>
      <c r="J33" s="399" t="s">
        <v>2344</v>
      </c>
      <c r="K33" s="791">
        <v>44440</v>
      </c>
      <c r="L33" s="399">
        <v>0</v>
      </c>
      <c r="M33" s="399">
        <v>0</v>
      </c>
      <c r="N33" s="399">
        <v>-0.18</v>
      </c>
      <c r="O33" s="399">
        <v>-0.18</v>
      </c>
      <c r="P33" s="399">
        <v>-0.18</v>
      </c>
      <c r="Q33" s="399">
        <v>-0.18</v>
      </c>
      <c r="R33" s="399"/>
      <c r="S33" s="399">
        <v>239.69</v>
      </c>
      <c r="T33" s="399">
        <v>171.61</v>
      </c>
      <c r="U33" s="399"/>
      <c r="V33" s="399">
        <v>-74.033999999999992</v>
      </c>
      <c r="W33" s="399">
        <v>-74.033999999999992</v>
      </c>
      <c r="X33" s="399">
        <v>-73.762200000000007</v>
      </c>
      <c r="Y33" s="399">
        <v>0</v>
      </c>
      <c r="Z33" s="399">
        <v>-10.882313876489938</v>
      </c>
      <c r="AA33" s="399">
        <v>0</v>
      </c>
      <c r="AB33" s="399">
        <v>0</v>
      </c>
      <c r="AC33" s="399">
        <v>0</v>
      </c>
      <c r="AD33" s="399">
        <v>-9.6004787450837217</v>
      </c>
      <c r="AE33" s="399">
        <v>-15.9506507246245</v>
      </c>
      <c r="AF33" s="399">
        <v>-29.767360986311399</v>
      </c>
      <c r="AG33" s="399">
        <v>-1.1223642503944369</v>
      </c>
      <c r="AH33" s="399">
        <v>0</v>
      </c>
      <c r="AI33" s="399">
        <v>0</v>
      </c>
      <c r="AJ33" s="399">
        <v>0</v>
      </c>
      <c r="AK33" s="399">
        <v>0</v>
      </c>
      <c r="AL33" s="399">
        <v>-1.6826599399338955</v>
      </c>
      <c r="AM33" s="399"/>
      <c r="AN33" s="399">
        <v>-7.1289296355212459E-2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-2.8817843260773417</v>
      </c>
      <c r="BH33" s="399">
        <v>0</v>
      </c>
      <c r="BI33" s="399">
        <v>0</v>
      </c>
      <c r="BJ33" s="399">
        <v>0</v>
      </c>
      <c r="BK33" s="399">
        <v>-18.13</v>
      </c>
      <c r="BL33" s="399">
        <v>0</v>
      </c>
      <c r="BM33" s="399"/>
      <c r="BN33" s="399"/>
      <c r="BO33" s="399"/>
      <c r="BP33" s="399"/>
      <c r="BQ33" s="399"/>
      <c r="BR33" s="399">
        <v>-8.8505999999999982</v>
      </c>
      <c r="BS33" s="399"/>
      <c r="BT33" s="399"/>
      <c r="BU33" s="399"/>
      <c r="BV33" s="399">
        <v>-32.64914531238874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-64.911599999999993</v>
      </c>
      <c r="CJ33" s="399">
        <v>0.20940000000000225</v>
      </c>
      <c r="CK33" s="399"/>
      <c r="CL33" s="399"/>
      <c r="CM33" s="399"/>
      <c r="CN33" s="399"/>
      <c r="CO33" s="399">
        <v>4.3236000000000017</v>
      </c>
      <c r="CP33" s="399">
        <v>-4.0517999999999983</v>
      </c>
      <c r="CQ33" s="399">
        <v>30</v>
      </c>
      <c r="CR33" s="399">
        <v>-3.1776557615763394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-0.43233475998862758</v>
      </c>
      <c r="DA33" s="399">
        <v>0</v>
      </c>
      <c r="DB33" s="399">
        <v>0</v>
      </c>
      <c r="DC33" s="399">
        <v>-4.0527623970802829</v>
      </c>
      <c r="DD33" s="399">
        <v>0</v>
      </c>
      <c r="DE33" s="399">
        <v>0</v>
      </c>
      <c r="DF33" s="399">
        <v>0</v>
      </c>
      <c r="DG33" s="399">
        <v>-0.39234875938758007</v>
      </c>
      <c r="DH33" s="399">
        <v>0</v>
      </c>
      <c r="DI33" s="399">
        <v>1.4947157756433231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0.19391580802832409</v>
      </c>
      <c r="DP33" s="399">
        <v>1.115857120851594E-2</v>
      </c>
      <c r="DQ33" s="399">
        <v>0</v>
      </c>
      <c r="DR33" s="399">
        <v>0</v>
      </c>
      <c r="DS33" s="399"/>
      <c r="DT33" s="399"/>
      <c r="DU33" s="399"/>
      <c r="DV33" s="399">
        <v>-15.9506507246245</v>
      </c>
      <c r="DW33" s="399">
        <v>0</v>
      </c>
      <c r="DX33" s="399">
        <v>0</v>
      </c>
      <c r="DY33" s="399">
        <v>4.323599999999999</v>
      </c>
      <c r="DZ33" s="399">
        <v>-4.0518000000000001</v>
      </c>
      <c r="EA33" s="399">
        <v>0</v>
      </c>
      <c r="EB33" s="399">
        <v>0</v>
      </c>
      <c r="EC33" s="399">
        <v>3.4484446236256918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-2.0752193873572198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215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2346</v>
      </c>
      <c r="C34" s="399" t="s">
        <v>2343</v>
      </c>
      <c r="D34" s="399" t="s">
        <v>2353</v>
      </c>
      <c r="E34" s="399" t="s">
        <v>894</v>
      </c>
      <c r="F34" s="399" t="s">
        <v>1239</v>
      </c>
      <c r="G34" s="399" t="s">
        <v>1239</v>
      </c>
      <c r="H34" s="399" t="s">
        <v>1239</v>
      </c>
      <c r="I34" s="399" t="s">
        <v>1239</v>
      </c>
      <c r="J34" s="399" t="s">
        <v>2344</v>
      </c>
      <c r="K34" s="791">
        <v>44440</v>
      </c>
      <c r="L34" s="399">
        <v>0</v>
      </c>
      <c r="M34" s="399">
        <v>0</v>
      </c>
      <c r="N34" s="399">
        <v>10.14</v>
      </c>
      <c r="O34" s="399">
        <v>10.14</v>
      </c>
      <c r="P34" s="399">
        <v>10.14</v>
      </c>
      <c r="Q34" s="399">
        <v>10.14</v>
      </c>
      <c r="R34" s="399"/>
      <c r="S34" s="399">
        <v>239.69</v>
      </c>
      <c r="T34" s="399">
        <v>171.61</v>
      </c>
      <c r="U34" s="399"/>
      <c r="V34" s="399">
        <v>4170.5820000000003</v>
      </c>
      <c r="W34" s="399">
        <v>4170.5820000000003</v>
      </c>
      <c r="X34" s="399">
        <v>4155.2705999999998</v>
      </c>
      <c r="Y34" s="399">
        <v>0</v>
      </c>
      <c r="Z34" s="399">
        <v>613.0370150422666</v>
      </c>
      <c r="AA34" s="399">
        <v>0</v>
      </c>
      <c r="AB34" s="399">
        <v>0</v>
      </c>
      <c r="AC34" s="399">
        <v>0</v>
      </c>
      <c r="AD34" s="399">
        <v>540.82696930638303</v>
      </c>
      <c r="AE34" s="399">
        <v>898.55332415384692</v>
      </c>
      <c r="AF34" s="399">
        <v>1676.8946688955423</v>
      </c>
      <c r="AG34" s="399">
        <v>63.226519438886612</v>
      </c>
      <c r="AH34" s="399">
        <v>0</v>
      </c>
      <c r="AI34" s="399">
        <v>0</v>
      </c>
      <c r="AJ34" s="399">
        <v>0</v>
      </c>
      <c r="AK34" s="399">
        <v>0</v>
      </c>
      <c r="AL34" s="399">
        <v>94.789843282942783</v>
      </c>
      <c r="AM34" s="399"/>
      <c r="AN34" s="399">
        <v>4.0159636946769686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162.34051703569028</v>
      </c>
      <c r="BH34" s="399">
        <v>0</v>
      </c>
      <c r="BI34" s="399">
        <v>0</v>
      </c>
      <c r="BJ34" s="399">
        <v>0</v>
      </c>
      <c r="BK34" s="399">
        <v>2072.56</v>
      </c>
      <c r="BL34" s="399">
        <v>4</v>
      </c>
      <c r="BM34" s="399"/>
      <c r="BN34" s="399"/>
      <c r="BO34" s="399"/>
      <c r="BP34" s="399"/>
      <c r="BQ34" s="399"/>
      <c r="BR34" s="399">
        <v>498.58379999999988</v>
      </c>
      <c r="BS34" s="399"/>
      <c r="BT34" s="399"/>
      <c r="BU34" s="399"/>
      <c r="BV34" s="399">
        <v>1839.2351859312325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3656.6868000000004</v>
      </c>
      <c r="CJ34" s="399">
        <v>-13.516200000000936</v>
      </c>
      <c r="CK34" s="399"/>
      <c r="CL34" s="399"/>
      <c r="CM34" s="399"/>
      <c r="CN34" s="399"/>
      <c r="CO34" s="399">
        <v>-243.56280000000012</v>
      </c>
      <c r="CP34" s="399">
        <v>228.25139999999993</v>
      </c>
      <c r="CQ34" s="399">
        <v>30</v>
      </c>
      <c r="CR34" s="399">
        <v>179.00794123546575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24.354858146026118</v>
      </c>
      <c r="DA34" s="399">
        <v>0</v>
      </c>
      <c r="DB34" s="399">
        <v>0</v>
      </c>
      <c r="DC34" s="399">
        <v>228.30561503552235</v>
      </c>
      <c r="DD34" s="399">
        <v>0</v>
      </c>
      <c r="DE34" s="399">
        <v>0</v>
      </c>
      <c r="DF34" s="399">
        <v>0</v>
      </c>
      <c r="DG34" s="399">
        <v>22.102313445500329</v>
      </c>
      <c r="DH34" s="399">
        <v>0</v>
      </c>
      <c r="DI34" s="399">
        <v>-84.202322027907258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-10.923923852262249</v>
      </c>
      <c r="DP34" s="399">
        <v>-0.62859951141306469</v>
      </c>
      <c r="DQ34" s="399">
        <v>0</v>
      </c>
      <c r="DR34" s="399">
        <v>0</v>
      </c>
      <c r="DS34" s="399"/>
      <c r="DT34" s="399"/>
      <c r="DU34" s="399"/>
      <c r="DV34" s="399">
        <v>898.55332415384692</v>
      </c>
      <c r="DW34" s="399">
        <v>0</v>
      </c>
      <c r="DX34" s="399">
        <v>0</v>
      </c>
      <c r="DY34" s="399">
        <v>-243.56280000000015</v>
      </c>
      <c r="DZ34" s="399">
        <v>228.2514000000001</v>
      </c>
      <c r="EA34" s="399">
        <v>0</v>
      </c>
      <c r="EB34" s="399">
        <v>0</v>
      </c>
      <c r="EC34" s="399">
        <v>-194.26238046424726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116.90402548779007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215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2352</v>
      </c>
      <c r="D35" s="399" t="s">
        <v>533</v>
      </c>
      <c r="E35" s="399" t="s">
        <v>894</v>
      </c>
      <c r="F35" s="399" t="s">
        <v>1239</v>
      </c>
      <c r="G35" s="399" t="s">
        <v>1239</v>
      </c>
      <c r="H35" s="399" t="s">
        <v>1239</v>
      </c>
      <c r="I35" s="399" t="s">
        <v>893</v>
      </c>
      <c r="J35" s="399" t="s">
        <v>2344</v>
      </c>
      <c r="K35" s="791">
        <v>44440</v>
      </c>
      <c r="L35" s="399">
        <v>0</v>
      </c>
      <c r="M35" s="399">
        <v>0</v>
      </c>
      <c r="N35" s="399">
        <v>9.7829999999999995</v>
      </c>
      <c r="O35" s="399">
        <v>9.3916799999999991</v>
      </c>
      <c r="P35" s="399">
        <v>9.7829999999999995</v>
      </c>
      <c r="Q35" s="399">
        <v>9.3916799999999991</v>
      </c>
      <c r="R35" s="399"/>
      <c r="S35" s="399">
        <v>984.21</v>
      </c>
      <c r="T35" s="399">
        <v>171.61</v>
      </c>
      <c r="U35" s="399"/>
      <c r="V35" s="399">
        <v>11307.387060000001</v>
      </c>
      <c r="W35" s="399">
        <v>11307.387060000001</v>
      </c>
      <c r="X35" s="399">
        <v>10544.60655</v>
      </c>
      <c r="Y35" s="399">
        <v>0</v>
      </c>
      <c r="Z35" s="399">
        <v>514.56477049288844</v>
      </c>
      <c r="AA35" s="399">
        <v>0</v>
      </c>
      <c r="AB35" s="399">
        <v>0</v>
      </c>
      <c r="AC35" s="399">
        <v>0</v>
      </c>
      <c r="AD35" s="399">
        <v>3851.6518736067032</v>
      </c>
      <c r="AE35" s="399">
        <v>5009.6993878654066</v>
      </c>
      <c r="AF35" s="399">
        <v>1617.8560696060247</v>
      </c>
      <c r="AG35" s="399">
        <v>61.000497008937643</v>
      </c>
      <c r="AH35" s="399">
        <v>0</v>
      </c>
      <c r="AI35" s="399">
        <v>0</v>
      </c>
      <c r="AJ35" s="399">
        <v>0</v>
      </c>
      <c r="AK35" s="399">
        <v>0</v>
      </c>
      <c r="AL35" s="399">
        <v>91.452567735407214</v>
      </c>
      <c r="AM35" s="399"/>
      <c r="AN35" s="399">
        <v>2.5833036256301707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60.471547989133157</v>
      </c>
      <c r="BH35" s="399">
        <v>0</v>
      </c>
      <c r="BI35" s="399">
        <v>0</v>
      </c>
      <c r="BJ35" s="399">
        <v>0</v>
      </c>
      <c r="BK35" s="399">
        <v>0</v>
      </c>
      <c r="BL35" s="399">
        <v>0</v>
      </c>
      <c r="BM35" s="399"/>
      <c r="BN35" s="399"/>
      <c r="BO35" s="399"/>
      <c r="BP35" s="399"/>
      <c r="BQ35" s="399"/>
      <c r="BR35" s="399">
        <v>421.78426200000035</v>
      </c>
      <c r="BS35" s="399"/>
      <c r="BT35" s="399"/>
      <c r="BU35" s="399"/>
      <c r="BV35" s="399">
        <v>1678.3276175951578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10121.011500000001</v>
      </c>
      <c r="CJ35" s="399">
        <v>-734.1100776000003</v>
      </c>
      <c r="CK35" s="399"/>
      <c r="CL35" s="399"/>
      <c r="CM35" s="399"/>
      <c r="CN35" s="399"/>
      <c r="CO35" s="399">
        <v>-982.99584000000016</v>
      </c>
      <c r="CP35" s="399">
        <v>220.21532999999991</v>
      </c>
      <c r="CQ35" s="399">
        <v>30</v>
      </c>
      <c r="CR35" s="399">
        <v>320.33013835114343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173.4499947920076</v>
      </c>
      <c r="DA35" s="399">
        <v>0</v>
      </c>
      <c r="DB35" s="399">
        <v>0</v>
      </c>
      <c r="DC35" s="399">
        <v>220.26763628131312</v>
      </c>
      <c r="DD35" s="399">
        <v>0</v>
      </c>
      <c r="DE35" s="399">
        <v>0</v>
      </c>
      <c r="DF35" s="399">
        <v>0</v>
      </c>
      <c r="DG35" s="399">
        <v>8.2330716483831878</v>
      </c>
      <c r="DH35" s="399">
        <v>0</v>
      </c>
      <c r="DI35" s="399">
        <v>-70.676888093406092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-10.539324166339412</v>
      </c>
      <c r="DP35" s="399">
        <v>-0.40435211081592115</v>
      </c>
      <c r="DQ35" s="399">
        <v>0</v>
      </c>
      <c r="DR35" s="399">
        <v>0</v>
      </c>
      <c r="DS35" s="399"/>
      <c r="DT35" s="399"/>
      <c r="DU35" s="399"/>
      <c r="DV35" s="399">
        <v>5009.6993878654066</v>
      </c>
      <c r="DW35" s="399">
        <v>0</v>
      </c>
      <c r="DX35" s="399">
        <v>0</v>
      </c>
      <c r="DY35" s="399">
        <v>-982.99583999999959</v>
      </c>
      <c r="DZ35" s="399">
        <v>220.21532999999977</v>
      </c>
      <c r="EA35" s="399">
        <v>0</v>
      </c>
      <c r="EB35" s="399">
        <v>0</v>
      </c>
      <c r="EC35" s="399">
        <v>-1083.0699774144823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98.125711121492174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215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2352</v>
      </c>
      <c r="D36" s="399" t="s">
        <v>533</v>
      </c>
      <c r="E36" s="399" t="s">
        <v>894</v>
      </c>
      <c r="F36" s="399" t="s">
        <v>1239</v>
      </c>
      <c r="G36" s="399" t="s">
        <v>1239</v>
      </c>
      <c r="H36" s="399" t="s">
        <v>1239</v>
      </c>
      <c r="I36" s="399" t="s">
        <v>2326</v>
      </c>
      <c r="J36" s="399" t="s">
        <v>2344</v>
      </c>
      <c r="K36" s="791">
        <v>44440</v>
      </c>
      <c r="L36" s="399">
        <v>0</v>
      </c>
      <c r="M36" s="399">
        <v>0</v>
      </c>
      <c r="N36" s="399">
        <v>169.57400000000001</v>
      </c>
      <c r="O36" s="399">
        <v>162.79104000000001</v>
      </c>
      <c r="P36" s="399">
        <v>169.57400000000001</v>
      </c>
      <c r="Q36" s="399">
        <v>162.79104000000001</v>
      </c>
      <c r="R36" s="399"/>
      <c r="S36" s="399">
        <v>78.42</v>
      </c>
      <c r="T36" s="399">
        <v>171.61</v>
      </c>
      <c r="U36" s="399"/>
      <c r="V36" s="399">
        <v>42398.587220000009</v>
      </c>
      <c r="W36" s="399">
        <v>42398.587220000009</v>
      </c>
      <c r="X36" s="399">
        <v>44943.892960000005</v>
      </c>
      <c r="Y36" s="399">
        <v>0</v>
      </c>
      <c r="Z36" s="399">
        <v>8919.2278842442065</v>
      </c>
      <c r="AA36" s="399">
        <v>0</v>
      </c>
      <c r="AB36" s="399">
        <v>0</v>
      </c>
      <c r="AC36" s="399">
        <v>0</v>
      </c>
      <c r="AD36" s="399">
        <v>0</v>
      </c>
      <c r="AE36" s="399">
        <v>0</v>
      </c>
      <c r="AF36" s="399">
        <v>28043.169288293167</v>
      </c>
      <c r="AG36" s="399">
        <v>1057.3544188688124</v>
      </c>
      <c r="AH36" s="399">
        <v>0</v>
      </c>
      <c r="AI36" s="399">
        <v>0</v>
      </c>
      <c r="AJ36" s="399">
        <v>0</v>
      </c>
      <c r="AK36" s="399">
        <v>0</v>
      </c>
      <c r="AL36" s="399">
        <v>1585.1965369686134</v>
      </c>
      <c r="AM36" s="399"/>
      <c r="AN36" s="399">
        <v>44.777790965206037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1048.1858610558384</v>
      </c>
      <c r="BH36" s="399">
        <v>0</v>
      </c>
      <c r="BI36" s="399">
        <v>0</v>
      </c>
      <c r="BJ36" s="399">
        <v>0</v>
      </c>
      <c r="BK36" s="399">
        <v>0</v>
      </c>
      <c r="BL36" s="399">
        <v>0</v>
      </c>
      <c r="BM36" s="399"/>
      <c r="BN36" s="399"/>
      <c r="BO36" s="399"/>
      <c r="BP36" s="399"/>
      <c r="BQ36" s="399"/>
      <c r="BR36" s="399">
        <v>1797.7557184000007</v>
      </c>
      <c r="BS36" s="399"/>
      <c r="BT36" s="399"/>
      <c r="BU36" s="399"/>
      <c r="BV36" s="399">
        <v>29091.355149349005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43145.861600000004</v>
      </c>
      <c r="CJ36" s="399">
        <v>2443.1878687999997</v>
      </c>
      <c r="CK36" s="399"/>
      <c r="CL36" s="399"/>
      <c r="CM36" s="399"/>
      <c r="CN36" s="399"/>
      <c r="CO36" s="399">
        <v>-1271.8050000000001</v>
      </c>
      <c r="CP36" s="399">
        <v>3817.1107399999987</v>
      </c>
      <c r="CQ36" s="399">
        <v>30</v>
      </c>
      <c r="CR36" s="399">
        <v>2545.952515986588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0</v>
      </c>
      <c r="DA36" s="399">
        <v>0</v>
      </c>
      <c r="DB36" s="399">
        <v>0</v>
      </c>
      <c r="DC36" s="399">
        <v>3818.017392902726</v>
      </c>
      <c r="DD36" s="399">
        <v>0</v>
      </c>
      <c r="DE36" s="399">
        <v>0</v>
      </c>
      <c r="DF36" s="399">
        <v>0</v>
      </c>
      <c r="DG36" s="399">
        <v>142.70825837707571</v>
      </c>
      <c r="DH36" s="399">
        <v>0</v>
      </c>
      <c r="DI36" s="399">
        <v>-1225.0805092048704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-182.6837735033057</v>
      </c>
      <c r="DP36" s="399">
        <v>-7.0088525850453891</v>
      </c>
      <c r="DQ36" s="399">
        <v>0</v>
      </c>
      <c r="DR36" s="399">
        <v>0</v>
      </c>
      <c r="DS36" s="399"/>
      <c r="DT36" s="399"/>
      <c r="DU36" s="399"/>
      <c r="DV36" s="399">
        <v>0</v>
      </c>
      <c r="DW36" s="399">
        <v>0</v>
      </c>
      <c r="DX36" s="399">
        <v>0</v>
      </c>
      <c r="DY36" s="399">
        <v>-1271.8050000000003</v>
      </c>
      <c r="DZ36" s="399">
        <v>3817.1107400000001</v>
      </c>
      <c r="EA36" s="399">
        <v>0</v>
      </c>
      <c r="EB36" s="399">
        <v>0</v>
      </c>
      <c r="EC36" s="399">
        <v>0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1700.8657198932756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215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2352</v>
      </c>
      <c r="D37" s="399" t="s">
        <v>533</v>
      </c>
      <c r="E37" s="399" t="s">
        <v>894</v>
      </c>
      <c r="F37" s="399" t="s">
        <v>1239</v>
      </c>
      <c r="G37" s="399" t="s">
        <v>1239</v>
      </c>
      <c r="H37" s="399" t="s">
        <v>1239</v>
      </c>
      <c r="I37" s="399" t="s">
        <v>1239</v>
      </c>
      <c r="J37" s="399" t="s">
        <v>2344</v>
      </c>
      <c r="K37" s="791">
        <v>44440</v>
      </c>
      <c r="L37" s="399">
        <v>1217</v>
      </c>
      <c r="M37" s="399">
        <v>1168.32</v>
      </c>
      <c r="N37" s="399">
        <v>0</v>
      </c>
      <c r="O37" s="399">
        <v>0</v>
      </c>
      <c r="P37" s="399">
        <v>0</v>
      </c>
      <c r="Q37" s="399">
        <v>0</v>
      </c>
      <c r="R37" s="399">
        <v>12.58</v>
      </c>
      <c r="S37" s="399"/>
      <c r="T37" s="399"/>
      <c r="U37" s="399">
        <v>15309.86</v>
      </c>
      <c r="V37" s="399"/>
      <c r="W37" s="399">
        <v>15309.86</v>
      </c>
      <c r="X37" s="399">
        <v>14105.03</v>
      </c>
      <c r="Y37" s="399">
        <v>0</v>
      </c>
      <c r="Z37" s="399">
        <v>0</v>
      </c>
      <c r="AA37" s="399">
        <v>0</v>
      </c>
      <c r="AB37" s="399">
        <v>0</v>
      </c>
      <c r="AC37" s="399">
        <v>0</v>
      </c>
      <c r="AD37" s="399">
        <v>8065.5937771721792</v>
      </c>
      <c r="AE37" s="399">
        <v>7240.7958839217918</v>
      </c>
      <c r="AF37" s="399"/>
      <c r="AG37" s="399"/>
      <c r="AH37" s="399"/>
      <c r="AI37" s="399">
        <v>0</v>
      </c>
      <c r="AJ37" s="399">
        <v>0</v>
      </c>
      <c r="AK37" s="399">
        <v>0</v>
      </c>
      <c r="AL37" s="399">
        <v>0</v>
      </c>
      <c r="AM37" s="399"/>
      <c r="AN37" s="399">
        <v>0</v>
      </c>
      <c r="AO37" s="399">
        <v>0</v>
      </c>
      <c r="AP37" s="399">
        <v>0</v>
      </c>
      <c r="AQ37" s="399">
        <v>0</v>
      </c>
      <c r="AR37" s="399">
        <v>0</v>
      </c>
      <c r="AS37" s="399"/>
      <c r="AT37" s="399"/>
      <c r="AU37" s="399">
        <v>0</v>
      </c>
      <c r="AV37" s="399">
        <v>0</v>
      </c>
      <c r="AW37" s="399">
        <v>0</v>
      </c>
      <c r="AX37" s="399"/>
      <c r="AY37" s="399"/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/>
      <c r="BG37" s="399">
        <v>0</v>
      </c>
      <c r="BH37" s="399">
        <v>0</v>
      </c>
      <c r="BI37" s="399">
        <v>0</v>
      </c>
      <c r="BJ37" s="399">
        <v>0</v>
      </c>
      <c r="BK37" s="399">
        <v>29575.45</v>
      </c>
      <c r="BL37" s="399">
        <v>11</v>
      </c>
      <c r="BM37" s="399"/>
      <c r="BN37" s="399"/>
      <c r="BO37" s="399"/>
      <c r="BP37" s="399"/>
      <c r="BQ37" s="399"/>
      <c r="BR37" s="399">
        <v>564.20120000000077</v>
      </c>
      <c r="BS37" s="399"/>
      <c r="BT37" s="399"/>
      <c r="BU37" s="399"/>
      <c r="BV37" s="399">
        <v>0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13540.828799999999</v>
      </c>
      <c r="CJ37" s="399">
        <v>-1156.6668000000009</v>
      </c>
      <c r="CK37" s="399"/>
      <c r="CL37" s="399"/>
      <c r="CM37" s="399"/>
      <c r="CN37" s="399"/>
      <c r="CO37" s="399">
        <v>-1204.8300000000002</v>
      </c>
      <c r="CP37" s="399">
        <v>0</v>
      </c>
      <c r="CQ37" s="399">
        <v>30</v>
      </c>
      <c r="CR37" s="399">
        <v>363.21486067610294</v>
      </c>
      <c r="CS37" s="399">
        <v>0</v>
      </c>
      <c r="CT37" s="399">
        <v>0</v>
      </c>
      <c r="CU37" s="399">
        <v>0</v>
      </c>
      <c r="CV37" s="399">
        <v>0</v>
      </c>
      <c r="CW37" s="399"/>
      <c r="CX37" s="399"/>
      <c r="CY37" s="399"/>
      <c r="CZ37" s="399">
        <v>363.21486067610294</v>
      </c>
      <c r="DA37" s="399">
        <v>0</v>
      </c>
      <c r="DB37" s="399">
        <v>0</v>
      </c>
      <c r="DC37" s="399"/>
      <c r="DD37" s="399"/>
      <c r="DE37" s="399">
        <v>0</v>
      </c>
      <c r="DF37" s="399">
        <v>0</v>
      </c>
      <c r="DG37" s="399">
        <v>0</v>
      </c>
      <c r="DH37" s="399">
        <v>0</v>
      </c>
      <c r="DI37" s="399">
        <v>0</v>
      </c>
      <c r="DJ37" s="399"/>
      <c r="DK37" s="399">
        <v>0</v>
      </c>
      <c r="DL37" s="399">
        <v>0</v>
      </c>
      <c r="DM37" s="399"/>
      <c r="DN37" s="399">
        <v>0</v>
      </c>
      <c r="DO37" s="399">
        <v>0</v>
      </c>
      <c r="DP37" s="399">
        <v>0</v>
      </c>
      <c r="DQ37" s="399">
        <v>0</v>
      </c>
      <c r="DR37" s="399">
        <v>0</v>
      </c>
      <c r="DS37" s="399"/>
      <c r="DT37" s="399"/>
      <c r="DU37" s="399">
        <v>7240.7958839217918</v>
      </c>
      <c r="DV37" s="399"/>
      <c r="DW37" s="399">
        <v>0</v>
      </c>
      <c r="DX37" s="399">
        <v>0</v>
      </c>
      <c r="DY37" s="399">
        <v>-1204.83</v>
      </c>
      <c r="DZ37" s="399"/>
      <c r="EA37" s="399">
        <v>0</v>
      </c>
      <c r="EB37" s="399"/>
      <c r="EC37" s="399">
        <v>-1565.4210017985924</v>
      </c>
      <c r="ED37" s="399"/>
      <c r="EE37" s="399">
        <v>0</v>
      </c>
      <c r="EF37" s="399">
        <v>0</v>
      </c>
      <c r="EG37" s="399"/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/>
      <c r="EN37" s="399"/>
      <c r="EO37" s="399">
        <v>0</v>
      </c>
      <c r="EP37" s="399">
        <v>0</v>
      </c>
      <c r="EQ37" s="399"/>
      <c r="ER37" s="399">
        <v>0</v>
      </c>
      <c r="ES37" s="399"/>
      <c r="ET37" s="399">
        <v>0</v>
      </c>
      <c r="EU37" s="399"/>
      <c r="EV37" s="399">
        <v>215</v>
      </c>
      <c r="EW37" s="399"/>
      <c r="EX37" s="399"/>
      <c r="EY37" s="399"/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2343</v>
      </c>
      <c r="D38" s="399" t="s">
        <v>1826</v>
      </c>
      <c r="E38" s="399" t="s">
        <v>2354</v>
      </c>
      <c r="F38" s="399" t="s">
        <v>1239</v>
      </c>
      <c r="G38" s="399" t="s">
        <v>1239</v>
      </c>
      <c r="H38" s="399" t="s">
        <v>1239</v>
      </c>
      <c r="I38" s="399" t="s">
        <v>1239</v>
      </c>
      <c r="J38" s="399" t="s">
        <v>2344</v>
      </c>
      <c r="K38" s="791">
        <v>44440</v>
      </c>
      <c r="L38" s="399">
        <v>0</v>
      </c>
      <c r="M38" s="399">
        <v>0</v>
      </c>
      <c r="N38" s="399">
        <v>35.470999999999997</v>
      </c>
      <c r="O38" s="399">
        <v>35.470999999999997</v>
      </c>
      <c r="P38" s="399">
        <v>35.470999999999997</v>
      </c>
      <c r="Q38" s="399">
        <v>35.470999999999997</v>
      </c>
      <c r="R38" s="399"/>
      <c r="S38" s="399">
        <v>239.69</v>
      </c>
      <c r="T38" s="399">
        <v>171.61</v>
      </c>
      <c r="U38" s="399"/>
      <c r="V38" s="399">
        <v>14589.222299999998</v>
      </c>
      <c r="W38" s="399">
        <v>14589.222299999998</v>
      </c>
      <c r="X38" s="399">
        <v>14535.661089999998</v>
      </c>
      <c r="Y38" s="399">
        <v>0</v>
      </c>
      <c r="Z38" s="399">
        <v>2144.4808639609701</v>
      </c>
      <c r="AA38" s="399">
        <v>0</v>
      </c>
      <c r="AB38" s="399">
        <v>0</v>
      </c>
      <c r="AC38" s="399">
        <v>0</v>
      </c>
      <c r="AD38" s="399">
        <v>1891.8810087048039</v>
      </c>
      <c r="AE38" s="399">
        <v>3143.2529547397535</v>
      </c>
      <c r="AF38" s="399">
        <v>5865.9892308080643</v>
      </c>
      <c r="AG38" s="399">
        <v>221.17434625411704</v>
      </c>
      <c r="AH38" s="399">
        <v>0</v>
      </c>
      <c r="AI38" s="399">
        <v>0</v>
      </c>
      <c r="AJ38" s="399">
        <v>0</v>
      </c>
      <c r="AK38" s="399">
        <v>0</v>
      </c>
      <c r="AL38" s="399">
        <v>331.5868373855289</v>
      </c>
      <c r="AM38" s="399"/>
      <c r="AN38" s="399">
        <v>14.04834795008745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567.88762127938548</v>
      </c>
      <c r="BH38" s="399">
        <v>0</v>
      </c>
      <c r="BI38" s="399">
        <v>0</v>
      </c>
      <c r="BJ38" s="399">
        <v>0</v>
      </c>
      <c r="BK38" s="399">
        <v>5373.08</v>
      </c>
      <c r="BL38" s="399">
        <v>45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6433.8768520874501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14535.2513</v>
      </c>
      <c r="CJ38" s="399">
        <v>-54.000999999998385</v>
      </c>
      <c r="CK38" s="399"/>
      <c r="CL38" s="399"/>
      <c r="CM38" s="399"/>
      <c r="CN38" s="399"/>
      <c r="CO38" s="399">
        <v>-852.01342000000022</v>
      </c>
      <c r="CP38" s="399">
        <v>798.45220999999958</v>
      </c>
      <c r="CQ38" s="399">
        <v>30</v>
      </c>
      <c r="CR38" s="399">
        <v>626.19237510485618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85.196368175314547</v>
      </c>
      <c r="DA38" s="399">
        <v>0</v>
      </c>
      <c r="DB38" s="399">
        <v>0</v>
      </c>
      <c r="DC38" s="399">
        <v>798.64186103796965</v>
      </c>
      <c r="DD38" s="399">
        <v>0</v>
      </c>
      <c r="DE38" s="399">
        <v>0</v>
      </c>
      <c r="DF38" s="399">
        <v>0</v>
      </c>
      <c r="DG38" s="399">
        <v>77.316682467982446</v>
      </c>
      <c r="DH38" s="399">
        <v>0</v>
      </c>
      <c r="DI38" s="399">
        <v>-294.55035154357961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-38.213264592070459</v>
      </c>
      <c r="DP38" s="399">
        <v>-2.1989204407626062</v>
      </c>
      <c r="DQ38" s="399">
        <v>0</v>
      </c>
      <c r="DR38" s="399">
        <v>0</v>
      </c>
      <c r="DS38" s="399"/>
      <c r="DT38" s="399"/>
      <c r="DU38" s="399"/>
      <c r="DV38" s="399">
        <v>3143.2529547397535</v>
      </c>
      <c r="DW38" s="399">
        <v>0</v>
      </c>
      <c r="DX38" s="399">
        <v>0</v>
      </c>
      <c r="DY38" s="399">
        <v>-852.01341999999931</v>
      </c>
      <c r="DZ38" s="399">
        <v>798.45220999999947</v>
      </c>
      <c r="EA38" s="399">
        <v>0</v>
      </c>
      <c r="EB38" s="399">
        <v>0</v>
      </c>
      <c r="EC38" s="399">
        <v>-679.55432913681625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408.94503827193302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215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2352</v>
      </c>
      <c r="D39" s="399" t="s">
        <v>533</v>
      </c>
      <c r="E39" s="399" t="s">
        <v>2354</v>
      </c>
      <c r="F39" s="399" t="s">
        <v>1239</v>
      </c>
      <c r="G39" s="399" t="s">
        <v>1239</v>
      </c>
      <c r="H39" s="399" t="s">
        <v>1239</v>
      </c>
      <c r="I39" s="399" t="s">
        <v>893</v>
      </c>
      <c r="J39" s="399" t="s">
        <v>2344</v>
      </c>
      <c r="K39" s="791">
        <v>44440</v>
      </c>
      <c r="L39" s="399">
        <v>0</v>
      </c>
      <c r="M39" s="399">
        <v>0</v>
      </c>
      <c r="N39" s="399">
        <v>0.83699999999999997</v>
      </c>
      <c r="O39" s="399">
        <v>0.83699999999999997</v>
      </c>
      <c r="P39" s="399">
        <v>0.83699999999999997</v>
      </c>
      <c r="Q39" s="399">
        <v>0.83699999999999997</v>
      </c>
      <c r="R39" s="399"/>
      <c r="S39" s="399">
        <v>984.21</v>
      </c>
      <c r="T39" s="399">
        <v>171.61</v>
      </c>
      <c r="U39" s="399"/>
      <c r="V39" s="399">
        <v>967.42133999999999</v>
      </c>
      <c r="W39" s="399">
        <v>967.42133999999999</v>
      </c>
      <c r="X39" s="399">
        <v>902.16044999999997</v>
      </c>
      <c r="Y39" s="399">
        <v>0</v>
      </c>
      <c r="Z39" s="399">
        <v>44.024400787340042</v>
      </c>
      <c r="AA39" s="399">
        <v>0</v>
      </c>
      <c r="AB39" s="399">
        <v>0</v>
      </c>
      <c r="AC39" s="399">
        <v>0</v>
      </c>
      <c r="AD39" s="399">
        <v>329.53415293967191</v>
      </c>
      <c r="AE39" s="399">
        <v>428.61273511635954</v>
      </c>
      <c r="AF39" s="399">
        <v>138.41822858634802</v>
      </c>
      <c r="AG39" s="399">
        <v>5.2189937643341313</v>
      </c>
      <c r="AH39" s="399">
        <v>0</v>
      </c>
      <c r="AI39" s="399">
        <v>0</v>
      </c>
      <c r="AJ39" s="399">
        <v>0</v>
      </c>
      <c r="AK39" s="399">
        <v>0</v>
      </c>
      <c r="AL39" s="399">
        <v>7.8243687206926138</v>
      </c>
      <c r="AM39" s="399"/>
      <c r="AN39" s="399">
        <v>0.22101861746421886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5.1737386964023768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143.5919672827504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905.39400000000001</v>
      </c>
      <c r="CJ39" s="399">
        <v>-62.057339999999954</v>
      </c>
      <c r="CK39" s="399"/>
      <c r="CL39" s="399"/>
      <c r="CM39" s="399"/>
      <c r="CN39" s="399"/>
      <c r="CO39" s="399">
        <v>-84.101760000000013</v>
      </c>
      <c r="CP39" s="399">
        <v>18.840869999999992</v>
      </c>
      <c r="CQ39" s="399">
        <v>30</v>
      </c>
      <c r="CR39" s="399">
        <v>27.40635038330845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14.83978796288568</v>
      </c>
      <c r="DA39" s="399">
        <v>0</v>
      </c>
      <c r="DB39" s="399">
        <v>0</v>
      </c>
      <c r="DC39" s="399">
        <v>18.845345146423284</v>
      </c>
      <c r="DD39" s="399">
        <v>0</v>
      </c>
      <c r="DE39" s="399">
        <v>0</v>
      </c>
      <c r="DF39" s="399">
        <v>0</v>
      </c>
      <c r="DG39" s="399">
        <v>0.70439343449828495</v>
      </c>
      <c r="DH39" s="399">
        <v>0</v>
      </c>
      <c r="DI39" s="399">
        <v>-6.046872670365012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-0.9017085073317066</v>
      </c>
      <c r="DP39" s="399">
        <v>-3.4594982802098134E-2</v>
      </c>
      <c r="DQ39" s="399">
        <v>0</v>
      </c>
      <c r="DR39" s="399">
        <v>0</v>
      </c>
      <c r="DS39" s="399"/>
      <c r="DT39" s="399"/>
      <c r="DU39" s="399"/>
      <c r="DV39" s="399">
        <v>428.61273511635954</v>
      </c>
      <c r="DW39" s="399">
        <v>0</v>
      </c>
      <c r="DX39" s="399">
        <v>0</v>
      </c>
      <c r="DY39" s="399">
        <v>-84.101760000000013</v>
      </c>
      <c r="DZ39" s="399">
        <v>18.840869999999995</v>
      </c>
      <c r="EA39" s="399">
        <v>0</v>
      </c>
      <c r="EB39" s="399">
        <v>0</v>
      </c>
      <c r="EC39" s="399">
        <v>-92.663760717154446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8.3953000315536084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215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2352</v>
      </c>
      <c r="D40" s="399" t="s">
        <v>533</v>
      </c>
      <c r="E40" s="399" t="s">
        <v>2354</v>
      </c>
      <c r="F40" s="399" t="s">
        <v>1239</v>
      </c>
      <c r="G40" s="399" t="s">
        <v>1239</v>
      </c>
      <c r="H40" s="399" t="s">
        <v>1239</v>
      </c>
      <c r="I40" s="399" t="s">
        <v>2326</v>
      </c>
      <c r="J40" s="399" t="s">
        <v>2344</v>
      </c>
      <c r="K40" s="791">
        <v>44440</v>
      </c>
      <c r="L40" s="399">
        <v>0</v>
      </c>
      <c r="M40" s="399">
        <v>0</v>
      </c>
      <c r="N40" s="399">
        <v>10.974</v>
      </c>
      <c r="O40" s="399">
        <v>10.974</v>
      </c>
      <c r="P40" s="399">
        <v>10.974</v>
      </c>
      <c r="Q40" s="399">
        <v>10.974</v>
      </c>
      <c r="R40" s="399"/>
      <c r="S40" s="399">
        <v>78.42</v>
      </c>
      <c r="T40" s="399">
        <v>171.61</v>
      </c>
      <c r="U40" s="399"/>
      <c r="V40" s="399">
        <v>2743.8292200000001</v>
      </c>
      <c r="W40" s="399">
        <v>2743.8292200000001</v>
      </c>
      <c r="X40" s="399">
        <v>2908.5489600000001</v>
      </c>
      <c r="Y40" s="399">
        <v>0</v>
      </c>
      <c r="Z40" s="399">
        <v>577.20881032290276</v>
      </c>
      <c r="AA40" s="399">
        <v>0</v>
      </c>
      <c r="AB40" s="399">
        <v>0</v>
      </c>
      <c r="AC40" s="399">
        <v>0</v>
      </c>
      <c r="AD40" s="399">
        <v>0</v>
      </c>
      <c r="AE40" s="399">
        <v>0</v>
      </c>
      <c r="AF40" s="399">
        <v>1814.8167747987852</v>
      </c>
      <c r="AG40" s="399">
        <v>68.42680713238083</v>
      </c>
      <c r="AH40" s="399">
        <v>0</v>
      </c>
      <c r="AI40" s="399">
        <v>0</v>
      </c>
      <c r="AJ40" s="399">
        <v>0</v>
      </c>
      <c r="AK40" s="399">
        <v>0</v>
      </c>
      <c r="AL40" s="399">
        <v>102.58616767130317</v>
      </c>
      <c r="AM40" s="399"/>
      <c r="AN40" s="399">
        <v>2.8977996511975364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67.833462908386721</v>
      </c>
      <c r="BH40" s="399">
        <v>0</v>
      </c>
      <c r="BI40" s="399">
        <v>0</v>
      </c>
      <c r="BJ40" s="399">
        <v>0</v>
      </c>
      <c r="BK40" s="399">
        <v>0</v>
      </c>
      <c r="BL40" s="399">
        <v>0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1882.650237707172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2907.4888000000001</v>
      </c>
      <c r="CJ40" s="399">
        <v>163.62957999999981</v>
      </c>
      <c r="CK40" s="399"/>
      <c r="CL40" s="399"/>
      <c r="CM40" s="399"/>
      <c r="CN40" s="399"/>
      <c r="CO40" s="399">
        <v>-82.305000000000007</v>
      </c>
      <c r="CP40" s="399">
        <v>247.02473999999989</v>
      </c>
      <c r="CQ40" s="399">
        <v>30</v>
      </c>
      <c r="CR40" s="399">
        <v>164.76159617887652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0</v>
      </c>
      <c r="DA40" s="399">
        <v>0</v>
      </c>
      <c r="DB40" s="399">
        <v>0</v>
      </c>
      <c r="DC40" s="399">
        <v>247.08341414199435</v>
      </c>
      <c r="DD40" s="399">
        <v>0</v>
      </c>
      <c r="DE40" s="399">
        <v>0</v>
      </c>
      <c r="DF40" s="399">
        <v>0</v>
      </c>
      <c r="DG40" s="399">
        <v>9.2353805856441937</v>
      </c>
      <c r="DH40" s="399">
        <v>0</v>
      </c>
      <c r="DI40" s="399">
        <v>-79.281219455896746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-11.82240042946016</v>
      </c>
      <c r="DP40" s="399">
        <v>-0.45357866340528696</v>
      </c>
      <c r="DQ40" s="399">
        <v>0</v>
      </c>
      <c r="DR40" s="399">
        <v>0</v>
      </c>
      <c r="DS40" s="399"/>
      <c r="DT40" s="399"/>
      <c r="DU40" s="399"/>
      <c r="DV40" s="399">
        <v>0</v>
      </c>
      <c r="DW40" s="399">
        <v>0</v>
      </c>
      <c r="DX40" s="399">
        <v>0</v>
      </c>
      <c r="DY40" s="399">
        <v>-82.305000000000064</v>
      </c>
      <c r="DZ40" s="399">
        <v>247.02473999999984</v>
      </c>
      <c r="EA40" s="399">
        <v>0</v>
      </c>
      <c r="EB40" s="399">
        <v>0</v>
      </c>
      <c r="EC40" s="399">
        <v>0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110.07171152481398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215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2352</v>
      </c>
      <c r="D41" s="399" t="s">
        <v>533</v>
      </c>
      <c r="E41" s="399" t="s">
        <v>2354</v>
      </c>
      <c r="F41" s="399" t="s">
        <v>1239</v>
      </c>
      <c r="G41" s="399" t="s">
        <v>1239</v>
      </c>
      <c r="H41" s="399" t="s">
        <v>1239</v>
      </c>
      <c r="I41" s="399" t="s">
        <v>1239</v>
      </c>
      <c r="J41" s="399" t="s">
        <v>2344</v>
      </c>
      <c r="K41" s="791">
        <v>44440</v>
      </c>
      <c r="L41" s="399">
        <v>155</v>
      </c>
      <c r="M41" s="399">
        <v>155</v>
      </c>
      <c r="N41" s="399">
        <v>0</v>
      </c>
      <c r="O41" s="399">
        <v>0</v>
      </c>
      <c r="P41" s="399">
        <v>0</v>
      </c>
      <c r="Q41" s="399">
        <v>0</v>
      </c>
      <c r="R41" s="399">
        <v>12.58</v>
      </c>
      <c r="S41" s="399"/>
      <c r="T41" s="399"/>
      <c r="U41" s="399">
        <v>1949.9</v>
      </c>
      <c r="V41" s="399"/>
      <c r="W41" s="399">
        <v>1949.9</v>
      </c>
      <c r="X41" s="399">
        <v>1796.45</v>
      </c>
      <c r="Y41" s="399">
        <v>0</v>
      </c>
      <c r="Z41" s="399">
        <v>0</v>
      </c>
      <c r="AA41" s="399">
        <v>0</v>
      </c>
      <c r="AB41" s="399">
        <v>0</v>
      </c>
      <c r="AC41" s="399">
        <v>0</v>
      </c>
      <c r="AD41" s="399">
        <v>1027.2531104861855</v>
      </c>
      <c r="AE41" s="399">
        <v>922.20489893827255</v>
      </c>
      <c r="AF41" s="399"/>
      <c r="AG41" s="399"/>
      <c r="AH41" s="399"/>
      <c r="AI41" s="399">
        <v>0</v>
      </c>
      <c r="AJ41" s="399">
        <v>0</v>
      </c>
      <c r="AK41" s="399">
        <v>0</v>
      </c>
      <c r="AL41" s="399">
        <v>0</v>
      </c>
      <c r="AM41" s="399"/>
      <c r="AN41" s="399">
        <v>0</v>
      </c>
      <c r="AO41" s="399">
        <v>0</v>
      </c>
      <c r="AP41" s="399">
        <v>0</v>
      </c>
      <c r="AQ41" s="399">
        <v>0</v>
      </c>
      <c r="AR41" s="399">
        <v>0</v>
      </c>
      <c r="AS41" s="399"/>
      <c r="AT41" s="399"/>
      <c r="AU41" s="399">
        <v>0</v>
      </c>
      <c r="AV41" s="399">
        <v>0</v>
      </c>
      <c r="AW41" s="399">
        <v>0</v>
      </c>
      <c r="AX41" s="399"/>
      <c r="AY41" s="399"/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/>
      <c r="BG41" s="399">
        <v>0</v>
      </c>
      <c r="BH41" s="399">
        <v>0</v>
      </c>
      <c r="BI41" s="399">
        <v>0</v>
      </c>
      <c r="BJ41" s="399">
        <v>0</v>
      </c>
      <c r="BK41" s="399">
        <v>1008.05</v>
      </c>
      <c r="BL41" s="399">
        <v>3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0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1796.45</v>
      </c>
      <c r="CJ41" s="399">
        <v>-153.48000000000002</v>
      </c>
      <c r="CK41" s="399"/>
      <c r="CL41" s="399"/>
      <c r="CM41" s="399"/>
      <c r="CN41" s="399"/>
      <c r="CO41" s="399">
        <v>-153.45000000000005</v>
      </c>
      <c r="CP41" s="399">
        <v>0</v>
      </c>
      <c r="CQ41" s="399">
        <v>30</v>
      </c>
      <c r="CR41" s="399">
        <v>46.259904194573437</v>
      </c>
      <c r="CS41" s="399">
        <v>0</v>
      </c>
      <c r="CT41" s="399">
        <v>0</v>
      </c>
      <c r="CU41" s="399">
        <v>0</v>
      </c>
      <c r="CV41" s="399">
        <v>0</v>
      </c>
      <c r="CW41" s="399"/>
      <c r="CX41" s="399"/>
      <c r="CY41" s="399"/>
      <c r="CZ41" s="399">
        <v>46.259904194573437</v>
      </c>
      <c r="DA41" s="399">
        <v>0</v>
      </c>
      <c r="DB41" s="399">
        <v>0</v>
      </c>
      <c r="DC41" s="399"/>
      <c r="DD41" s="399"/>
      <c r="DE41" s="399">
        <v>0</v>
      </c>
      <c r="DF41" s="399">
        <v>0</v>
      </c>
      <c r="DG41" s="399">
        <v>0</v>
      </c>
      <c r="DH41" s="399">
        <v>0</v>
      </c>
      <c r="DI41" s="399">
        <v>0</v>
      </c>
      <c r="DJ41" s="399"/>
      <c r="DK41" s="399">
        <v>0</v>
      </c>
      <c r="DL41" s="399">
        <v>0</v>
      </c>
      <c r="DM41" s="399"/>
      <c r="DN41" s="399">
        <v>0</v>
      </c>
      <c r="DO41" s="399">
        <v>0</v>
      </c>
      <c r="DP41" s="399">
        <v>0</v>
      </c>
      <c r="DQ41" s="399">
        <v>0</v>
      </c>
      <c r="DR41" s="399">
        <v>0</v>
      </c>
      <c r="DS41" s="399"/>
      <c r="DT41" s="399"/>
      <c r="DU41" s="399">
        <v>922.20489893827255</v>
      </c>
      <c r="DV41" s="399"/>
      <c r="DW41" s="399">
        <v>0</v>
      </c>
      <c r="DX41" s="399">
        <v>0</v>
      </c>
      <c r="DY41" s="399">
        <v>-153.45000000000005</v>
      </c>
      <c r="DZ41" s="399"/>
      <c r="EA41" s="399">
        <v>0</v>
      </c>
      <c r="EB41" s="399"/>
      <c r="EC41" s="399">
        <v>-199.37572331863748</v>
      </c>
      <c r="ED41" s="399"/>
      <c r="EE41" s="399">
        <v>0</v>
      </c>
      <c r="EF41" s="399">
        <v>0</v>
      </c>
      <c r="EG41" s="399"/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/>
      <c r="EN41" s="399"/>
      <c r="EO41" s="399">
        <v>0</v>
      </c>
      <c r="EP41" s="399">
        <v>0</v>
      </c>
      <c r="EQ41" s="399"/>
      <c r="ER41" s="399">
        <v>0</v>
      </c>
      <c r="ES41" s="399"/>
      <c r="ET41" s="399">
        <v>0</v>
      </c>
      <c r="EU41" s="399"/>
      <c r="EV41" s="399">
        <v>215</v>
      </c>
      <c r="EW41" s="399"/>
      <c r="EX41" s="399"/>
      <c r="EY41" s="399"/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956</v>
      </c>
      <c r="C42" s="399" t="s">
        <v>2343</v>
      </c>
      <c r="D42" s="399" t="s">
        <v>2355</v>
      </c>
      <c r="E42" s="399" t="s">
        <v>2356</v>
      </c>
      <c r="F42" s="399" t="s">
        <v>2357</v>
      </c>
      <c r="G42" s="399" t="s">
        <v>1239</v>
      </c>
      <c r="H42" s="399" t="s">
        <v>1239</v>
      </c>
      <c r="I42" s="399" t="s">
        <v>1239</v>
      </c>
      <c r="J42" s="399" t="s">
        <v>2344</v>
      </c>
      <c r="K42" s="791">
        <v>44440</v>
      </c>
      <c r="L42" s="399">
        <v>0</v>
      </c>
      <c r="M42" s="399">
        <v>0</v>
      </c>
      <c r="N42" s="399">
        <v>97.701999999999998</v>
      </c>
      <c r="O42" s="399">
        <v>97.701999999999998</v>
      </c>
      <c r="P42" s="399">
        <v>97.701999999999998</v>
      </c>
      <c r="Q42" s="399">
        <v>97.701999999999998</v>
      </c>
      <c r="R42" s="399"/>
      <c r="S42" s="399">
        <v>131.83000000000001</v>
      </c>
      <c r="T42" s="399">
        <v>94.39</v>
      </c>
      <c r="U42" s="399"/>
      <c r="V42" s="399">
        <v>22102.146440000004</v>
      </c>
      <c r="W42" s="399">
        <v>22102.146440000004</v>
      </c>
      <c r="X42" s="399">
        <v>22021.053779999998</v>
      </c>
      <c r="Y42" s="399">
        <v>0</v>
      </c>
      <c r="Z42" s="399">
        <v>3248.7394816580663</v>
      </c>
      <c r="AA42" s="399">
        <v>0</v>
      </c>
      <c r="AB42" s="399">
        <v>0</v>
      </c>
      <c r="AC42" s="399">
        <v>0</v>
      </c>
      <c r="AD42" s="399">
        <v>2866.0682549649637</v>
      </c>
      <c r="AE42" s="399">
        <v>4761.8097911305213</v>
      </c>
      <c r="AF42" s="399">
        <v>8886.5660372029415</v>
      </c>
      <c r="AG42" s="399">
        <v>335.06376442011407</v>
      </c>
      <c r="AH42" s="399">
        <v>0</v>
      </c>
      <c r="AI42" s="399">
        <v>0</v>
      </c>
      <c r="AJ42" s="399">
        <v>0</v>
      </c>
      <c r="AK42" s="399">
        <v>0</v>
      </c>
      <c r="AL42" s="399">
        <v>502.33101554600984</v>
      </c>
      <c r="AM42" s="399"/>
      <c r="AN42" s="399">
        <v>21.282270877074083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860.31028180291332</v>
      </c>
      <c r="BH42" s="399">
        <v>0</v>
      </c>
      <c r="BI42" s="399">
        <v>0</v>
      </c>
      <c r="BJ42" s="399">
        <v>0</v>
      </c>
      <c r="BK42" s="399">
        <v>11214.05</v>
      </c>
      <c r="BL42" s="399">
        <v>7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9746.8763190058544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22020.603000000003</v>
      </c>
      <c r="CJ42" s="399">
        <v>-81.573439999996481</v>
      </c>
      <c r="CK42" s="399"/>
      <c r="CL42" s="399"/>
      <c r="CM42" s="399"/>
      <c r="CN42" s="399"/>
      <c r="CO42" s="399">
        <v>-1290.6434200000008</v>
      </c>
      <c r="CP42" s="399">
        <v>1209.5507599999996</v>
      </c>
      <c r="CQ42" s="399">
        <v>30</v>
      </c>
      <c r="CR42" s="399">
        <v>948.63793205357069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129.06657720124667</v>
      </c>
      <c r="DA42" s="399">
        <v>0</v>
      </c>
      <c r="DB42" s="399">
        <v>0</v>
      </c>
      <c r="DC42" s="399">
        <v>1209.8869191430422</v>
      </c>
      <c r="DD42" s="399">
        <v>0</v>
      </c>
      <c r="DE42" s="399">
        <v>0</v>
      </c>
      <c r="DF42" s="399">
        <v>0</v>
      </c>
      <c r="DG42" s="399">
        <v>117.12940094070711</v>
      </c>
      <c r="DH42" s="399">
        <v>0</v>
      </c>
      <c r="DI42" s="399">
        <v>-446.22331328637438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-57.89044028772679</v>
      </c>
      <c r="DP42" s="399">
        <v>-3.3312116573218375</v>
      </c>
      <c r="DQ42" s="399">
        <v>0</v>
      </c>
      <c r="DR42" s="399">
        <v>0</v>
      </c>
      <c r="DS42" s="399"/>
      <c r="DT42" s="399"/>
      <c r="DU42" s="399"/>
      <c r="DV42" s="399">
        <v>4761.8097911305213</v>
      </c>
      <c r="DW42" s="399">
        <v>0</v>
      </c>
      <c r="DX42" s="399">
        <v>0</v>
      </c>
      <c r="DY42" s="399">
        <v>-1290.6434200000022</v>
      </c>
      <c r="DZ42" s="399">
        <v>1209.5507599999983</v>
      </c>
      <c r="EA42" s="399">
        <v>0</v>
      </c>
      <c r="EB42" s="399">
        <v>0</v>
      </c>
      <c r="EC42" s="399">
        <v>-1029.4775841089513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619.5233140053665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215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956</v>
      </c>
      <c r="C43" s="399" t="s">
        <v>2343</v>
      </c>
      <c r="D43" s="399" t="s">
        <v>1826</v>
      </c>
      <c r="E43" s="399" t="s">
        <v>921</v>
      </c>
      <c r="F43" s="399" t="s">
        <v>2358</v>
      </c>
      <c r="G43" s="399" t="s">
        <v>1239</v>
      </c>
      <c r="H43" s="399" t="s">
        <v>1239</v>
      </c>
      <c r="I43" s="399" t="s">
        <v>1239</v>
      </c>
      <c r="J43" s="399" t="s">
        <v>2344</v>
      </c>
      <c r="K43" s="791">
        <v>44440</v>
      </c>
      <c r="L43" s="399">
        <v>0</v>
      </c>
      <c r="M43" s="399">
        <v>0</v>
      </c>
      <c r="N43" s="399">
        <v>32.779000000000003</v>
      </c>
      <c r="O43" s="399">
        <v>30.812260000000002</v>
      </c>
      <c r="P43" s="399">
        <v>32.779000000000003</v>
      </c>
      <c r="Q43" s="399">
        <v>30.812260000000002</v>
      </c>
      <c r="R43" s="399"/>
      <c r="S43" s="399">
        <v>239.69</v>
      </c>
      <c r="T43" s="399">
        <v>171.61</v>
      </c>
      <c r="U43" s="399"/>
      <c r="V43" s="399">
        <v>13482.002700000001</v>
      </c>
      <c r="W43" s="399">
        <v>13482.002700000001</v>
      </c>
      <c r="X43" s="399">
        <v>13432.506410000002</v>
      </c>
      <c r="Y43" s="399">
        <v>0</v>
      </c>
      <c r="Z43" s="399">
        <v>1981.729814208132</v>
      </c>
      <c r="AA43" s="399">
        <v>0</v>
      </c>
      <c r="AB43" s="399">
        <v>0</v>
      </c>
      <c r="AC43" s="399">
        <v>0</v>
      </c>
      <c r="AD43" s="399">
        <v>1748.3005154727744</v>
      </c>
      <c r="AE43" s="399">
        <v>2904.7021116803699</v>
      </c>
      <c r="AF43" s="399">
        <v>5420.8018098350085</v>
      </c>
      <c r="AG43" s="399">
        <v>204.38876535377361</v>
      </c>
      <c r="AH43" s="399">
        <v>0</v>
      </c>
      <c r="AI43" s="399">
        <v>0</v>
      </c>
      <c r="AJ43" s="399">
        <v>0</v>
      </c>
      <c r="AK43" s="399">
        <v>0</v>
      </c>
      <c r="AL43" s="399">
        <v>306.4217231727398</v>
      </c>
      <c r="AM43" s="399"/>
      <c r="AN43" s="399">
        <v>12.982176917930609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524.78893569160664</v>
      </c>
      <c r="BH43" s="399">
        <v>0</v>
      </c>
      <c r="BI43" s="399">
        <v>0</v>
      </c>
      <c r="BJ43" s="399">
        <v>0</v>
      </c>
      <c r="BK43" s="399">
        <v>5483.49</v>
      </c>
      <c r="BL43" s="399">
        <v>40</v>
      </c>
      <c r="BM43" s="399"/>
      <c r="BN43" s="399"/>
      <c r="BO43" s="399"/>
      <c r="BP43" s="399"/>
      <c r="BQ43" s="399">
        <v>805.95038460000058</v>
      </c>
      <c r="BR43" s="399"/>
      <c r="BS43" s="399"/>
      <c r="BT43" s="399"/>
      <c r="BU43" s="399"/>
      <c r="BV43" s="399">
        <v>5945.5907455266151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12625.6299</v>
      </c>
      <c r="CJ43" s="399">
        <v>-47.482638000003135</v>
      </c>
      <c r="CK43" s="399"/>
      <c r="CL43" s="399"/>
      <c r="CM43" s="399"/>
      <c r="CN43" s="399"/>
      <c r="CO43" s="399">
        <v>-787.35158000000047</v>
      </c>
      <c r="CP43" s="399">
        <v>737.85528999999974</v>
      </c>
      <c r="CQ43" s="399">
        <v>30</v>
      </c>
      <c r="CR43" s="399">
        <v>578.66876782616964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78.7305616537069</v>
      </c>
      <c r="DA43" s="399">
        <v>0</v>
      </c>
      <c r="DB43" s="399">
        <v>0</v>
      </c>
      <c r="DC43" s="399">
        <v>738.03054785496897</v>
      </c>
      <c r="DD43" s="399">
        <v>0</v>
      </c>
      <c r="DE43" s="399">
        <v>0</v>
      </c>
      <c r="DF43" s="399">
        <v>0</v>
      </c>
      <c r="DG43" s="399">
        <v>71.448888799808287</v>
      </c>
      <c r="DH43" s="399">
        <v>0</v>
      </c>
      <c r="DI43" s="399">
        <v>-272.19604672118066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-35.313145952002401</v>
      </c>
      <c r="DP43" s="399">
        <v>-2.0320378091330227</v>
      </c>
      <c r="DQ43" s="399">
        <v>0</v>
      </c>
      <c r="DR43" s="399">
        <v>0</v>
      </c>
      <c r="DS43" s="399"/>
      <c r="DT43" s="399"/>
      <c r="DU43" s="399"/>
      <c r="DV43" s="399">
        <v>2904.7021116803699</v>
      </c>
      <c r="DW43" s="399">
        <v>0</v>
      </c>
      <c r="DX43" s="399">
        <v>0</v>
      </c>
      <c r="DY43" s="399">
        <v>-787.35158000000047</v>
      </c>
      <c r="DZ43" s="399">
        <v>737.85528999999951</v>
      </c>
      <c r="EA43" s="399">
        <v>0</v>
      </c>
      <c r="EB43" s="399">
        <v>0</v>
      </c>
      <c r="EC43" s="399">
        <v>-627.98092398792551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377.90897943434624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215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2343</v>
      </c>
      <c r="D44" s="399" t="s">
        <v>1826</v>
      </c>
      <c r="E44" s="399" t="s">
        <v>2359</v>
      </c>
      <c r="F44" s="399" t="s">
        <v>1239</v>
      </c>
      <c r="G44" s="399" t="s">
        <v>1239</v>
      </c>
      <c r="H44" s="399" t="s">
        <v>1239</v>
      </c>
      <c r="I44" s="399" t="s">
        <v>1239</v>
      </c>
      <c r="J44" s="399" t="s">
        <v>2344</v>
      </c>
      <c r="K44" s="791">
        <v>44440</v>
      </c>
      <c r="L44" s="399">
        <v>0</v>
      </c>
      <c r="M44" s="399">
        <v>0</v>
      </c>
      <c r="N44" s="399">
        <v>9.2200000000000006</v>
      </c>
      <c r="O44" s="399">
        <v>9.2200000000000006</v>
      </c>
      <c r="P44" s="399">
        <v>9.2200000000000006</v>
      </c>
      <c r="Q44" s="399">
        <v>9.2200000000000006</v>
      </c>
      <c r="R44" s="399"/>
      <c r="S44" s="399">
        <v>239.69</v>
      </c>
      <c r="T44" s="399">
        <v>171.61</v>
      </c>
      <c r="U44" s="399"/>
      <c r="V44" s="399">
        <v>3792.1860000000006</v>
      </c>
      <c r="W44" s="399">
        <v>3792.1860000000006</v>
      </c>
      <c r="X44" s="399">
        <v>3778.2638000000002</v>
      </c>
      <c r="Y44" s="399">
        <v>0</v>
      </c>
      <c r="Z44" s="399">
        <v>557.41629967354027</v>
      </c>
      <c r="AA44" s="399">
        <v>0</v>
      </c>
      <c r="AB44" s="399">
        <v>0</v>
      </c>
      <c r="AC44" s="399">
        <v>0</v>
      </c>
      <c r="AD44" s="399">
        <v>491.75785572039962</v>
      </c>
      <c r="AE44" s="399">
        <v>817.0277760057661</v>
      </c>
      <c r="AF44" s="399">
        <v>1524.7503794099507</v>
      </c>
      <c r="AG44" s="399">
        <v>57.489991047981711</v>
      </c>
      <c r="AH44" s="399">
        <v>0</v>
      </c>
      <c r="AI44" s="399">
        <v>0</v>
      </c>
      <c r="AJ44" s="399">
        <v>0</v>
      </c>
      <c r="AK44" s="399">
        <v>0</v>
      </c>
      <c r="AL44" s="399">
        <v>86.189581367725097</v>
      </c>
      <c r="AM44" s="399"/>
      <c r="AN44" s="399">
        <v>3.6515961799725498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147.61139714685052</v>
      </c>
      <c r="BH44" s="399">
        <v>0</v>
      </c>
      <c r="BI44" s="399">
        <v>0</v>
      </c>
      <c r="BJ44" s="399">
        <v>0</v>
      </c>
      <c r="BK44" s="399">
        <v>1540.71</v>
      </c>
      <c r="BL44" s="399">
        <v>4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>
        <v>1672.3617765568013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3778.2638000000002</v>
      </c>
      <c r="CJ44" s="399">
        <v>-13.952200000001085</v>
      </c>
      <c r="CK44" s="399"/>
      <c r="CL44" s="399"/>
      <c r="CM44" s="399"/>
      <c r="CN44" s="399"/>
      <c r="CO44" s="399">
        <v>-221.4644000000001</v>
      </c>
      <c r="CP44" s="399">
        <v>207.54219999999992</v>
      </c>
      <c r="CQ44" s="399">
        <v>30</v>
      </c>
      <c r="CR44" s="399">
        <v>162.76658956518759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22.145147150528544</v>
      </c>
      <c r="DA44" s="399">
        <v>0</v>
      </c>
      <c r="DB44" s="399">
        <v>0</v>
      </c>
      <c r="DC44" s="399">
        <v>207.591496117112</v>
      </c>
      <c r="DD44" s="399">
        <v>0</v>
      </c>
      <c r="DE44" s="399">
        <v>0</v>
      </c>
      <c r="DF44" s="399">
        <v>0</v>
      </c>
      <c r="DG44" s="399">
        <v>20.096975341963827</v>
      </c>
      <c r="DH44" s="399">
        <v>0</v>
      </c>
      <c r="DI44" s="399">
        <v>-76.562663619063585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-9.9327986112285913</v>
      </c>
      <c r="DP44" s="399">
        <v>-0.57156681412509469</v>
      </c>
      <c r="DQ44" s="399">
        <v>0</v>
      </c>
      <c r="DR44" s="399">
        <v>0</v>
      </c>
      <c r="DS44" s="399"/>
      <c r="DT44" s="399"/>
      <c r="DU44" s="399"/>
      <c r="DV44" s="399">
        <v>817.0277760057661</v>
      </c>
      <c r="DW44" s="399">
        <v>0</v>
      </c>
      <c r="DX44" s="399">
        <v>0</v>
      </c>
      <c r="DY44" s="399">
        <v>-221.46440000000007</v>
      </c>
      <c r="DZ44" s="399">
        <v>207.54219999999987</v>
      </c>
      <c r="EA44" s="399">
        <v>0</v>
      </c>
      <c r="EB44" s="399">
        <v>0</v>
      </c>
      <c r="EC44" s="399">
        <v>-176.63699683238258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106.29734861907538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215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956</v>
      </c>
      <c r="C45" s="399" t="s">
        <v>2343</v>
      </c>
      <c r="D45" s="399" t="s">
        <v>2353</v>
      </c>
      <c r="E45" s="399" t="s">
        <v>894</v>
      </c>
      <c r="F45" s="399" t="s">
        <v>2360</v>
      </c>
      <c r="G45" s="399" t="s">
        <v>2361</v>
      </c>
      <c r="H45" s="399" t="s">
        <v>1239</v>
      </c>
      <c r="I45" s="399" t="s">
        <v>1239</v>
      </c>
      <c r="J45" s="399" t="s">
        <v>2344</v>
      </c>
      <c r="K45" s="791">
        <v>44440</v>
      </c>
      <c r="L45" s="399">
        <v>0</v>
      </c>
      <c r="M45" s="399">
        <v>0</v>
      </c>
      <c r="N45" s="399">
        <v>0</v>
      </c>
      <c r="O45" s="399">
        <v>0</v>
      </c>
      <c r="P45" s="399">
        <v>0</v>
      </c>
      <c r="Q45" s="399">
        <v>0</v>
      </c>
      <c r="R45" s="399"/>
      <c r="S45" s="399"/>
      <c r="T45" s="399"/>
      <c r="U45" s="399"/>
      <c r="V45" s="399"/>
      <c r="W45" s="399"/>
      <c r="X45" s="399"/>
      <c r="Y45" s="399"/>
      <c r="Z45" s="399"/>
      <c r="AA45" s="399">
        <v>0</v>
      </c>
      <c r="AB45" s="399"/>
      <c r="AC45" s="399"/>
      <c r="AD45" s="399"/>
      <c r="AE45" s="399"/>
      <c r="AF45" s="399"/>
      <c r="AG45" s="399"/>
      <c r="AH45" s="399"/>
      <c r="AI45" s="399"/>
      <c r="AJ45" s="399"/>
      <c r="AK45" s="399"/>
      <c r="AL45" s="399"/>
      <c r="AM45" s="399"/>
      <c r="AN45" s="399"/>
      <c r="AO45" s="399"/>
      <c r="AP45" s="399"/>
      <c r="AQ45" s="399"/>
      <c r="AR45" s="399"/>
      <c r="AS45" s="399"/>
      <c r="AT45" s="399"/>
      <c r="AU45" s="399"/>
      <c r="AV45" s="399"/>
      <c r="AW45" s="399"/>
      <c r="AX45" s="399"/>
      <c r="AY45" s="399"/>
      <c r="AZ45" s="399">
        <v>0</v>
      </c>
      <c r="BA45" s="399"/>
      <c r="BB45" s="399"/>
      <c r="BC45" s="399"/>
      <c r="BD45" s="399"/>
      <c r="BE45" s="399"/>
      <c r="BF45" s="399"/>
      <c r="BG45" s="399"/>
      <c r="BH45" s="399"/>
      <c r="BI45" s="399">
        <v>0</v>
      </c>
      <c r="BJ45" s="399">
        <v>0</v>
      </c>
      <c r="BK45" s="399">
        <v>6.85</v>
      </c>
      <c r="BL45" s="399">
        <v>1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/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/>
      <c r="CJ45" s="399">
        <v>-0.03</v>
      </c>
      <c r="CK45" s="399"/>
      <c r="CL45" s="399"/>
      <c r="CM45" s="399"/>
      <c r="CN45" s="399"/>
      <c r="CO45" s="399">
        <v>0</v>
      </c>
      <c r="CP45" s="399">
        <v>0</v>
      </c>
      <c r="CQ45" s="399">
        <v>30</v>
      </c>
      <c r="CR45" s="399"/>
      <c r="CS45" s="399"/>
      <c r="CT45" s="399"/>
      <c r="CU45" s="399"/>
      <c r="CV45" s="399"/>
      <c r="CW45" s="399"/>
      <c r="CX45" s="399"/>
      <c r="CY45" s="399"/>
      <c r="CZ45" s="399"/>
      <c r="DA45" s="399"/>
      <c r="DB45" s="399"/>
      <c r="DC45" s="399"/>
      <c r="DD45" s="399"/>
      <c r="DE45" s="399"/>
      <c r="DF45" s="399"/>
      <c r="DG45" s="399"/>
      <c r="DH45" s="399"/>
      <c r="DI45" s="399"/>
      <c r="DJ45" s="399"/>
      <c r="DK45" s="399">
        <v>0</v>
      </c>
      <c r="DL45" s="399"/>
      <c r="DM45" s="399"/>
      <c r="DN45" s="399"/>
      <c r="DO45" s="399"/>
      <c r="DP45" s="399"/>
      <c r="DQ45" s="399"/>
      <c r="DR45" s="399"/>
      <c r="DS45" s="399"/>
      <c r="DT45" s="399"/>
      <c r="DU45" s="399"/>
      <c r="DV45" s="399"/>
      <c r="DW45" s="399"/>
      <c r="DX45" s="399"/>
      <c r="DY45" s="399"/>
      <c r="DZ45" s="399"/>
      <c r="EA45" s="399"/>
      <c r="EB45" s="399"/>
      <c r="EC45" s="399"/>
      <c r="ED45" s="399"/>
      <c r="EE45" s="399"/>
      <c r="EF45" s="399"/>
      <c r="EG45" s="399"/>
      <c r="EH45" s="399"/>
      <c r="EI45" s="399"/>
      <c r="EJ45" s="399"/>
      <c r="EK45" s="399"/>
      <c r="EL45" s="399"/>
      <c r="EM45" s="399"/>
      <c r="EN45" s="399"/>
      <c r="EO45" s="399"/>
      <c r="EP45" s="399"/>
      <c r="EQ45" s="399"/>
      <c r="ER45" s="399"/>
      <c r="ES45" s="399"/>
      <c r="ET45" s="399"/>
      <c r="EU45" s="399"/>
      <c r="EV45" s="399">
        <v>215</v>
      </c>
      <c r="EW45" s="399"/>
      <c r="EX45" s="399"/>
      <c r="EY45" s="399"/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956</v>
      </c>
      <c r="C46" s="399" t="s">
        <v>2343</v>
      </c>
      <c r="D46" s="399" t="s">
        <v>2353</v>
      </c>
      <c r="E46" s="399" t="s">
        <v>894</v>
      </c>
      <c r="F46" s="399" t="s">
        <v>2360</v>
      </c>
      <c r="G46" s="399" t="s">
        <v>2361</v>
      </c>
      <c r="H46" s="399" t="s">
        <v>1239</v>
      </c>
      <c r="I46" s="399" t="s">
        <v>1239</v>
      </c>
      <c r="J46" s="399" t="s">
        <v>2344</v>
      </c>
      <c r="K46" s="791">
        <v>44440</v>
      </c>
      <c r="L46" s="399">
        <v>0</v>
      </c>
      <c r="M46" s="399">
        <v>0</v>
      </c>
      <c r="N46" s="399">
        <v>9.9000000000000005E-2</v>
      </c>
      <c r="O46" s="399">
        <v>9.9000000000000005E-2</v>
      </c>
      <c r="P46" s="399">
        <v>9.9000000000000005E-2</v>
      </c>
      <c r="Q46" s="399">
        <v>9.9000000000000005E-2</v>
      </c>
      <c r="R46" s="399"/>
      <c r="S46" s="399">
        <v>239.69</v>
      </c>
      <c r="T46" s="399">
        <v>171.61</v>
      </c>
      <c r="U46" s="399"/>
      <c r="V46" s="399">
        <v>40.718700000000005</v>
      </c>
      <c r="W46" s="399">
        <v>40.718700000000005</v>
      </c>
      <c r="X46" s="399">
        <v>40.569209999999998</v>
      </c>
      <c r="Y46" s="399">
        <v>0</v>
      </c>
      <c r="Z46" s="399">
        <v>5.9852726320694671</v>
      </c>
      <c r="AA46" s="399">
        <v>0</v>
      </c>
      <c r="AB46" s="399">
        <v>0</v>
      </c>
      <c r="AC46" s="399">
        <v>0</v>
      </c>
      <c r="AD46" s="399">
        <v>5.2802633097960481</v>
      </c>
      <c r="AE46" s="399">
        <v>8.7728578985434762</v>
      </c>
      <c r="AF46" s="399">
        <v>16.372048542471273</v>
      </c>
      <c r="AG46" s="399">
        <v>0.61730033771694026</v>
      </c>
      <c r="AH46" s="399">
        <v>0</v>
      </c>
      <c r="AI46" s="399">
        <v>0</v>
      </c>
      <c r="AJ46" s="399">
        <v>0</v>
      </c>
      <c r="AK46" s="399">
        <v>0</v>
      </c>
      <c r="AL46" s="399">
        <v>0.92546296696364261</v>
      </c>
      <c r="AM46" s="399"/>
      <c r="AN46" s="399">
        <v>3.9209112995366856E-2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1.5849813793425382</v>
      </c>
      <c r="BH46" s="399">
        <v>0</v>
      </c>
      <c r="BI46" s="399">
        <v>0</v>
      </c>
      <c r="BJ46" s="399">
        <v>0</v>
      </c>
      <c r="BK46" s="399">
        <v>0</v>
      </c>
      <c r="BL46" s="399">
        <v>0</v>
      </c>
      <c r="BM46" s="399"/>
      <c r="BN46" s="399"/>
      <c r="BO46" s="399"/>
      <c r="BP46" s="399"/>
      <c r="BQ46" s="399"/>
      <c r="BR46" s="399">
        <v>4.8678299999999997</v>
      </c>
      <c r="BS46" s="399"/>
      <c r="BT46" s="399"/>
      <c r="BU46" s="399"/>
      <c r="BV46" s="399">
        <v>17.95702992181381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36.061999999999998</v>
      </c>
      <c r="CJ46" s="399">
        <v>0.1989499999999893</v>
      </c>
      <c r="CK46" s="399"/>
      <c r="CL46" s="399"/>
      <c r="CM46" s="399"/>
      <c r="CN46" s="399"/>
      <c r="CO46" s="399">
        <v>-2.3779800000000013</v>
      </c>
      <c r="CP46" s="399">
        <v>2.2284899999999994</v>
      </c>
      <c r="CQ46" s="399">
        <v>30</v>
      </c>
      <c r="CR46" s="399">
        <v>1.7477106688669792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0.23778411799374499</v>
      </c>
      <c r="DA46" s="399">
        <v>0</v>
      </c>
      <c r="DB46" s="399">
        <v>0</v>
      </c>
      <c r="DC46" s="399">
        <v>2.2290193183941511</v>
      </c>
      <c r="DD46" s="399">
        <v>0</v>
      </c>
      <c r="DE46" s="399">
        <v>0</v>
      </c>
      <c r="DF46" s="399">
        <v>0</v>
      </c>
      <c r="DG46" s="399">
        <v>0.21579181766316879</v>
      </c>
      <c r="DH46" s="399">
        <v>0</v>
      </c>
      <c r="DI46" s="399">
        <v>-0.8220936766038287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-0.10665369441557826</v>
      </c>
      <c r="DP46" s="399">
        <v>-6.1372141646837686E-3</v>
      </c>
      <c r="DQ46" s="399">
        <v>0</v>
      </c>
      <c r="DR46" s="399">
        <v>0</v>
      </c>
      <c r="DS46" s="399"/>
      <c r="DT46" s="399"/>
      <c r="DU46" s="399"/>
      <c r="DV46" s="399">
        <v>8.7728578985434762</v>
      </c>
      <c r="DW46" s="399">
        <v>0</v>
      </c>
      <c r="DX46" s="399">
        <v>0</v>
      </c>
      <c r="DY46" s="399">
        <v>-2.3779800000000009</v>
      </c>
      <c r="DZ46" s="399">
        <v>2.2284899999999972</v>
      </c>
      <c r="EA46" s="399">
        <v>0</v>
      </c>
      <c r="EB46" s="399">
        <v>0</v>
      </c>
      <c r="EC46" s="399">
        <v>-1.8966445429941308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1.1413706630464711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215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2343</v>
      </c>
      <c r="D47" s="399" t="s">
        <v>2353</v>
      </c>
      <c r="E47" s="399" t="s">
        <v>894</v>
      </c>
      <c r="F47" s="399" t="s">
        <v>2360</v>
      </c>
      <c r="G47" s="399" t="s">
        <v>2362</v>
      </c>
      <c r="H47" s="399" t="s">
        <v>1239</v>
      </c>
      <c r="I47" s="399" t="s">
        <v>1239</v>
      </c>
      <c r="J47" s="399" t="s">
        <v>2344</v>
      </c>
      <c r="K47" s="791">
        <v>44440</v>
      </c>
      <c r="L47" s="399">
        <v>0</v>
      </c>
      <c r="M47" s="399">
        <v>0</v>
      </c>
      <c r="N47" s="399">
        <v>1E-3</v>
      </c>
      <c r="O47" s="399">
        <v>4.0000000000000002E-4</v>
      </c>
      <c r="P47" s="399">
        <v>1E-3</v>
      </c>
      <c r="Q47" s="399">
        <v>4.0000000000000002E-4</v>
      </c>
      <c r="R47" s="399"/>
      <c r="S47" s="399">
        <v>239.69</v>
      </c>
      <c r="T47" s="399">
        <v>171.61</v>
      </c>
      <c r="U47" s="399"/>
      <c r="V47" s="399">
        <v>0.4113</v>
      </c>
      <c r="W47" s="399">
        <v>0.4113</v>
      </c>
      <c r="X47" s="399">
        <v>0.40978999999999999</v>
      </c>
      <c r="Y47" s="399">
        <v>0</v>
      </c>
      <c r="Z47" s="399">
        <v>6.0457299313833E-2</v>
      </c>
      <c r="AA47" s="399">
        <v>0</v>
      </c>
      <c r="AB47" s="399">
        <v>0</v>
      </c>
      <c r="AC47" s="399">
        <v>0</v>
      </c>
      <c r="AD47" s="399">
        <v>5.3335993028242906E-2</v>
      </c>
      <c r="AE47" s="399">
        <v>8.8614726247913889E-2</v>
      </c>
      <c r="AF47" s="399">
        <v>0.16537422770173002</v>
      </c>
      <c r="AG47" s="399">
        <v>6.2353569466357603E-3</v>
      </c>
      <c r="AH47" s="399">
        <v>0</v>
      </c>
      <c r="AI47" s="399">
        <v>0</v>
      </c>
      <c r="AJ47" s="399">
        <v>0</v>
      </c>
      <c r="AK47" s="399">
        <v>0</v>
      </c>
      <c r="AL47" s="399">
        <v>9.3481107774105315E-3</v>
      </c>
      <c r="AM47" s="399"/>
      <c r="AN47" s="399">
        <v>3.96051646417847E-4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1.60099129226519E-2</v>
      </c>
      <c r="BH47" s="399">
        <v>0</v>
      </c>
      <c r="BI47" s="399">
        <v>0</v>
      </c>
      <c r="BJ47" s="399">
        <v>0</v>
      </c>
      <c r="BK47" s="399">
        <v>0</v>
      </c>
      <c r="BL47" s="399">
        <v>0</v>
      </c>
      <c r="BM47" s="399"/>
      <c r="BN47" s="399"/>
      <c r="BO47" s="399"/>
      <c r="BP47" s="399"/>
      <c r="BQ47" s="399"/>
      <c r="BR47" s="399"/>
      <c r="BS47" s="399">
        <v>0.265542</v>
      </c>
      <c r="BT47" s="399"/>
      <c r="BU47" s="399"/>
      <c r="BV47" s="399">
        <v>0.18138414062438191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0</v>
      </c>
      <c r="CJ47" s="399">
        <v>-0.17478000000000002</v>
      </c>
      <c r="CK47" s="399"/>
      <c r="CL47" s="399"/>
      <c r="CM47" s="399"/>
      <c r="CN47" s="399"/>
      <c r="CO47" s="399">
        <v>-2.402000000000001E-2</v>
      </c>
      <c r="CP47" s="399">
        <v>2.2509999999999992E-2</v>
      </c>
      <c r="CQ47" s="399">
        <v>30</v>
      </c>
      <c r="CR47" s="399">
        <v>1.7653643119868445E-2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2.4018597777145934E-3</v>
      </c>
      <c r="DA47" s="399">
        <v>0</v>
      </c>
      <c r="DB47" s="399">
        <v>0</v>
      </c>
      <c r="DC47" s="399">
        <v>2.2515346650445994E-2</v>
      </c>
      <c r="DD47" s="399">
        <v>0</v>
      </c>
      <c r="DE47" s="399">
        <v>0</v>
      </c>
      <c r="DF47" s="399">
        <v>0</v>
      </c>
      <c r="DG47" s="399">
        <v>2.1797153299309979E-3</v>
      </c>
      <c r="DH47" s="399">
        <v>0</v>
      </c>
      <c r="DI47" s="399">
        <v>-8.3039765313518005E-3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-1.0773100446018011E-3</v>
      </c>
      <c r="DP47" s="399">
        <v>-6.199206226953298E-5</v>
      </c>
      <c r="DQ47" s="399">
        <v>0</v>
      </c>
      <c r="DR47" s="399">
        <v>0</v>
      </c>
      <c r="DS47" s="399"/>
      <c r="DT47" s="399"/>
      <c r="DU47" s="399"/>
      <c r="DV47" s="399">
        <v>8.8614726247913889E-2</v>
      </c>
      <c r="DW47" s="399">
        <v>0</v>
      </c>
      <c r="DX47" s="399">
        <v>0</v>
      </c>
      <c r="DY47" s="399">
        <v>-2.4020000000000014E-2</v>
      </c>
      <c r="DZ47" s="399">
        <v>2.2510000000000002E-2</v>
      </c>
      <c r="EA47" s="399">
        <v>0</v>
      </c>
      <c r="EB47" s="399">
        <v>0</v>
      </c>
      <c r="EC47" s="399">
        <v>-1.9158025686809396E-2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1.1528996596429E-2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215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956</v>
      </c>
      <c r="C48" s="399" t="s">
        <v>2343</v>
      </c>
      <c r="D48" s="399" t="s">
        <v>2353</v>
      </c>
      <c r="E48" s="399" t="s">
        <v>894</v>
      </c>
      <c r="F48" s="399" t="s">
        <v>2363</v>
      </c>
      <c r="G48" s="399" t="s">
        <v>2361</v>
      </c>
      <c r="H48" s="399" t="s">
        <v>1239</v>
      </c>
      <c r="I48" s="399" t="s">
        <v>1239</v>
      </c>
      <c r="J48" s="399" t="s">
        <v>2344</v>
      </c>
      <c r="K48" s="791">
        <v>44440</v>
      </c>
      <c r="L48" s="399">
        <v>0</v>
      </c>
      <c r="M48" s="399">
        <v>0</v>
      </c>
      <c r="N48" s="399">
        <v>0</v>
      </c>
      <c r="O48" s="399">
        <v>0</v>
      </c>
      <c r="P48" s="399">
        <v>0</v>
      </c>
      <c r="Q48" s="399">
        <v>0</v>
      </c>
      <c r="R48" s="399"/>
      <c r="S48" s="399"/>
      <c r="T48" s="399"/>
      <c r="U48" s="399"/>
      <c r="V48" s="399"/>
      <c r="W48" s="399"/>
      <c r="X48" s="399"/>
      <c r="Y48" s="399"/>
      <c r="Z48" s="399"/>
      <c r="AA48" s="399">
        <v>0</v>
      </c>
      <c r="AB48" s="399"/>
      <c r="AC48" s="399"/>
      <c r="AD48" s="399"/>
      <c r="AE48" s="399"/>
      <c r="AF48" s="399"/>
      <c r="AG48" s="399"/>
      <c r="AH48" s="399"/>
      <c r="AI48" s="399"/>
      <c r="AJ48" s="399"/>
      <c r="AK48" s="399"/>
      <c r="AL48" s="399"/>
      <c r="AM48" s="399"/>
      <c r="AN48" s="399"/>
      <c r="AO48" s="399"/>
      <c r="AP48" s="399"/>
      <c r="AQ48" s="399"/>
      <c r="AR48" s="399"/>
      <c r="AS48" s="399"/>
      <c r="AT48" s="399"/>
      <c r="AU48" s="399"/>
      <c r="AV48" s="399"/>
      <c r="AW48" s="399"/>
      <c r="AX48" s="399"/>
      <c r="AY48" s="399"/>
      <c r="AZ48" s="399">
        <v>0</v>
      </c>
      <c r="BA48" s="399"/>
      <c r="BB48" s="399"/>
      <c r="BC48" s="399"/>
      <c r="BD48" s="399"/>
      <c r="BE48" s="399"/>
      <c r="BF48" s="399"/>
      <c r="BG48" s="399"/>
      <c r="BH48" s="399"/>
      <c r="BI48" s="399">
        <v>0</v>
      </c>
      <c r="BJ48" s="399">
        <v>0</v>
      </c>
      <c r="BK48" s="399">
        <v>13827.51</v>
      </c>
      <c r="BL48" s="399">
        <v>21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/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/>
      <c r="CJ48" s="399">
        <v>-0.03</v>
      </c>
      <c r="CK48" s="399"/>
      <c r="CL48" s="399"/>
      <c r="CM48" s="399"/>
      <c r="CN48" s="399"/>
      <c r="CO48" s="399">
        <v>0</v>
      </c>
      <c r="CP48" s="399">
        <v>0</v>
      </c>
      <c r="CQ48" s="399">
        <v>30</v>
      </c>
      <c r="CR48" s="399"/>
      <c r="CS48" s="399"/>
      <c r="CT48" s="399"/>
      <c r="CU48" s="399"/>
      <c r="CV48" s="399"/>
      <c r="CW48" s="399"/>
      <c r="CX48" s="399"/>
      <c r="CY48" s="399"/>
      <c r="CZ48" s="399"/>
      <c r="DA48" s="399"/>
      <c r="DB48" s="399"/>
      <c r="DC48" s="399"/>
      <c r="DD48" s="399"/>
      <c r="DE48" s="399"/>
      <c r="DF48" s="399"/>
      <c r="DG48" s="399"/>
      <c r="DH48" s="399"/>
      <c r="DI48" s="399"/>
      <c r="DJ48" s="399"/>
      <c r="DK48" s="399">
        <v>0</v>
      </c>
      <c r="DL48" s="399"/>
      <c r="DM48" s="399"/>
      <c r="DN48" s="399"/>
      <c r="DO48" s="399"/>
      <c r="DP48" s="399"/>
      <c r="DQ48" s="399"/>
      <c r="DR48" s="399"/>
      <c r="DS48" s="399"/>
      <c r="DT48" s="399"/>
      <c r="DU48" s="399"/>
      <c r="DV48" s="399"/>
      <c r="DW48" s="399"/>
      <c r="DX48" s="399"/>
      <c r="DY48" s="399"/>
      <c r="DZ48" s="399"/>
      <c r="EA48" s="399"/>
      <c r="EB48" s="399"/>
      <c r="EC48" s="399"/>
      <c r="ED48" s="399"/>
      <c r="EE48" s="399"/>
      <c r="EF48" s="399"/>
      <c r="EG48" s="399"/>
      <c r="EH48" s="399"/>
      <c r="EI48" s="399"/>
      <c r="EJ48" s="399"/>
      <c r="EK48" s="399"/>
      <c r="EL48" s="399"/>
      <c r="EM48" s="399"/>
      <c r="EN48" s="399"/>
      <c r="EO48" s="399"/>
      <c r="EP48" s="399"/>
      <c r="EQ48" s="399"/>
      <c r="ER48" s="399"/>
      <c r="ES48" s="399"/>
      <c r="ET48" s="399"/>
      <c r="EU48" s="399"/>
      <c r="EV48" s="399">
        <v>215</v>
      </c>
      <c r="EW48" s="399"/>
      <c r="EX48" s="399"/>
      <c r="EY48" s="399"/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2345</v>
      </c>
      <c r="C49" s="399" t="s">
        <v>2343</v>
      </c>
      <c r="D49" s="399" t="s">
        <v>2353</v>
      </c>
      <c r="E49" s="399" t="s">
        <v>894</v>
      </c>
      <c r="F49" s="399" t="s">
        <v>2363</v>
      </c>
      <c r="G49" s="399" t="s">
        <v>2361</v>
      </c>
      <c r="H49" s="399" t="s">
        <v>1239</v>
      </c>
      <c r="I49" s="399" t="s">
        <v>1239</v>
      </c>
      <c r="J49" s="399" t="s">
        <v>2344</v>
      </c>
      <c r="K49" s="791">
        <v>44440</v>
      </c>
      <c r="L49" s="399">
        <v>0</v>
      </c>
      <c r="M49" s="399">
        <v>0</v>
      </c>
      <c r="N49" s="399">
        <v>0</v>
      </c>
      <c r="O49" s="399">
        <v>0</v>
      </c>
      <c r="P49" s="399">
        <v>0</v>
      </c>
      <c r="Q49" s="399">
        <v>0</v>
      </c>
      <c r="R49" s="399"/>
      <c r="S49" s="399"/>
      <c r="T49" s="399"/>
      <c r="U49" s="399"/>
      <c r="V49" s="399"/>
      <c r="W49" s="399"/>
      <c r="X49" s="399"/>
      <c r="Y49" s="399"/>
      <c r="Z49" s="399"/>
      <c r="AA49" s="399">
        <v>0</v>
      </c>
      <c r="AB49" s="399"/>
      <c r="AC49" s="399"/>
      <c r="AD49" s="399"/>
      <c r="AE49" s="399"/>
      <c r="AF49" s="399"/>
      <c r="AG49" s="399"/>
      <c r="AH49" s="399"/>
      <c r="AI49" s="399"/>
      <c r="AJ49" s="399"/>
      <c r="AK49" s="399"/>
      <c r="AL49" s="399"/>
      <c r="AM49" s="399"/>
      <c r="AN49" s="399"/>
      <c r="AO49" s="399"/>
      <c r="AP49" s="399"/>
      <c r="AQ49" s="399"/>
      <c r="AR49" s="399"/>
      <c r="AS49" s="399"/>
      <c r="AT49" s="399"/>
      <c r="AU49" s="399"/>
      <c r="AV49" s="399"/>
      <c r="AW49" s="399"/>
      <c r="AX49" s="399"/>
      <c r="AY49" s="399"/>
      <c r="AZ49" s="399">
        <v>0</v>
      </c>
      <c r="BA49" s="399"/>
      <c r="BB49" s="399"/>
      <c r="BC49" s="399"/>
      <c r="BD49" s="399"/>
      <c r="BE49" s="399"/>
      <c r="BF49" s="399"/>
      <c r="BG49" s="399"/>
      <c r="BH49" s="399"/>
      <c r="BI49" s="399">
        <v>0</v>
      </c>
      <c r="BJ49" s="399">
        <v>0</v>
      </c>
      <c r="BK49" s="399">
        <v>-442.5</v>
      </c>
      <c r="BL49" s="399">
        <v>0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/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/>
      <c r="CJ49" s="399">
        <v>-0.03</v>
      </c>
      <c r="CK49" s="399"/>
      <c r="CL49" s="399"/>
      <c r="CM49" s="399"/>
      <c r="CN49" s="399"/>
      <c r="CO49" s="399">
        <v>0</v>
      </c>
      <c r="CP49" s="399">
        <v>0</v>
      </c>
      <c r="CQ49" s="399">
        <v>30</v>
      </c>
      <c r="CR49" s="399"/>
      <c r="CS49" s="399"/>
      <c r="CT49" s="399"/>
      <c r="CU49" s="399"/>
      <c r="CV49" s="399"/>
      <c r="CW49" s="399"/>
      <c r="CX49" s="399"/>
      <c r="CY49" s="399"/>
      <c r="CZ49" s="399"/>
      <c r="DA49" s="399"/>
      <c r="DB49" s="399"/>
      <c r="DC49" s="399"/>
      <c r="DD49" s="399"/>
      <c r="DE49" s="399"/>
      <c r="DF49" s="399"/>
      <c r="DG49" s="399"/>
      <c r="DH49" s="399"/>
      <c r="DI49" s="399"/>
      <c r="DJ49" s="399"/>
      <c r="DK49" s="399">
        <v>0</v>
      </c>
      <c r="DL49" s="399"/>
      <c r="DM49" s="399"/>
      <c r="DN49" s="399"/>
      <c r="DO49" s="399"/>
      <c r="DP49" s="399"/>
      <c r="DQ49" s="399"/>
      <c r="DR49" s="399"/>
      <c r="DS49" s="399"/>
      <c r="DT49" s="399"/>
      <c r="DU49" s="399"/>
      <c r="DV49" s="399"/>
      <c r="DW49" s="399"/>
      <c r="DX49" s="399"/>
      <c r="DY49" s="399"/>
      <c r="DZ49" s="399"/>
      <c r="EA49" s="399"/>
      <c r="EB49" s="399"/>
      <c r="EC49" s="399"/>
      <c r="ED49" s="399"/>
      <c r="EE49" s="399"/>
      <c r="EF49" s="399"/>
      <c r="EG49" s="399"/>
      <c r="EH49" s="399"/>
      <c r="EI49" s="399"/>
      <c r="EJ49" s="399"/>
      <c r="EK49" s="399"/>
      <c r="EL49" s="399"/>
      <c r="EM49" s="399"/>
      <c r="EN49" s="399"/>
      <c r="EO49" s="399"/>
      <c r="EP49" s="399"/>
      <c r="EQ49" s="399"/>
      <c r="ER49" s="399"/>
      <c r="ES49" s="399"/>
      <c r="ET49" s="399"/>
      <c r="EU49" s="399"/>
      <c r="EV49" s="399">
        <v>215</v>
      </c>
      <c r="EW49" s="399"/>
      <c r="EX49" s="399"/>
      <c r="EY49" s="399"/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956</v>
      </c>
      <c r="C50" s="399" t="s">
        <v>2343</v>
      </c>
      <c r="D50" s="399" t="s">
        <v>2353</v>
      </c>
      <c r="E50" s="399" t="s">
        <v>894</v>
      </c>
      <c r="F50" s="399" t="s">
        <v>2363</v>
      </c>
      <c r="G50" s="399" t="s">
        <v>2361</v>
      </c>
      <c r="H50" s="399" t="s">
        <v>1239</v>
      </c>
      <c r="I50" s="399" t="s">
        <v>1239</v>
      </c>
      <c r="J50" s="399" t="s">
        <v>2344</v>
      </c>
      <c r="K50" s="791">
        <v>44440</v>
      </c>
      <c r="L50" s="399">
        <v>0</v>
      </c>
      <c r="M50" s="399">
        <v>0</v>
      </c>
      <c r="N50" s="399">
        <v>31.983000000000001</v>
      </c>
      <c r="O50" s="399">
        <v>31.983000000000001</v>
      </c>
      <c r="P50" s="399">
        <v>31.983000000000001</v>
      </c>
      <c r="Q50" s="399">
        <v>31.983000000000001</v>
      </c>
      <c r="R50" s="399"/>
      <c r="S50" s="399">
        <v>239.69</v>
      </c>
      <c r="T50" s="399">
        <v>171.61</v>
      </c>
      <c r="U50" s="399"/>
      <c r="V50" s="399">
        <v>13154.607899999999</v>
      </c>
      <c r="W50" s="399">
        <v>13154.607899999999</v>
      </c>
      <c r="X50" s="399">
        <v>13106.313569999998</v>
      </c>
      <c r="Y50" s="399">
        <v>0</v>
      </c>
      <c r="Z50" s="399">
        <v>1933.6058039543209</v>
      </c>
      <c r="AA50" s="399">
        <v>0</v>
      </c>
      <c r="AB50" s="399">
        <v>0</v>
      </c>
      <c r="AC50" s="399">
        <v>0</v>
      </c>
      <c r="AD50" s="399">
        <v>1705.8450650222928</v>
      </c>
      <c r="AE50" s="399">
        <v>2834.1647895870301</v>
      </c>
      <c r="AF50" s="399">
        <v>5289.1639245844308</v>
      </c>
      <c r="AG50" s="399">
        <v>199.42542122425152</v>
      </c>
      <c r="AH50" s="399">
        <v>0</v>
      </c>
      <c r="AI50" s="399">
        <v>0</v>
      </c>
      <c r="AJ50" s="399">
        <v>0</v>
      </c>
      <c r="AK50" s="399">
        <v>0</v>
      </c>
      <c r="AL50" s="399">
        <v>298.98062699392102</v>
      </c>
      <c r="AM50" s="399"/>
      <c r="AN50" s="399">
        <v>12.666919807382001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512.04504500517567</v>
      </c>
      <c r="BH50" s="399">
        <v>0</v>
      </c>
      <c r="BI50" s="399">
        <v>0</v>
      </c>
      <c r="BJ50" s="399">
        <v>0</v>
      </c>
      <c r="BK50" s="399">
        <v>0</v>
      </c>
      <c r="BL50" s="399">
        <v>0</v>
      </c>
      <c r="BM50" s="399"/>
      <c r="BN50" s="399"/>
      <c r="BO50" s="399"/>
      <c r="BP50" s="399"/>
      <c r="BQ50" s="399"/>
      <c r="BR50" s="399">
        <v>1572.6041099999995</v>
      </c>
      <c r="BS50" s="399"/>
      <c r="BT50" s="399"/>
      <c r="BU50" s="399"/>
      <c r="BV50" s="399">
        <v>5801.2089695896066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11532.6276</v>
      </c>
      <c r="CJ50" s="399">
        <v>-43.649250000002212</v>
      </c>
      <c r="CK50" s="399"/>
      <c r="CL50" s="399"/>
      <c r="CM50" s="399"/>
      <c r="CN50" s="399"/>
      <c r="CO50" s="399">
        <v>-768.23166000000037</v>
      </c>
      <c r="CP50" s="399">
        <v>719.93732999999975</v>
      </c>
      <c r="CQ50" s="399">
        <v>30</v>
      </c>
      <c r="CR50" s="399">
        <v>564.61646790275336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76.818681270646039</v>
      </c>
      <c r="DA50" s="399">
        <v>0</v>
      </c>
      <c r="DB50" s="399">
        <v>0</v>
      </c>
      <c r="DC50" s="399">
        <v>720.1083319212139</v>
      </c>
      <c r="DD50" s="399">
        <v>0</v>
      </c>
      <c r="DE50" s="399">
        <v>0</v>
      </c>
      <c r="DF50" s="399">
        <v>0</v>
      </c>
      <c r="DG50" s="399">
        <v>69.713835397183175</v>
      </c>
      <c r="DH50" s="399">
        <v>0</v>
      </c>
      <c r="DI50" s="399">
        <v>-265.58608140222464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-34.455607156499411</v>
      </c>
      <c r="DP50" s="399">
        <v>-1.9826921275664748</v>
      </c>
      <c r="DQ50" s="399">
        <v>0</v>
      </c>
      <c r="DR50" s="399">
        <v>0</v>
      </c>
      <c r="DS50" s="399"/>
      <c r="DT50" s="399"/>
      <c r="DU50" s="399"/>
      <c r="DV50" s="399">
        <v>2834.1647895870301</v>
      </c>
      <c r="DW50" s="399">
        <v>0</v>
      </c>
      <c r="DX50" s="399">
        <v>0</v>
      </c>
      <c r="DY50" s="399">
        <v>-768.23166000000037</v>
      </c>
      <c r="DZ50" s="399">
        <v>719.93732999999975</v>
      </c>
      <c r="EA50" s="399">
        <v>0</v>
      </c>
      <c r="EB50" s="399">
        <v>0</v>
      </c>
      <c r="EC50" s="399">
        <v>-612.73113554122483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368.73189814358869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215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2345</v>
      </c>
      <c r="C51" s="399" t="s">
        <v>2343</v>
      </c>
      <c r="D51" s="399" t="s">
        <v>2353</v>
      </c>
      <c r="E51" s="399" t="s">
        <v>894</v>
      </c>
      <c r="F51" s="399" t="s">
        <v>2363</v>
      </c>
      <c r="G51" s="399" t="s">
        <v>2361</v>
      </c>
      <c r="H51" s="399" t="s">
        <v>1239</v>
      </c>
      <c r="I51" s="399" t="s">
        <v>1239</v>
      </c>
      <c r="J51" s="399" t="s">
        <v>2344</v>
      </c>
      <c r="K51" s="791">
        <v>44440</v>
      </c>
      <c r="L51" s="399">
        <v>0</v>
      </c>
      <c r="M51" s="399">
        <v>0</v>
      </c>
      <c r="N51" s="399">
        <v>-2.8769999999999998</v>
      </c>
      <c r="O51" s="399">
        <v>-2.8769999999999998</v>
      </c>
      <c r="P51" s="399">
        <v>-2.8769999999999998</v>
      </c>
      <c r="Q51" s="399">
        <v>-2.8769999999999998</v>
      </c>
      <c r="R51" s="399"/>
      <c r="S51" s="399">
        <v>239.69</v>
      </c>
      <c r="T51" s="399">
        <v>171.61</v>
      </c>
      <c r="U51" s="399"/>
      <c r="V51" s="399">
        <v>-1183.3100999999999</v>
      </c>
      <c r="W51" s="399">
        <v>-1183.3100999999999</v>
      </c>
      <c r="X51" s="399">
        <v>-1178.9658300000001</v>
      </c>
      <c r="Y51" s="399">
        <v>0</v>
      </c>
      <c r="Z51" s="399">
        <v>-173.93565012589752</v>
      </c>
      <c r="AA51" s="399">
        <v>0</v>
      </c>
      <c r="AB51" s="399">
        <v>0</v>
      </c>
      <c r="AC51" s="399">
        <v>0</v>
      </c>
      <c r="AD51" s="399">
        <v>-153.44765194225482</v>
      </c>
      <c r="AE51" s="399">
        <v>-254.94456741524826</v>
      </c>
      <c r="AF51" s="399">
        <v>-475.78165309787721</v>
      </c>
      <c r="AG51" s="399">
        <v>-17.939121935471082</v>
      </c>
      <c r="AH51" s="399">
        <v>0</v>
      </c>
      <c r="AI51" s="399">
        <v>0</v>
      </c>
      <c r="AJ51" s="399">
        <v>0</v>
      </c>
      <c r="AK51" s="399">
        <v>0</v>
      </c>
      <c r="AL51" s="399">
        <v>-26.894514706610096</v>
      </c>
      <c r="AM51" s="399"/>
      <c r="AN51" s="399">
        <v>-1.1394405867441457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-46.060519478469509</v>
      </c>
      <c r="BH51" s="399">
        <v>0</v>
      </c>
      <c r="BI51" s="399">
        <v>0</v>
      </c>
      <c r="BJ51" s="399">
        <v>0</v>
      </c>
      <c r="BK51" s="399">
        <v>0</v>
      </c>
      <c r="BL51" s="399">
        <v>0</v>
      </c>
      <c r="BM51" s="399"/>
      <c r="BN51" s="399"/>
      <c r="BO51" s="399"/>
      <c r="BP51" s="399"/>
      <c r="BQ51" s="399"/>
      <c r="BR51" s="399">
        <v>-141.46208999999993</v>
      </c>
      <c r="BS51" s="399"/>
      <c r="BT51" s="399"/>
      <c r="BU51" s="399"/>
      <c r="BV51" s="399">
        <v>-521.84217257634668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-1038.5855999999999</v>
      </c>
      <c r="CJ51" s="399">
        <v>2.7145500000001448</v>
      </c>
      <c r="CK51" s="399"/>
      <c r="CL51" s="399"/>
      <c r="CM51" s="399"/>
      <c r="CN51" s="399"/>
      <c r="CO51" s="399">
        <v>69.105540000000019</v>
      </c>
      <c r="CP51" s="399">
        <v>-64.761269999999968</v>
      </c>
      <c r="CQ51" s="399">
        <v>30</v>
      </c>
      <c r="CR51" s="399">
        <v>-50.789531255861448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-6.9101505804848955</v>
      </c>
      <c r="DA51" s="399">
        <v>0</v>
      </c>
      <c r="DB51" s="399">
        <v>0</v>
      </c>
      <c r="DC51" s="399">
        <v>-64.776652313333102</v>
      </c>
      <c r="DD51" s="399">
        <v>0</v>
      </c>
      <c r="DE51" s="399">
        <v>0</v>
      </c>
      <c r="DF51" s="399">
        <v>0</v>
      </c>
      <c r="DG51" s="399">
        <v>-6.2710410042114901</v>
      </c>
      <c r="DH51" s="399">
        <v>0</v>
      </c>
      <c r="DI51" s="399">
        <v>23.890540480699144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3.0994209983193812</v>
      </c>
      <c r="DP51" s="399">
        <v>0.17835116314944643</v>
      </c>
      <c r="DQ51" s="399">
        <v>0</v>
      </c>
      <c r="DR51" s="399">
        <v>0</v>
      </c>
      <c r="DS51" s="399"/>
      <c r="DT51" s="399"/>
      <c r="DU51" s="399"/>
      <c r="DV51" s="399">
        <v>-254.94456741524826</v>
      </c>
      <c r="DW51" s="399">
        <v>0</v>
      </c>
      <c r="DX51" s="399">
        <v>0</v>
      </c>
      <c r="DY51" s="399">
        <v>69.105540000000019</v>
      </c>
      <c r="DZ51" s="399">
        <v>-64.761270000000025</v>
      </c>
      <c r="EA51" s="399">
        <v>0</v>
      </c>
      <c r="EB51" s="399">
        <v>0</v>
      </c>
      <c r="EC51" s="399">
        <v>55.117639900950621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-33.168923207926227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215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956</v>
      </c>
      <c r="C52" s="399" t="s">
        <v>2343</v>
      </c>
      <c r="D52" s="399" t="s">
        <v>2353</v>
      </c>
      <c r="E52" s="399" t="s">
        <v>894</v>
      </c>
      <c r="F52" s="399" t="s">
        <v>2363</v>
      </c>
      <c r="G52" s="399" t="s">
        <v>2362</v>
      </c>
      <c r="H52" s="399" t="s">
        <v>1239</v>
      </c>
      <c r="I52" s="399" t="s">
        <v>1239</v>
      </c>
      <c r="J52" s="399" t="s">
        <v>2344</v>
      </c>
      <c r="K52" s="791">
        <v>44440</v>
      </c>
      <c r="L52" s="399">
        <v>0</v>
      </c>
      <c r="M52" s="399">
        <v>0</v>
      </c>
      <c r="N52" s="399">
        <v>55.173999999999999</v>
      </c>
      <c r="O52" s="399">
        <v>22.069600000000001</v>
      </c>
      <c r="P52" s="399">
        <v>55.173999999999999</v>
      </c>
      <c r="Q52" s="399">
        <v>22.069600000000001</v>
      </c>
      <c r="R52" s="399"/>
      <c r="S52" s="399">
        <v>239.69</v>
      </c>
      <c r="T52" s="399">
        <v>171.61</v>
      </c>
      <c r="U52" s="399"/>
      <c r="V52" s="399">
        <v>22693.066200000001</v>
      </c>
      <c r="W52" s="399">
        <v>22693.066200000001</v>
      </c>
      <c r="X52" s="399">
        <v>22609.75346</v>
      </c>
      <c r="Y52" s="399">
        <v>0</v>
      </c>
      <c r="Z52" s="399">
        <v>3335.6710323414218</v>
      </c>
      <c r="AA52" s="399">
        <v>0</v>
      </c>
      <c r="AB52" s="399">
        <v>0</v>
      </c>
      <c r="AC52" s="399">
        <v>0</v>
      </c>
      <c r="AD52" s="399">
        <v>2942.7600793402739</v>
      </c>
      <c r="AE52" s="399">
        <v>4889.2289060024013</v>
      </c>
      <c r="AF52" s="399">
        <v>9124.3576392152518</v>
      </c>
      <c r="AG52" s="399">
        <v>344.02958417368143</v>
      </c>
      <c r="AH52" s="399">
        <v>0</v>
      </c>
      <c r="AI52" s="399">
        <v>0</v>
      </c>
      <c r="AJ52" s="399">
        <v>0</v>
      </c>
      <c r="AK52" s="399">
        <v>0</v>
      </c>
      <c r="AL52" s="399">
        <v>515.77266403284864</v>
      </c>
      <c r="AM52" s="399"/>
      <c r="AN52" s="399">
        <v>21.85175353945829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883.3309355943959</v>
      </c>
      <c r="BH52" s="399">
        <v>0</v>
      </c>
      <c r="BI52" s="399">
        <v>0</v>
      </c>
      <c r="BJ52" s="399">
        <v>0</v>
      </c>
      <c r="BK52" s="399">
        <v>0</v>
      </c>
      <c r="BL52" s="399">
        <v>0</v>
      </c>
      <c r="BM52" s="399"/>
      <c r="BN52" s="399"/>
      <c r="BO52" s="399"/>
      <c r="BP52" s="399"/>
      <c r="BQ52" s="399"/>
      <c r="BR52" s="399"/>
      <c r="BS52" s="399">
        <v>14651.014307999998</v>
      </c>
      <c r="BT52" s="399"/>
      <c r="BU52" s="399"/>
      <c r="BV52" s="399">
        <v>10007.688574809648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7958.8834000000006</v>
      </c>
      <c r="CJ52" s="399">
        <v>-29.238320000000385</v>
      </c>
      <c r="CK52" s="399"/>
      <c r="CL52" s="399"/>
      <c r="CM52" s="399"/>
      <c r="CN52" s="399"/>
      <c r="CO52" s="399">
        <v>-1325.2794800000006</v>
      </c>
      <c r="CP52" s="399">
        <v>1241.9667399999994</v>
      </c>
      <c r="CQ52" s="399">
        <v>30</v>
      </c>
      <c r="CR52" s="399">
        <v>974.02210549562733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132.52021137562542</v>
      </c>
      <c r="DA52" s="399">
        <v>0</v>
      </c>
      <c r="DB52" s="399">
        <v>0</v>
      </c>
      <c r="DC52" s="399">
        <v>1242.2617360917066</v>
      </c>
      <c r="DD52" s="399">
        <v>0</v>
      </c>
      <c r="DE52" s="399">
        <v>0</v>
      </c>
      <c r="DF52" s="399">
        <v>0</v>
      </c>
      <c r="DG52" s="399">
        <v>120.26361361361296</v>
      </c>
      <c r="DH52" s="399">
        <v>0</v>
      </c>
      <c r="DI52" s="399">
        <v>-458.16360114080408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-59.439504400859732</v>
      </c>
      <c r="DP52" s="399">
        <v>-3.4203500436592122</v>
      </c>
      <c r="DQ52" s="399">
        <v>0</v>
      </c>
      <c r="DR52" s="399">
        <v>0</v>
      </c>
      <c r="DS52" s="399"/>
      <c r="DT52" s="399"/>
      <c r="DU52" s="399"/>
      <c r="DV52" s="399">
        <v>4889.2289060024013</v>
      </c>
      <c r="DW52" s="399">
        <v>0</v>
      </c>
      <c r="DX52" s="399">
        <v>0</v>
      </c>
      <c r="DY52" s="399">
        <v>-1325.2794799999992</v>
      </c>
      <c r="DZ52" s="399">
        <v>1241.9667399999998</v>
      </c>
      <c r="EA52" s="399">
        <v>0</v>
      </c>
      <c r="EB52" s="399">
        <v>0</v>
      </c>
      <c r="EC52" s="399">
        <v>-1057.0249092440217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636.10085821137363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215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956</v>
      </c>
      <c r="C53" s="399" t="s">
        <v>2343</v>
      </c>
      <c r="D53" s="399" t="s">
        <v>1823</v>
      </c>
      <c r="E53" s="399" t="s">
        <v>889</v>
      </c>
      <c r="F53" s="399" t="s">
        <v>889</v>
      </c>
      <c r="G53" s="399" t="s">
        <v>1239</v>
      </c>
      <c r="H53" s="399" t="s">
        <v>1239</v>
      </c>
      <c r="I53" s="399" t="s">
        <v>1239</v>
      </c>
      <c r="J53" s="399" t="s">
        <v>2344</v>
      </c>
      <c r="K53" s="791">
        <v>44470</v>
      </c>
      <c r="L53" s="399">
        <v>0</v>
      </c>
      <c r="M53" s="399">
        <v>0</v>
      </c>
      <c r="N53" s="399">
        <v>1160.691</v>
      </c>
      <c r="O53" s="399">
        <v>1160.691</v>
      </c>
      <c r="P53" s="399">
        <v>1160.691</v>
      </c>
      <c r="Q53" s="399">
        <v>1160.691</v>
      </c>
      <c r="R53" s="399"/>
      <c r="S53" s="399">
        <v>239.69</v>
      </c>
      <c r="T53" s="399">
        <v>171.61</v>
      </c>
      <c r="U53" s="399"/>
      <c r="V53" s="399">
        <v>477392.2083</v>
      </c>
      <c r="W53" s="399">
        <v>477392.2083</v>
      </c>
      <c r="X53" s="399">
        <v>475639.56488999998</v>
      </c>
      <c r="Y53" s="399">
        <v>0</v>
      </c>
      <c r="Z53" s="399">
        <v>70172.243197872143</v>
      </c>
      <c r="AA53" s="399">
        <v>0</v>
      </c>
      <c r="AB53" s="399">
        <v>0</v>
      </c>
      <c r="AC53" s="399">
        <v>0</v>
      </c>
      <c r="AD53" s="399">
        <v>61906.607083944284</v>
      </c>
      <c r="AE53" s="399">
        <v>102854.31522341743</v>
      </c>
      <c r="AF53" s="399">
        <v>191948.37772534872</v>
      </c>
      <c r="AG53" s="399">
        <v>7237.3226897476079</v>
      </c>
      <c r="AH53" s="399">
        <v>0</v>
      </c>
      <c r="AI53" s="399">
        <v>0</v>
      </c>
      <c r="AJ53" s="399">
        <v>0</v>
      </c>
      <c r="AK53" s="399">
        <v>0</v>
      </c>
      <c r="AL53" s="399">
        <v>10850.268046343406</v>
      </c>
      <c r="AM53" s="399"/>
      <c r="AN53" s="399">
        <v>459.69358153237727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18582.561840105758</v>
      </c>
      <c r="BH53" s="399">
        <v>0</v>
      </c>
      <c r="BI53" s="399">
        <v>0</v>
      </c>
      <c r="BJ53" s="399">
        <v>0</v>
      </c>
      <c r="BK53" s="399">
        <v>144968.72</v>
      </c>
      <c r="BL53" s="399">
        <v>4709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210530.93956545449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475639.15509999997</v>
      </c>
      <c r="CJ53" s="399">
        <v>-1753.0832000000519</v>
      </c>
      <c r="CK53" s="399"/>
      <c r="CL53" s="399"/>
      <c r="CM53" s="399"/>
      <c r="CN53" s="399"/>
      <c r="CO53" s="399">
        <v>-27879.797820000014</v>
      </c>
      <c r="CP53" s="399">
        <v>26127.154409999992</v>
      </c>
      <c r="CQ53" s="399">
        <v>31</v>
      </c>
      <c r="CR53" s="399">
        <v>20490.424686443177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2787.8170272553398</v>
      </c>
      <c r="DA53" s="399">
        <v>0</v>
      </c>
      <c r="DB53" s="399">
        <v>0</v>
      </c>
      <c r="DC53" s="399">
        <v>26133.360219052789</v>
      </c>
      <c r="DD53" s="399">
        <v>0</v>
      </c>
      <c r="DE53" s="399">
        <v>0</v>
      </c>
      <c r="DF53" s="399">
        <v>0</v>
      </c>
      <c r="DG53" s="399">
        <v>2529.9759660129421</v>
      </c>
      <c r="DH53" s="399">
        <v>0</v>
      </c>
      <c r="DI53" s="399">
        <v>-9638.3508241512609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-1250.4240729789071</v>
      </c>
      <c r="DP53" s="399">
        <v>-71.953628747686537</v>
      </c>
      <c r="DQ53" s="399">
        <v>0</v>
      </c>
      <c r="DR53" s="399">
        <v>0</v>
      </c>
      <c r="DS53" s="399"/>
      <c r="DT53" s="399"/>
      <c r="DU53" s="399"/>
      <c r="DV53" s="399">
        <v>102854.31522341743</v>
      </c>
      <c r="DW53" s="399">
        <v>0</v>
      </c>
      <c r="DX53" s="399">
        <v>0</v>
      </c>
      <c r="DY53" s="399">
        <v>-27879.797820000007</v>
      </c>
      <c r="DZ53" s="399">
        <v>26127.154409999988</v>
      </c>
      <c r="EA53" s="399">
        <v>0</v>
      </c>
      <c r="EB53" s="399">
        <v>0</v>
      </c>
      <c r="EC53" s="399">
        <v>-22236.547992448497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13381.602588505773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215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2345</v>
      </c>
      <c r="C54" s="399" t="s">
        <v>2343</v>
      </c>
      <c r="D54" s="399" t="s">
        <v>1823</v>
      </c>
      <c r="E54" s="399" t="s">
        <v>889</v>
      </c>
      <c r="F54" s="399" t="s">
        <v>889</v>
      </c>
      <c r="G54" s="399" t="s">
        <v>1239</v>
      </c>
      <c r="H54" s="399" t="s">
        <v>1239</v>
      </c>
      <c r="I54" s="399" t="s">
        <v>1239</v>
      </c>
      <c r="J54" s="399" t="s">
        <v>2344</v>
      </c>
      <c r="K54" s="791">
        <v>44470</v>
      </c>
      <c r="L54" s="399">
        <v>0</v>
      </c>
      <c r="M54" s="399">
        <v>0</v>
      </c>
      <c r="N54" s="399">
        <v>-0.58199999999999996</v>
      </c>
      <c r="O54" s="399">
        <v>-0.58199999999999996</v>
      </c>
      <c r="P54" s="399">
        <v>-0.58199999999999996</v>
      </c>
      <c r="Q54" s="399">
        <v>-0.58199999999999996</v>
      </c>
      <c r="R54" s="399"/>
      <c r="S54" s="399">
        <v>239.69</v>
      </c>
      <c r="T54" s="399">
        <v>171.61</v>
      </c>
      <c r="U54" s="399"/>
      <c r="V54" s="399">
        <v>-239.3766</v>
      </c>
      <c r="W54" s="399">
        <v>-239.3766</v>
      </c>
      <c r="X54" s="399">
        <v>-238.49777999999998</v>
      </c>
      <c r="Y54" s="399">
        <v>0</v>
      </c>
      <c r="Z54" s="399">
        <v>-35.186148200650806</v>
      </c>
      <c r="AA54" s="399">
        <v>0</v>
      </c>
      <c r="AB54" s="399">
        <v>0</v>
      </c>
      <c r="AC54" s="399">
        <v>0</v>
      </c>
      <c r="AD54" s="399">
        <v>-31.041547942437369</v>
      </c>
      <c r="AE54" s="399">
        <v>-51.573770676285882</v>
      </c>
      <c r="AF54" s="399">
        <v>-96.247800522406862</v>
      </c>
      <c r="AG54" s="399">
        <v>-3.6289777429420123</v>
      </c>
      <c r="AH54" s="399">
        <v>0</v>
      </c>
      <c r="AI54" s="399">
        <v>0</v>
      </c>
      <c r="AJ54" s="399">
        <v>0</v>
      </c>
      <c r="AK54" s="399">
        <v>0</v>
      </c>
      <c r="AL54" s="399">
        <v>-5.4406004724529282</v>
      </c>
      <c r="AM54" s="399"/>
      <c r="AN54" s="399">
        <v>-0.23050205821518693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-9.3177693209834054</v>
      </c>
      <c r="BH54" s="399">
        <v>0</v>
      </c>
      <c r="BI54" s="399">
        <v>0</v>
      </c>
      <c r="BJ54" s="399">
        <v>0</v>
      </c>
      <c r="BK54" s="399">
        <v>-88.46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-105.56556984339026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-237.67819999999998</v>
      </c>
      <c r="CJ54" s="399">
        <v>1.6684000000000481</v>
      </c>
      <c r="CK54" s="399"/>
      <c r="CL54" s="399"/>
      <c r="CM54" s="399"/>
      <c r="CN54" s="399"/>
      <c r="CO54" s="399">
        <v>13.979640000000005</v>
      </c>
      <c r="CP54" s="399">
        <v>-13.100819999999993</v>
      </c>
      <c r="CQ54" s="399">
        <v>31</v>
      </c>
      <c r="CR54" s="399">
        <v>-10.274420295763434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-1.3978823906298956</v>
      </c>
      <c r="DA54" s="399">
        <v>0</v>
      </c>
      <c r="DB54" s="399">
        <v>0</v>
      </c>
      <c r="DC54" s="399">
        <v>-13.103931750559568</v>
      </c>
      <c r="DD54" s="399">
        <v>0</v>
      </c>
      <c r="DE54" s="399">
        <v>0</v>
      </c>
      <c r="DF54" s="399">
        <v>0</v>
      </c>
      <c r="DG54" s="399">
        <v>-1.2685943220198421</v>
      </c>
      <c r="DH54" s="399">
        <v>0</v>
      </c>
      <c r="DI54" s="399">
        <v>4.8329143412467523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0.62699444595824705</v>
      </c>
      <c r="DP54" s="399">
        <v>3.6079380240868208E-2</v>
      </c>
      <c r="DQ54" s="399">
        <v>0</v>
      </c>
      <c r="DR54" s="399">
        <v>0</v>
      </c>
      <c r="DS54" s="399"/>
      <c r="DT54" s="399"/>
      <c r="DU54" s="399"/>
      <c r="DV54" s="399">
        <v>-51.573770676285882</v>
      </c>
      <c r="DW54" s="399">
        <v>0</v>
      </c>
      <c r="DX54" s="399">
        <v>0</v>
      </c>
      <c r="DY54" s="399">
        <v>13.979639999999989</v>
      </c>
      <c r="DZ54" s="399">
        <v>-13.100819999999999</v>
      </c>
      <c r="EA54" s="399">
        <v>0</v>
      </c>
      <c r="EB54" s="399">
        <v>0</v>
      </c>
      <c r="EC54" s="399">
        <v>11.14997094972307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-6.7098760191216771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215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2346</v>
      </c>
      <c r="C55" s="399" t="s">
        <v>2343</v>
      </c>
      <c r="D55" s="399" t="s">
        <v>1823</v>
      </c>
      <c r="E55" s="399" t="s">
        <v>889</v>
      </c>
      <c r="F55" s="399" t="s">
        <v>889</v>
      </c>
      <c r="G55" s="399" t="s">
        <v>1239</v>
      </c>
      <c r="H55" s="399" t="s">
        <v>1239</v>
      </c>
      <c r="I55" s="399" t="s">
        <v>1239</v>
      </c>
      <c r="J55" s="399" t="s">
        <v>2344</v>
      </c>
      <c r="K55" s="791">
        <v>44470</v>
      </c>
      <c r="L55" s="399">
        <v>0</v>
      </c>
      <c r="M55" s="399">
        <v>0</v>
      </c>
      <c r="N55" s="399">
        <v>1.395</v>
      </c>
      <c r="O55" s="399">
        <v>1.395</v>
      </c>
      <c r="P55" s="399">
        <v>1.395</v>
      </c>
      <c r="Q55" s="399">
        <v>1.395</v>
      </c>
      <c r="R55" s="399"/>
      <c r="S55" s="399">
        <v>239.69</v>
      </c>
      <c r="T55" s="399">
        <v>171.61</v>
      </c>
      <c r="U55" s="399"/>
      <c r="V55" s="399">
        <v>573.76350000000002</v>
      </c>
      <c r="W55" s="399">
        <v>573.76350000000002</v>
      </c>
      <c r="X55" s="399">
        <v>571.65705000000003</v>
      </c>
      <c r="Y55" s="399">
        <v>0</v>
      </c>
      <c r="Z55" s="399">
        <v>84.337932542797034</v>
      </c>
      <c r="AA55" s="399">
        <v>0</v>
      </c>
      <c r="AB55" s="399">
        <v>0</v>
      </c>
      <c r="AC55" s="399">
        <v>0</v>
      </c>
      <c r="AD55" s="399">
        <v>74.403710274398847</v>
      </c>
      <c r="AE55" s="399">
        <v>123.61754311583988</v>
      </c>
      <c r="AF55" s="399">
        <v>230.69704764391335</v>
      </c>
      <c r="AG55" s="399">
        <v>8.6983229405568849</v>
      </c>
      <c r="AH55" s="399">
        <v>0</v>
      </c>
      <c r="AI55" s="399">
        <v>0</v>
      </c>
      <c r="AJ55" s="399">
        <v>0</v>
      </c>
      <c r="AK55" s="399">
        <v>0</v>
      </c>
      <c r="AL55" s="399">
        <v>13.040614534487691</v>
      </c>
      <c r="AM55" s="399"/>
      <c r="AN55" s="399">
        <v>0.55249204675289654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22.333828527099399</v>
      </c>
      <c r="BH55" s="399">
        <v>0</v>
      </c>
      <c r="BI55" s="399">
        <v>0</v>
      </c>
      <c r="BJ55" s="399">
        <v>0</v>
      </c>
      <c r="BK55" s="399">
        <v>377.96</v>
      </c>
      <c r="BL55" s="399">
        <v>7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253.03087617101275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573.7059999999999</v>
      </c>
      <c r="CJ55" s="399">
        <v>-8.7500000000090949E-2</v>
      </c>
      <c r="CK55" s="399"/>
      <c r="CL55" s="399"/>
      <c r="CM55" s="399"/>
      <c r="CN55" s="399"/>
      <c r="CO55" s="399">
        <v>-33.507900000000014</v>
      </c>
      <c r="CP55" s="399">
        <v>31.401449999999986</v>
      </c>
      <c r="CQ55" s="399">
        <v>31</v>
      </c>
      <c r="CR55" s="399">
        <v>24.626832152216423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3.350594389911862</v>
      </c>
      <c r="DA55" s="399">
        <v>0</v>
      </c>
      <c r="DB55" s="399">
        <v>0</v>
      </c>
      <c r="DC55" s="399">
        <v>31.408908577372159</v>
      </c>
      <c r="DD55" s="399">
        <v>0</v>
      </c>
      <c r="DE55" s="399">
        <v>0</v>
      </c>
      <c r="DF55" s="399">
        <v>0</v>
      </c>
      <c r="DG55" s="399">
        <v>3.0407028852537472</v>
      </c>
      <c r="DH55" s="399">
        <v>0</v>
      </c>
      <c r="DI55" s="399">
        <v>-11.584047261235767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-1.5028475122195122</v>
      </c>
      <c r="DP55" s="399">
        <v>-8.6478926865998507E-2</v>
      </c>
      <c r="DQ55" s="399">
        <v>0</v>
      </c>
      <c r="DR55" s="399">
        <v>0</v>
      </c>
      <c r="DS55" s="399"/>
      <c r="DT55" s="399"/>
      <c r="DU55" s="399"/>
      <c r="DV55" s="399">
        <v>123.61754311583988</v>
      </c>
      <c r="DW55" s="399">
        <v>0</v>
      </c>
      <c r="DX55" s="399">
        <v>0</v>
      </c>
      <c r="DY55" s="399">
        <v>-33.507900000000006</v>
      </c>
      <c r="DZ55" s="399">
        <v>31.401449999999954</v>
      </c>
      <c r="EA55" s="399">
        <v>0</v>
      </c>
      <c r="EB55" s="399">
        <v>0</v>
      </c>
      <c r="EC55" s="399">
        <v>-26.725445833099101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16.082950252018456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215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956</v>
      </c>
      <c r="C56" s="399" t="s">
        <v>2343</v>
      </c>
      <c r="D56" s="399" t="s">
        <v>1823</v>
      </c>
      <c r="E56" s="399" t="s">
        <v>889</v>
      </c>
      <c r="F56" s="399" t="s">
        <v>2347</v>
      </c>
      <c r="G56" s="399" t="s">
        <v>1239</v>
      </c>
      <c r="H56" s="399" t="s">
        <v>1239</v>
      </c>
      <c r="I56" s="399" t="s">
        <v>1239</v>
      </c>
      <c r="J56" s="399" t="s">
        <v>2344</v>
      </c>
      <c r="K56" s="791">
        <v>44470</v>
      </c>
      <c r="L56" s="399">
        <v>0</v>
      </c>
      <c r="M56" s="399">
        <v>0</v>
      </c>
      <c r="N56" s="399">
        <v>6.54</v>
      </c>
      <c r="O56" s="399">
        <v>6.54</v>
      </c>
      <c r="P56" s="399">
        <v>6.54</v>
      </c>
      <c r="Q56" s="399">
        <v>6.54</v>
      </c>
      <c r="R56" s="399"/>
      <c r="S56" s="399">
        <v>158.36000000000001</v>
      </c>
      <c r="T56" s="399">
        <v>171.61</v>
      </c>
      <c r="U56" s="399"/>
      <c r="V56" s="399">
        <v>2158.0038000000004</v>
      </c>
      <c r="W56" s="399">
        <v>2158.0038000000004</v>
      </c>
      <c r="X56" s="399">
        <v>2209.4736000000003</v>
      </c>
      <c r="Y56" s="399">
        <v>0</v>
      </c>
      <c r="Z56" s="399">
        <v>0</v>
      </c>
      <c r="AA56" s="399">
        <v>0</v>
      </c>
      <c r="AB56" s="399">
        <v>0</v>
      </c>
      <c r="AC56" s="399">
        <v>0</v>
      </c>
      <c r="AD56" s="399">
        <v>348.81739440470858</v>
      </c>
      <c r="AE56" s="399">
        <v>579.5403096613569</v>
      </c>
      <c r="AF56" s="399">
        <v>1081.5474491693142</v>
      </c>
      <c r="AG56" s="399">
        <v>40.779234430997874</v>
      </c>
      <c r="AH56" s="399">
        <v>0</v>
      </c>
      <c r="AI56" s="399">
        <v>0</v>
      </c>
      <c r="AJ56" s="399">
        <v>0</v>
      </c>
      <c r="AK56" s="399">
        <v>0</v>
      </c>
      <c r="AL56" s="399">
        <v>0</v>
      </c>
      <c r="AM56" s="399"/>
      <c r="AN56" s="399">
        <v>2.5901777675727193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104.70483051414342</v>
      </c>
      <c r="BH56" s="399">
        <v>0</v>
      </c>
      <c r="BI56" s="399">
        <v>0</v>
      </c>
      <c r="BJ56" s="399">
        <v>0</v>
      </c>
      <c r="BK56" s="399">
        <v>104.19</v>
      </c>
      <c r="BL56" s="399">
        <v>2</v>
      </c>
      <c r="BM56" s="399"/>
      <c r="BN56" s="399"/>
      <c r="BO56" s="399"/>
      <c r="BP56" s="399"/>
      <c r="BQ56" s="399"/>
      <c r="BR56" s="399"/>
      <c r="BS56" s="399"/>
      <c r="BT56" s="399">
        <v>1436.1840000000002</v>
      </c>
      <c r="BU56" s="399"/>
      <c r="BV56" s="399">
        <v>1186.2522796834576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773.28959999999995</v>
      </c>
      <c r="CJ56" s="399">
        <v>18.020399999999995</v>
      </c>
      <c r="CK56" s="399"/>
      <c r="CL56" s="399"/>
      <c r="CM56" s="399"/>
      <c r="CN56" s="399"/>
      <c r="CO56" s="399">
        <v>-95.745600000000096</v>
      </c>
      <c r="CP56" s="399">
        <v>147.21539999999993</v>
      </c>
      <c r="CQ56" s="399">
        <v>31</v>
      </c>
      <c r="CR56" s="399">
        <v>176.80844021067628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15.708162946253481</v>
      </c>
      <c r="DA56" s="399">
        <v>0</v>
      </c>
      <c r="DB56" s="399">
        <v>0</v>
      </c>
      <c r="DC56" s="399">
        <v>147.25036709391679</v>
      </c>
      <c r="DD56" s="399">
        <v>0</v>
      </c>
      <c r="DE56" s="399">
        <v>0</v>
      </c>
      <c r="DF56" s="399">
        <v>0</v>
      </c>
      <c r="DG56" s="399">
        <v>14.255338257748733</v>
      </c>
      <c r="DH56" s="399">
        <v>0</v>
      </c>
      <c r="DI56" s="399">
        <v>0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0</v>
      </c>
      <c r="DP56" s="399">
        <v>-0.40542808724274559</v>
      </c>
      <c r="DQ56" s="399">
        <v>0</v>
      </c>
      <c r="DR56" s="399">
        <v>0</v>
      </c>
      <c r="DS56" s="399"/>
      <c r="DT56" s="399"/>
      <c r="DU56" s="399"/>
      <c r="DV56" s="399">
        <v>579.5403096613569</v>
      </c>
      <c r="DW56" s="399">
        <v>0</v>
      </c>
      <c r="DX56" s="399">
        <v>0</v>
      </c>
      <c r="DY56" s="399">
        <v>-95.745600000000081</v>
      </c>
      <c r="DZ56" s="399">
        <v>147.21540000000005</v>
      </c>
      <c r="EA56" s="399">
        <v>0</v>
      </c>
      <c r="EB56" s="399">
        <v>0</v>
      </c>
      <c r="EC56" s="399">
        <v>-125.29348799173346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215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2343</v>
      </c>
      <c r="D57" s="399" t="s">
        <v>1823</v>
      </c>
      <c r="E57" s="399" t="s">
        <v>889</v>
      </c>
      <c r="F57" s="399" t="s">
        <v>2348</v>
      </c>
      <c r="G57" s="399" t="s">
        <v>1239</v>
      </c>
      <c r="H57" s="399" t="s">
        <v>1239</v>
      </c>
      <c r="I57" s="399" t="s">
        <v>1239</v>
      </c>
      <c r="J57" s="399" t="s">
        <v>2344</v>
      </c>
      <c r="K57" s="791">
        <v>44470</v>
      </c>
      <c r="L57" s="399">
        <v>0</v>
      </c>
      <c r="M57" s="399">
        <v>0</v>
      </c>
      <c r="N57" s="399">
        <v>14.625999999999999</v>
      </c>
      <c r="O57" s="399">
        <v>14.625999999999999</v>
      </c>
      <c r="P57" s="399">
        <v>14.625999999999999</v>
      </c>
      <c r="Q57" s="399">
        <v>14.625999999999999</v>
      </c>
      <c r="R57" s="399"/>
      <c r="S57" s="399">
        <v>158.36000000000001</v>
      </c>
      <c r="T57" s="399">
        <v>171.61</v>
      </c>
      <c r="U57" s="399"/>
      <c r="V57" s="399">
        <v>4826.1412200000004</v>
      </c>
      <c r="W57" s="399">
        <v>4826.1412200000004</v>
      </c>
      <c r="X57" s="399">
        <v>4941.24784</v>
      </c>
      <c r="Y57" s="399">
        <v>0</v>
      </c>
      <c r="Z57" s="399">
        <v>0</v>
      </c>
      <c r="AA57" s="399">
        <v>0</v>
      </c>
      <c r="AB57" s="399">
        <v>0</v>
      </c>
      <c r="AC57" s="399">
        <v>0</v>
      </c>
      <c r="AD57" s="399">
        <v>780.09223403108069</v>
      </c>
      <c r="AE57" s="399">
        <v>1296.0789861019884</v>
      </c>
      <c r="AF57" s="399">
        <v>2418.7634543655031</v>
      </c>
      <c r="AG57" s="399">
        <v>91.198330701494626</v>
      </c>
      <c r="AH57" s="399">
        <v>0</v>
      </c>
      <c r="AI57" s="399">
        <v>0</v>
      </c>
      <c r="AJ57" s="399">
        <v>0</v>
      </c>
      <c r="AK57" s="399">
        <v>0</v>
      </c>
      <c r="AL57" s="399">
        <v>0</v>
      </c>
      <c r="AM57" s="399"/>
      <c r="AN57" s="399">
        <v>5.7926513805074302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234.16098640670668</v>
      </c>
      <c r="BH57" s="399">
        <v>0</v>
      </c>
      <c r="BI57" s="399">
        <v>0</v>
      </c>
      <c r="BJ57" s="399">
        <v>0</v>
      </c>
      <c r="BK57" s="399">
        <v>412.49</v>
      </c>
      <c r="BL57" s="399">
        <v>26</v>
      </c>
      <c r="BM57" s="399"/>
      <c r="BN57" s="399"/>
      <c r="BO57" s="399"/>
      <c r="BP57" s="399"/>
      <c r="BQ57" s="399"/>
      <c r="BR57" s="399"/>
      <c r="BS57" s="399"/>
      <c r="BT57" s="399">
        <v>1976.55764</v>
      </c>
      <c r="BU57" s="399"/>
      <c r="BV57" s="399">
        <v>2652.9244407722099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2965.5010000000002</v>
      </c>
      <c r="CJ57" s="399">
        <v>69.815520000000106</v>
      </c>
      <c r="CK57" s="399"/>
      <c r="CL57" s="399"/>
      <c r="CM57" s="399"/>
      <c r="CN57" s="399"/>
      <c r="CO57" s="399">
        <v>-214.1246400000002</v>
      </c>
      <c r="CP57" s="399">
        <v>329.23125999999985</v>
      </c>
      <c r="CQ57" s="399">
        <v>31</v>
      </c>
      <c r="CR57" s="399">
        <v>395.41288173109297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35.129601108853649</v>
      </c>
      <c r="DA57" s="399">
        <v>0</v>
      </c>
      <c r="DB57" s="399">
        <v>0</v>
      </c>
      <c r="DC57" s="399">
        <v>329.30946010942307</v>
      </c>
      <c r="DD57" s="399">
        <v>0</v>
      </c>
      <c r="DE57" s="399">
        <v>0</v>
      </c>
      <c r="DF57" s="399">
        <v>0</v>
      </c>
      <c r="DG57" s="399">
        <v>31.88051641557081</v>
      </c>
      <c r="DH57" s="399">
        <v>0</v>
      </c>
      <c r="DI57" s="399">
        <v>0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0</v>
      </c>
      <c r="DP57" s="399">
        <v>-0.90669590275418965</v>
      </c>
      <c r="DQ57" s="399">
        <v>0</v>
      </c>
      <c r="DR57" s="399">
        <v>0</v>
      </c>
      <c r="DS57" s="399"/>
      <c r="DT57" s="399"/>
      <c r="DU57" s="399"/>
      <c r="DV57" s="399">
        <v>1296.0789861019884</v>
      </c>
      <c r="DW57" s="399">
        <v>0</v>
      </c>
      <c r="DX57" s="399">
        <v>0</v>
      </c>
      <c r="DY57" s="399">
        <v>-214.12464000000045</v>
      </c>
      <c r="DZ57" s="399">
        <v>329.23125999999957</v>
      </c>
      <c r="EA57" s="399">
        <v>0</v>
      </c>
      <c r="EB57" s="399">
        <v>0</v>
      </c>
      <c r="EC57" s="399">
        <v>-280.20528369527415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215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956</v>
      </c>
      <c r="C58" s="399" t="s">
        <v>2343</v>
      </c>
      <c r="D58" s="399" t="s">
        <v>1823</v>
      </c>
      <c r="E58" s="399" t="s">
        <v>889</v>
      </c>
      <c r="F58" s="399" t="s">
        <v>2349</v>
      </c>
      <c r="G58" s="399" t="s">
        <v>1239</v>
      </c>
      <c r="H58" s="399" t="s">
        <v>1239</v>
      </c>
      <c r="I58" s="399" t="s">
        <v>1239</v>
      </c>
      <c r="J58" s="399" t="s">
        <v>2344</v>
      </c>
      <c r="K58" s="791">
        <v>44470</v>
      </c>
      <c r="L58" s="399">
        <v>0</v>
      </c>
      <c r="M58" s="399">
        <v>0</v>
      </c>
      <c r="N58" s="399">
        <v>17.609000000000002</v>
      </c>
      <c r="O58" s="399">
        <v>17.609000000000002</v>
      </c>
      <c r="P58" s="399">
        <v>17.609000000000002</v>
      </c>
      <c r="Q58" s="399">
        <v>17.609000000000002</v>
      </c>
      <c r="R58" s="399"/>
      <c r="S58" s="399">
        <v>158.36000000000001</v>
      </c>
      <c r="T58" s="399">
        <v>171.61</v>
      </c>
      <c r="U58" s="399"/>
      <c r="V58" s="399">
        <v>5810.4417300000005</v>
      </c>
      <c r="W58" s="399">
        <v>5810.4417300000005</v>
      </c>
      <c r="X58" s="399">
        <v>5949.0245599999998</v>
      </c>
      <c r="Y58" s="399">
        <v>0</v>
      </c>
      <c r="Z58" s="399">
        <v>0</v>
      </c>
      <c r="AA58" s="399">
        <v>0</v>
      </c>
      <c r="AB58" s="399">
        <v>0</v>
      </c>
      <c r="AC58" s="399">
        <v>0</v>
      </c>
      <c r="AD58" s="399">
        <v>939.19350123432935</v>
      </c>
      <c r="AE58" s="399">
        <v>1560.4167144995158</v>
      </c>
      <c r="AF58" s="399">
        <v>2912.0747755997641</v>
      </c>
      <c r="AG58" s="399">
        <v>109.79840047330912</v>
      </c>
      <c r="AH58" s="399">
        <v>0</v>
      </c>
      <c r="AI58" s="399">
        <v>0</v>
      </c>
      <c r="AJ58" s="399">
        <v>0</v>
      </c>
      <c r="AK58" s="399">
        <v>0</v>
      </c>
      <c r="AL58" s="399">
        <v>0</v>
      </c>
      <c r="AM58" s="399"/>
      <c r="AN58" s="399">
        <v>6.9740734417718686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281.91855665497735</v>
      </c>
      <c r="BH58" s="399">
        <v>0</v>
      </c>
      <c r="BI58" s="399">
        <v>0</v>
      </c>
      <c r="BJ58" s="399">
        <v>0</v>
      </c>
      <c r="BK58" s="399">
        <v>1409.01</v>
      </c>
      <c r="BL58" s="399">
        <v>91</v>
      </c>
      <c r="BM58" s="399"/>
      <c r="BN58" s="399"/>
      <c r="BO58" s="399"/>
      <c r="BP58" s="399"/>
      <c r="BQ58" s="399"/>
      <c r="BR58" s="399"/>
      <c r="BS58" s="399"/>
      <c r="BT58" s="399">
        <v>594.83202000000006</v>
      </c>
      <c r="BU58" s="399"/>
      <c r="BV58" s="399">
        <v>3193.9933322547413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5354.4966000000004</v>
      </c>
      <c r="CJ58" s="399">
        <v>125.12186999999903</v>
      </c>
      <c r="CK58" s="399"/>
      <c r="CL58" s="399"/>
      <c r="CM58" s="399"/>
      <c r="CN58" s="399"/>
      <c r="CO58" s="399">
        <v>-257.79576000000031</v>
      </c>
      <c r="CP58" s="399">
        <v>396.37858999999986</v>
      </c>
      <c r="CQ58" s="399">
        <v>31</v>
      </c>
      <c r="CR58" s="399">
        <v>476.05807701373033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42.29434882577641</v>
      </c>
      <c r="DA58" s="399">
        <v>0</v>
      </c>
      <c r="DB58" s="399">
        <v>0</v>
      </c>
      <c r="DC58" s="399">
        <v>396.47273916770337</v>
      </c>
      <c r="DD58" s="399">
        <v>0</v>
      </c>
      <c r="DE58" s="399">
        <v>0</v>
      </c>
      <c r="DF58" s="399">
        <v>0</v>
      </c>
      <c r="DG58" s="399">
        <v>38.382607244754979</v>
      </c>
      <c r="DH58" s="399">
        <v>0</v>
      </c>
      <c r="DI58" s="399">
        <v>0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0</v>
      </c>
      <c r="DP58" s="399">
        <v>-1.0916182245042068</v>
      </c>
      <c r="DQ58" s="399">
        <v>0</v>
      </c>
      <c r="DR58" s="399">
        <v>0</v>
      </c>
      <c r="DS58" s="399"/>
      <c r="DT58" s="399"/>
      <c r="DU58" s="399"/>
      <c r="DV58" s="399">
        <v>1560.4167144995158</v>
      </c>
      <c r="DW58" s="399">
        <v>0</v>
      </c>
      <c r="DX58" s="399">
        <v>0</v>
      </c>
      <c r="DY58" s="399">
        <v>-257.79576000000043</v>
      </c>
      <c r="DZ58" s="399">
        <v>396.3785899999998</v>
      </c>
      <c r="EA58" s="399">
        <v>0</v>
      </c>
      <c r="EB58" s="399">
        <v>0</v>
      </c>
      <c r="EC58" s="399">
        <v>-337.3536743190266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215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2345</v>
      </c>
      <c r="C59" s="399" t="s">
        <v>2343</v>
      </c>
      <c r="D59" s="399" t="s">
        <v>1823</v>
      </c>
      <c r="E59" s="399" t="s">
        <v>889</v>
      </c>
      <c r="F59" s="399" t="s">
        <v>2349</v>
      </c>
      <c r="G59" s="399" t="s">
        <v>1239</v>
      </c>
      <c r="H59" s="399" t="s">
        <v>1239</v>
      </c>
      <c r="I59" s="399" t="s">
        <v>1239</v>
      </c>
      <c r="J59" s="399" t="s">
        <v>2344</v>
      </c>
      <c r="K59" s="791">
        <v>44470</v>
      </c>
      <c r="L59" s="399">
        <v>0</v>
      </c>
      <c r="M59" s="399">
        <v>0</v>
      </c>
      <c r="N59" s="399">
        <v>8.5999999999999993E-2</v>
      </c>
      <c r="O59" s="399">
        <v>8.5999999999999993E-2</v>
      </c>
      <c r="P59" s="399">
        <v>8.5999999999999993E-2</v>
      </c>
      <c r="Q59" s="399">
        <v>8.5999999999999993E-2</v>
      </c>
      <c r="R59" s="399"/>
      <c r="S59" s="399">
        <v>158.36000000000001</v>
      </c>
      <c r="T59" s="399">
        <v>171.61</v>
      </c>
      <c r="U59" s="399"/>
      <c r="V59" s="399">
        <v>28.377420000000001</v>
      </c>
      <c r="W59" s="399">
        <v>28.377420000000001</v>
      </c>
      <c r="X59" s="399">
        <v>29.054239999999997</v>
      </c>
      <c r="Y59" s="399">
        <v>0</v>
      </c>
      <c r="Z59" s="399">
        <v>0</v>
      </c>
      <c r="AA59" s="399">
        <v>0</v>
      </c>
      <c r="AB59" s="399">
        <v>0</v>
      </c>
      <c r="AC59" s="399">
        <v>0</v>
      </c>
      <c r="AD59" s="399">
        <v>4.5868954004288893</v>
      </c>
      <c r="AE59" s="399">
        <v>7.6208664573205942</v>
      </c>
      <c r="AF59" s="399">
        <v>14.22218358234878</v>
      </c>
      <c r="AG59" s="399">
        <v>0.53624069741067537</v>
      </c>
      <c r="AH59" s="399">
        <v>0</v>
      </c>
      <c r="AI59" s="399">
        <v>0</v>
      </c>
      <c r="AJ59" s="399">
        <v>0</v>
      </c>
      <c r="AK59" s="399">
        <v>0</v>
      </c>
      <c r="AL59" s="399">
        <v>0</v>
      </c>
      <c r="AM59" s="399"/>
      <c r="AN59" s="399">
        <v>3.4060441591934838E-2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1.3768525113480632</v>
      </c>
      <c r="BH59" s="399">
        <v>0</v>
      </c>
      <c r="BI59" s="399">
        <v>0</v>
      </c>
      <c r="BJ59" s="399">
        <v>0</v>
      </c>
      <c r="BK59" s="399">
        <v>5.82</v>
      </c>
      <c r="BL59" s="399">
        <v>0</v>
      </c>
      <c r="BM59" s="399"/>
      <c r="BN59" s="399"/>
      <c r="BO59" s="399"/>
      <c r="BP59" s="399"/>
      <c r="BQ59" s="399"/>
      <c r="BR59" s="399"/>
      <c r="BS59" s="399"/>
      <c r="BT59" s="399">
        <v>2.9050799999999999</v>
      </c>
      <c r="BU59" s="399"/>
      <c r="BV59" s="399">
        <v>15.599036093696844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27.365400000000001</v>
      </c>
      <c r="CJ59" s="399">
        <v>1.7959800000000037</v>
      </c>
      <c r="CK59" s="399"/>
      <c r="CL59" s="399"/>
      <c r="CM59" s="399"/>
      <c r="CN59" s="399"/>
      <c r="CO59" s="399">
        <v>-1.2590400000000013</v>
      </c>
      <c r="CP59" s="399">
        <v>1.935859999999999</v>
      </c>
      <c r="CQ59" s="399">
        <v>31</v>
      </c>
      <c r="CR59" s="399">
        <v>2.3250039538406959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0.20655994088345508</v>
      </c>
      <c r="DA59" s="399">
        <v>0</v>
      </c>
      <c r="DB59" s="399">
        <v>0</v>
      </c>
      <c r="DC59" s="399">
        <v>1.936319811938354</v>
      </c>
      <c r="DD59" s="399">
        <v>0</v>
      </c>
      <c r="DE59" s="399">
        <v>0</v>
      </c>
      <c r="DF59" s="399">
        <v>0</v>
      </c>
      <c r="DG59" s="399">
        <v>0.18745551837406604</v>
      </c>
      <c r="DH59" s="399">
        <v>0</v>
      </c>
      <c r="DI59" s="399">
        <v>0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0</v>
      </c>
      <c r="DP59" s="399">
        <v>-5.3313173551798355E-3</v>
      </c>
      <c r="DQ59" s="399">
        <v>0</v>
      </c>
      <c r="DR59" s="399">
        <v>0</v>
      </c>
      <c r="DS59" s="399"/>
      <c r="DT59" s="399"/>
      <c r="DU59" s="399"/>
      <c r="DV59" s="399">
        <v>7.6208664573205942</v>
      </c>
      <c r="DW59" s="399">
        <v>0</v>
      </c>
      <c r="DX59" s="399">
        <v>0</v>
      </c>
      <c r="DY59" s="399">
        <v>-1.2590400000000006</v>
      </c>
      <c r="DZ59" s="399">
        <v>1.9358599999999981</v>
      </c>
      <c r="EA59" s="399">
        <v>0</v>
      </c>
      <c r="EB59" s="399">
        <v>0</v>
      </c>
      <c r="EC59" s="399">
        <v>-1.6475902090656076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215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956</v>
      </c>
      <c r="C60" s="399" t="s">
        <v>2343</v>
      </c>
      <c r="D60" s="399" t="s">
        <v>1823</v>
      </c>
      <c r="E60" s="399" t="s">
        <v>889</v>
      </c>
      <c r="F60" s="399" t="s">
        <v>2350</v>
      </c>
      <c r="G60" s="399" t="s">
        <v>1239</v>
      </c>
      <c r="H60" s="399" t="s">
        <v>1239</v>
      </c>
      <c r="I60" s="399" t="s">
        <v>1239</v>
      </c>
      <c r="J60" s="399" t="s">
        <v>2344</v>
      </c>
      <c r="K60" s="791">
        <v>44470</v>
      </c>
      <c r="L60" s="399">
        <v>0</v>
      </c>
      <c r="M60" s="399">
        <v>0</v>
      </c>
      <c r="N60" s="399">
        <v>11.222</v>
      </c>
      <c r="O60" s="399">
        <v>11.222</v>
      </c>
      <c r="P60" s="399">
        <v>11.222</v>
      </c>
      <c r="Q60" s="399">
        <v>11.222</v>
      </c>
      <c r="R60" s="399"/>
      <c r="S60" s="399">
        <v>158.36000000000001</v>
      </c>
      <c r="T60" s="399">
        <v>171.61</v>
      </c>
      <c r="U60" s="399"/>
      <c r="V60" s="399">
        <v>3702.9233400000003</v>
      </c>
      <c r="W60" s="399">
        <v>3702.9233400000003</v>
      </c>
      <c r="X60" s="399">
        <v>3791.2404799999999</v>
      </c>
      <c r="Y60" s="399">
        <v>0</v>
      </c>
      <c r="Z60" s="399">
        <v>0</v>
      </c>
      <c r="AA60" s="399">
        <v>0</v>
      </c>
      <c r="AB60" s="399">
        <v>0</v>
      </c>
      <c r="AC60" s="399">
        <v>0</v>
      </c>
      <c r="AD60" s="399">
        <v>598.53651376294181</v>
      </c>
      <c r="AE60" s="399">
        <v>994.43445795408968</v>
      </c>
      <c r="AF60" s="399">
        <v>1855.8295832688141</v>
      </c>
      <c r="AG60" s="399">
        <v>69.973175655146505</v>
      </c>
      <c r="AH60" s="399">
        <v>0</v>
      </c>
      <c r="AI60" s="399">
        <v>0</v>
      </c>
      <c r="AJ60" s="399">
        <v>0</v>
      </c>
      <c r="AK60" s="399">
        <v>0</v>
      </c>
      <c r="AL60" s="399">
        <v>0</v>
      </c>
      <c r="AM60" s="399"/>
      <c r="AN60" s="399">
        <v>4.444491576101079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179.66324281799962</v>
      </c>
      <c r="BH60" s="399">
        <v>0</v>
      </c>
      <c r="BI60" s="399">
        <v>0</v>
      </c>
      <c r="BJ60" s="399">
        <v>0</v>
      </c>
      <c r="BK60" s="399">
        <v>1885.49</v>
      </c>
      <c r="BL60" s="399">
        <v>98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2035.4928260868137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3790.5648000000001</v>
      </c>
      <c r="CJ60" s="399">
        <v>87.611459999999624</v>
      </c>
      <c r="CK60" s="399"/>
      <c r="CL60" s="399"/>
      <c r="CM60" s="399"/>
      <c r="CN60" s="399"/>
      <c r="CO60" s="399">
        <v>-164.29008000000016</v>
      </c>
      <c r="CP60" s="399">
        <v>252.6072199999999</v>
      </c>
      <c r="CQ60" s="399">
        <v>31</v>
      </c>
      <c r="CR60" s="399">
        <v>303.3859810465151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26.953670425513224</v>
      </c>
      <c r="DA60" s="399">
        <v>0</v>
      </c>
      <c r="DB60" s="399">
        <v>0</v>
      </c>
      <c r="DC60" s="399">
        <v>252.66722011130469</v>
      </c>
      <c r="DD60" s="399">
        <v>0</v>
      </c>
      <c r="DE60" s="399">
        <v>0</v>
      </c>
      <c r="DF60" s="399">
        <v>0</v>
      </c>
      <c r="DG60" s="399">
        <v>24.460765432485658</v>
      </c>
      <c r="DH60" s="399">
        <v>0</v>
      </c>
      <c r="DI60" s="399">
        <v>0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0</v>
      </c>
      <c r="DP60" s="399">
        <v>-0.69567492278869958</v>
      </c>
      <c r="DQ60" s="399">
        <v>0</v>
      </c>
      <c r="DR60" s="399">
        <v>0</v>
      </c>
      <c r="DS60" s="399"/>
      <c r="DT60" s="399"/>
      <c r="DU60" s="399"/>
      <c r="DV60" s="399">
        <v>994.43445795408968</v>
      </c>
      <c r="DW60" s="399">
        <v>0</v>
      </c>
      <c r="DX60" s="399">
        <v>0</v>
      </c>
      <c r="DY60" s="399">
        <v>-164.29008000000022</v>
      </c>
      <c r="DZ60" s="399">
        <v>252.60721999999987</v>
      </c>
      <c r="EA60" s="399">
        <v>0</v>
      </c>
      <c r="EB60" s="399">
        <v>0</v>
      </c>
      <c r="EC60" s="399">
        <v>-214.99136425737504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215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2345</v>
      </c>
      <c r="C61" s="399" t="s">
        <v>2343</v>
      </c>
      <c r="D61" s="399" t="s">
        <v>1823</v>
      </c>
      <c r="E61" s="399" t="s">
        <v>889</v>
      </c>
      <c r="F61" s="399" t="s">
        <v>2350</v>
      </c>
      <c r="G61" s="399" t="s">
        <v>1239</v>
      </c>
      <c r="H61" s="399" t="s">
        <v>1239</v>
      </c>
      <c r="I61" s="399" t="s">
        <v>1239</v>
      </c>
      <c r="J61" s="399" t="s">
        <v>2344</v>
      </c>
      <c r="K61" s="791">
        <v>44470</v>
      </c>
      <c r="L61" s="399">
        <v>0</v>
      </c>
      <c r="M61" s="399">
        <v>0</v>
      </c>
      <c r="N61" s="399">
        <v>0.114</v>
      </c>
      <c r="O61" s="399">
        <v>0.114</v>
      </c>
      <c r="P61" s="399">
        <v>0.114</v>
      </c>
      <c r="Q61" s="399">
        <v>0.114</v>
      </c>
      <c r="R61" s="399"/>
      <c r="S61" s="399">
        <v>158.36000000000001</v>
      </c>
      <c r="T61" s="399">
        <v>171.61</v>
      </c>
      <c r="U61" s="399"/>
      <c r="V61" s="399">
        <v>37.616580000000006</v>
      </c>
      <c r="W61" s="399">
        <v>37.616580000000006</v>
      </c>
      <c r="X61" s="399">
        <v>38.513760000000005</v>
      </c>
      <c r="Y61" s="399">
        <v>0</v>
      </c>
      <c r="Z61" s="399">
        <v>0</v>
      </c>
      <c r="AA61" s="399">
        <v>0</v>
      </c>
      <c r="AB61" s="399">
        <v>0</v>
      </c>
      <c r="AC61" s="399">
        <v>0</v>
      </c>
      <c r="AD61" s="399">
        <v>6.0803032052196908</v>
      </c>
      <c r="AE61" s="399">
        <v>10.102078792262184</v>
      </c>
      <c r="AF61" s="399">
        <v>18.852661957997221</v>
      </c>
      <c r="AG61" s="399">
        <v>0.71083069191647674</v>
      </c>
      <c r="AH61" s="399">
        <v>0</v>
      </c>
      <c r="AI61" s="399">
        <v>0</v>
      </c>
      <c r="AJ61" s="399">
        <v>0</v>
      </c>
      <c r="AK61" s="399">
        <v>0</v>
      </c>
      <c r="AL61" s="399">
        <v>0</v>
      </c>
      <c r="AM61" s="399"/>
      <c r="AN61" s="399">
        <v>4.5149887691634562E-2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1.8251300731823166</v>
      </c>
      <c r="BH61" s="399">
        <v>0</v>
      </c>
      <c r="BI61" s="399">
        <v>0</v>
      </c>
      <c r="BJ61" s="399">
        <v>0</v>
      </c>
      <c r="BK61" s="399">
        <v>17.79</v>
      </c>
      <c r="BL61" s="399">
        <v>0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>
        <v>20.677792031179536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37.162400000000005</v>
      </c>
      <c r="CJ61" s="399">
        <v>-0.48418000000000205</v>
      </c>
      <c r="CK61" s="399"/>
      <c r="CL61" s="399"/>
      <c r="CM61" s="399"/>
      <c r="CN61" s="399"/>
      <c r="CO61" s="399">
        <v>-1.6689600000000018</v>
      </c>
      <c r="CP61" s="399">
        <v>2.566139999999999</v>
      </c>
      <c r="CQ61" s="399">
        <v>31</v>
      </c>
      <c r="CR61" s="399">
        <v>3.0819819853237114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0.27381201465946425</v>
      </c>
      <c r="DA61" s="399">
        <v>0</v>
      </c>
      <c r="DB61" s="399">
        <v>0</v>
      </c>
      <c r="DC61" s="399">
        <v>2.5667495181508428</v>
      </c>
      <c r="DD61" s="399">
        <v>0</v>
      </c>
      <c r="DE61" s="399">
        <v>0</v>
      </c>
      <c r="DF61" s="399">
        <v>0</v>
      </c>
      <c r="DG61" s="399">
        <v>0.24848754761213399</v>
      </c>
      <c r="DH61" s="399">
        <v>0</v>
      </c>
      <c r="DI61" s="399">
        <v>0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0</v>
      </c>
      <c r="DP61" s="399">
        <v>-7.0670950987267653E-3</v>
      </c>
      <c r="DQ61" s="399">
        <v>0</v>
      </c>
      <c r="DR61" s="399">
        <v>0</v>
      </c>
      <c r="DS61" s="399"/>
      <c r="DT61" s="399"/>
      <c r="DU61" s="399"/>
      <c r="DV61" s="399">
        <v>10.102078792262184</v>
      </c>
      <c r="DW61" s="399">
        <v>0</v>
      </c>
      <c r="DX61" s="399">
        <v>0</v>
      </c>
      <c r="DY61" s="399">
        <v>-1.668960000000002</v>
      </c>
      <c r="DZ61" s="399">
        <v>2.5661399999999972</v>
      </c>
      <c r="EA61" s="399">
        <v>0</v>
      </c>
      <c r="EB61" s="399">
        <v>0</v>
      </c>
      <c r="EC61" s="399">
        <v>-2.1840149282962704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215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956</v>
      </c>
      <c r="C62" s="399" t="s">
        <v>2343</v>
      </c>
      <c r="D62" s="399" t="s">
        <v>1826</v>
      </c>
      <c r="E62" s="399" t="s">
        <v>890</v>
      </c>
      <c r="F62" s="399" t="s">
        <v>1239</v>
      </c>
      <c r="G62" s="399" t="s">
        <v>1239</v>
      </c>
      <c r="H62" s="399" t="s">
        <v>1239</v>
      </c>
      <c r="I62" s="399" t="s">
        <v>1239</v>
      </c>
      <c r="J62" s="399" t="s">
        <v>2344</v>
      </c>
      <c r="K62" s="791">
        <v>44470</v>
      </c>
      <c r="L62" s="399">
        <v>0</v>
      </c>
      <c r="M62" s="399">
        <v>0</v>
      </c>
      <c r="N62" s="399">
        <v>249.876</v>
      </c>
      <c r="O62" s="399">
        <v>249.876</v>
      </c>
      <c r="P62" s="399">
        <v>249.876</v>
      </c>
      <c r="Q62" s="399">
        <v>249.876</v>
      </c>
      <c r="R62" s="399"/>
      <c r="S62" s="399">
        <v>239.69</v>
      </c>
      <c r="T62" s="399">
        <v>171.61</v>
      </c>
      <c r="U62" s="399"/>
      <c r="V62" s="399">
        <v>102773.9988</v>
      </c>
      <c r="W62" s="399">
        <v>102773.9988</v>
      </c>
      <c r="X62" s="399">
        <v>102396.68604</v>
      </c>
      <c r="Y62" s="399">
        <v>0</v>
      </c>
      <c r="Z62" s="399">
        <v>15106.828123343334</v>
      </c>
      <c r="AA62" s="399">
        <v>0</v>
      </c>
      <c r="AB62" s="399">
        <v>0</v>
      </c>
      <c r="AC62" s="399">
        <v>0</v>
      </c>
      <c r="AD62" s="399">
        <v>13327.384593925224</v>
      </c>
      <c r="AE62" s="399">
        <v>22142.693335923734</v>
      </c>
      <c r="AF62" s="399">
        <v>41323.050521197489</v>
      </c>
      <c r="AG62" s="399">
        <v>1558.0660523975573</v>
      </c>
      <c r="AH62" s="399">
        <v>0</v>
      </c>
      <c r="AI62" s="399">
        <v>0</v>
      </c>
      <c r="AJ62" s="399">
        <v>0</v>
      </c>
      <c r="AK62" s="399">
        <v>0</v>
      </c>
      <c r="AL62" s="399">
        <v>2335.868528616234</v>
      </c>
      <c r="AM62" s="399"/>
      <c r="AN62" s="399">
        <v>98.963801200305937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4000.4930014605661</v>
      </c>
      <c r="BH62" s="399">
        <v>0</v>
      </c>
      <c r="BI62" s="399">
        <v>0</v>
      </c>
      <c r="BJ62" s="399">
        <v>0</v>
      </c>
      <c r="BK62" s="399">
        <v>45733.58</v>
      </c>
      <c r="BL62" s="399">
        <v>78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45323.543522658052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102398.32519999999</v>
      </c>
      <c r="CJ62" s="399">
        <v>-375.70360000002256</v>
      </c>
      <c r="CK62" s="399"/>
      <c r="CL62" s="399"/>
      <c r="CM62" s="399"/>
      <c r="CN62" s="399"/>
      <c r="CO62" s="399">
        <v>-6002.021520000003</v>
      </c>
      <c r="CP62" s="399">
        <v>5624.7087599999977</v>
      </c>
      <c r="CQ62" s="399">
        <v>31</v>
      </c>
      <c r="CR62" s="399">
        <v>4411.2217282202619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600.1671138162128</v>
      </c>
      <c r="DA62" s="399">
        <v>0</v>
      </c>
      <c r="DB62" s="399">
        <v>0</v>
      </c>
      <c r="DC62" s="399">
        <v>5626.0447596268423</v>
      </c>
      <c r="DD62" s="399">
        <v>0</v>
      </c>
      <c r="DE62" s="399">
        <v>0</v>
      </c>
      <c r="DF62" s="399">
        <v>0</v>
      </c>
      <c r="DG62" s="399">
        <v>544.65854778183893</v>
      </c>
      <c r="DH62" s="399">
        <v>0</v>
      </c>
      <c r="DI62" s="399">
        <v>-2074.9644397480624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-269.19392470491948</v>
      </c>
      <c r="DP62" s="399">
        <v>-15.490328551661833</v>
      </c>
      <c r="DQ62" s="399">
        <v>0</v>
      </c>
      <c r="DR62" s="399">
        <v>0</v>
      </c>
      <c r="DS62" s="399"/>
      <c r="DT62" s="399"/>
      <c r="DU62" s="399"/>
      <c r="DV62" s="399">
        <v>22142.693335923734</v>
      </c>
      <c r="DW62" s="399">
        <v>0</v>
      </c>
      <c r="DX62" s="399">
        <v>0</v>
      </c>
      <c r="DY62" s="399">
        <v>-6002.0215200000021</v>
      </c>
      <c r="DZ62" s="399">
        <v>5624.7087599999941</v>
      </c>
      <c r="EA62" s="399">
        <v>0</v>
      </c>
      <c r="EB62" s="399">
        <v>0</v>
      </c>
      <c r="EC62" s="399">
        <v>-4787.1308265171865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2880.819553529293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215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2346</v>
      </c>
      <c r="C63" s="399" t="s">
        <v>2343</v>
      </c>
      <c r="D63" s="399" t="s">
        <v>1826</v>
      </c>
      <c r="E63" s="399" t="s">
        <v>890</v>
      </c>
      <c r="F63" s="399" t="s">
        <v>1239</v>
      </c>
      <c r="G63" s="399" t="s">
        <v>1239</v>
      </c>
      <c r="H63" s="399" t="s">
        <v>1239</v>
      </c>
      <c r="I63" s="399" t="s">
        <v>1239</v>
      </c>
      <c r="J63" s="399" t="s">
        <v>2344</v>
      </c>
      <c r="K63" s="791">
        <v>44470</v>
      </c>
      <c r="L63" s="399">
        <v>0</v>
      </c>
      <c r="M63" s="399">
        <v>0</v>
      </c>
      <c r="N63" s="399">
        <v>6.4710000000000001</v>
      </c>
      <c r="O63" s="399">
        <v>6.4710000000000001</v>
      </c>
      <c r="P63" s="399">
        <v>6.4710000000000001</v>
      </c>
      <c r="Q63" s="399">
        <v>6.4710000000000001</v>
      </c>
      <c r="R63" s="399"/>
      <c r="S63" s="399">
        <v>239.69</v>
      </c>
      <c r="T63" s="399">
        <v>171.61</v>
      </c>
      <c r="U63" s="399"/>
      <c r="V63" s="399">
        <v>2661.5223000000001</v>
      </c>
      <c r="W63" s="399">
        <v>2661.5223000000001</v>
      </c>
      <c r="X63" s="399">
        <v>2651.7510899999997</v>
      </c>
      <c r="Y63" s="399">
        <v>0</v>
      </c>
      <c r="Z63" s="399">
        <v>391.21918385981331</v>
      </c>
      <c r="AA63" s="399">
        <v>0</v>
      </c>
      <c r="AB63" s="399">
        <v>0</v>
      </c>
      <c r="AC63" s="399">
        <v>0</v>
      </c>
      <c r="AD63" s="399">
        <v>345.13721088575983</v>
      </c>
      <c r="AE63" s="399">
        <v>573.42589355025086</v>
      </c>
      <c r="AF63" s="399">
        <v>1070.136627457895</v>
      </c>
      <c r="AG63" s="399">
        <v>40.348994801680007</v>
      </c>
      <c r="AH63" s="399">
        <v>0</v>
      </c>
      <c r="AI63" s="399">
        <v>0</v>
      </c>
      <c r="AJ63" s="399">
        <v>0</v>
      </c>
      <c r="AK63" s="399">
        <v>0</v>
      </c>
      <c r="AL63" s="399">
        <v>60.491624840623544</v>
      </c>
      <c r="AM63" s="399"/>
      <c r="AN63" s="399">
        <v>2.5628502039698882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103.60014652248044</v>
      </c>
      <c r="BH63" s="399">
        <v>0</v>
      </c>
      <c r="BI63" s="399">
        <v>0</v>
      </c>
      <c r="BJ63" s="399">
        <v>0</v>
      </c>
      <c r="BK63" s="399">
        <v>1195.3900000000001</v>
      </c>
      <c r="BL63" s="399">
        <v>4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1173.7367739803753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2651.3413</v>
      </c>
      <c r="CJ63" s="399">
        <v>-10.21100000000024</v>
      </c>
      <c r="CK63" s="399"/>
      <c r="CL63" s="399"/>
      <c r="CM63" s="399"/>
      <c r="CN63" s="399"/>
      <c r="CO63" s="399">
        <v>-155.43342000000007</v>
      </c>
      <c r="CP63" s="399">
        <v>145.66220999999993</v>
      </c>
      <c r="CQ63" s="399">
        <v>31</v>
      </c>
      <c r="CR63" s="399">
        <v>114.23672462866898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15.542434621591156</v>
      </c>
      <c r="DA63" s="399">
        <v>0</v>
      </c>
      <c r="DB63" s="399">
        <v>0</v>
      </c>
      <c r="DC63" s="399">
        <v>145.69680817503604</v>
      </c>
      <c r="DD63" s="399">
        <v>0</v>
      </c>
      <c r="DE63" s="399">
        <v>0</v>
      </c>
      <c r="DF63" s="399">
        <v>0</v>
      </c>
      <c r="DG63" s="399">
        <v>14.104937899983497</v>
      </c>
      <c r="DH63" s="399">
        <v>0</v>
      </c>
      <c r="DI63" s="399">
        <v>-53.735032134377491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-6.9712732986182502</v>
      </c>
      <c r="DP63" s="399">
        <v>-0.40115063494614844</v>
      </c>
      <c r="DQ63" s="399">
        <v>0</v>
      </c>
      <c r="DR63" s="399">
        <v>0</v>
      </c>
      <c r="DS63" s="399"/>
      <c r="DT63" s="399"/>
      <c r="DU63" s="399"/>
      <c r="DV63" s="399">
        <v>573.42589355025086</v>
      </c>
      <c r="DW63" s="399">
        <v>0</v>
      </c>
      <c r="DX63" s="399">
        <v>0</v>
      </c>
      <c r="DY63" s="399">
        <v>-155.43342000000007</v>
      </c>
      <c r="DZ63" s="399">
        <v>145.66220999999996</v>
      </c>
      <c r="EA63" s="399">
        <v>0</v>
      </c>
      <c r="EB63" s="399">
        <v>0</v>
      </c>
      <c r="EC63" s="399">
        <v>-123.97158421934364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74.604136975492054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215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956</v>
      </c>
      <c r="C64" s="399" t="s">
        <v>2351</v>
      </c>
      <c r="D64" s="399" t="s">
        <v>533</v>
      </c>
      <c r="E64" s="399" t="s">
        <v>890</v>
      </c>
      <c r="F64" s="399" t="s">
        <v>1239</v>
      </c>
      <c r="G64" s="399" t="s">
        <v>1239</v>
      </c>
      <c r="H64" s="399" t="s">
        <v>1239</v>
      </c>
      <c r="I64" s="399" t="s">
        <v>893</v>
      </c>
      <c r="J64" s="399" t="s">
        <v>2344</v>
      </c>
      <c r="K64" s="791">
        <v>44470</v>
      </c>
      <c r="L64" s="399">
        <v>19549</v>
      </c>
      <c r="M64" s="399">
        <v>19549</v>
      </c>
      <c r="N64" s="399">
        <v>912.226</v>
      </c>
      <c r="O64" s="399">
        <v>912.226</v>
      </c>
      <c r="P64" s="399">
        <v>912.226</v>
      </c>
      <c r="Q64" s="399">
        <v>912.226</v>
      </c>
      <c r="R64" s="399">
        <v>37.64</v>
      </c>
      <c r="S64" s="399">
        <v>78.42</v>
      </c>
      <c r="T64" s="399">
        <v>171.61</v>
      </c>
      <c r="U64" s="399">
        <v>735824.36</v>
      </c>
      <c r="V64" s="399">
        <v>228083.86678000001</v>
      </c>
      <c r="W64" s="399">
        <v>963908.22678000003</v>
      </c>
      <c r="X64" s="399">
        <v>901946.10904000001</v>
      </c>
      <c r="Y64" s="399">
        <v>0</v>
      </c>
      <c r="Z64" s="399">
        <v>47981.126681758731</v>
      </c>
      <c r="AA64" s="399">
        <v>0</v>
      </c>
      <c r="AB64" s="399">
        <v>0</v>
      </c>
      <c r="AC64" s="399">
        <v>0</v>
      </c>
      <c r="AD64" s="399">
        <v>319511.10911431018</v>
      </c>
      <c r="AE64" s="399">
        <v>416246.68040036852</v>
      </c>
      <c r="AF64" s="399">
        <v>150858.67023943836</v>
      </c>
      <c r="AG64" s="399">
        <v>5688.0547260017529</v>
      </c>
      <c r="AH64" s="399">
        <v>0</v>
      </c>
      <c r="AI64" s="399">
        <v>0</v>
      </c>
      <c r="AJ64" s="399">
        <v>0</v>
      </c>
      <c r="AK64" s="399">
        <v>0</v>
      </c>
      <c r="AL64" s="399">
        <v>8527.5897020340981</v>
      </c>
      <c r="AM64" s="399"/>
      <c r="AN64" s="399">
        <v>240.88283074661234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5638.732325047019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156497.40256448538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901947.16920000012</v>
      </c>
      <c r="CJ64" s="399">
        <v>-61961.087579999934</v>
      </c>
      <c r="CK64" s="399"/>
      <c r="CL64" s="399"/>
      <c r="CM64" s="399"/>
      <c r="CN64" s="399"/>
      <c r="CO64" s="399">
        <v>-82496.324999999953</v>
      </c>
      <c r="CP64" s="399">
        <v>20534.207259999992</v>
      </c>
      <c r="CQ64" s="399">
        <v>31</v>
      </c>
      <c r="CR64" s="399">
        <v>28084.415589653305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14388.4239880612</v>
      </c>
      <c r="DA64" s="399">
        <v>0</v>
      </c>
      <c r="DB64" s="399">
        <v>0</v>
      </c>
      <c r="DC64" s="399">
        <v>20539.084613549727</v>
      </c>
      <c r="DD64" s="399">
        <v>0</v>
      </c>
      <c r="DE64" s="399">
        <v>0</v>
      </c>
      <c r="DF64" s="399">
        <v>0</v>
      </c>
      <c r="DG64" s="399">
        <v>767.70132040457884</v>
      </c>
      <c r="DH64" s="399">
        <v>0</v>
      </c>
      <c r="DI64" s="399">
        <v>-6590.339866901304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-982.75023274692103</v>
      </c>
      <c r="DP64" s="399">
        <v>-37.704232714010487</v>
      </c>
      <c r="DQ64" s="399">
        <v>0</v>
      </c>
      <c r="DR64" s="399">
        <v>0</v>
      </c>
      <c r="DS64" s="399"/>
      <c r="DT64" s="399"/>
      <c r="DU64" s="399">
        <v>416246.68040036852</v>
      </c>
      <c r="DV64" s="399">
        <v>0</v>
      </c>
      <c r="DW64" s="399">
        <v>0</v>
      </c>
      <c r="DX64" s="399">
        <v>0</v>
      </c>
      <c r="DY64" s="399">
        <v>-82496.324999999953</v>
      </c>
      <c r="DZ64" s="399">
        <v>20534.207259999996</v>
      </c>
      <c r="EA64" s="399">
        <v>0</v>
      </c>
      <c r="EB64" s="399">
        <v>0</v>
      </c>
      <c r="EC64" s="399">
        <v>-89990.286409613676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9149.8338907813886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215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2346</v>
      </c>
      <c r="C65" s="399" t="s">
        <v>2351</v>
      </c>
      <c r="D65" s="399" t="s">
        <v>533</v>
      </c>
      <c r="E65" s="399" t="s">
        <v>890</v>
      </c>
      <c r="F65" s="399" t="s">
        <v>1239</v>
      </c>
      <c r="G65" s="399" t="s">
        <v>1239</v>
      </c>
      <c r="H65" s="399" t="s">
        <v>1239</v>
      </c>
      <c r="I65" s="399" t="s">
        <v>893</v>
      </c>
      <c r="J65" s="399" t="s">
        <v>2344</v>
      </c>
      <c r="K65" s="791">
        <v>44470</v>
      </c>
      <c r="L65" s="399">
        <v>1345</v>
      </c>
      <c r="M65" s="399">
        <v>1345</v>
      </c>
      <c r="N65" s="399">
        <v>69.906000000000006</v>
      </c>
      <c r="O65" s="399">
        <v>69.906000000000006</v>
      </c>
      <c r="P65" s="399">
        <v>69.906000000000006</v>
      </c>
      <c r="Q65" s="399">
        <v>69.906000000000006</v>
      </c>
      <c r="R65" s="399">
        <v>37.64</v>
      </c>
      <c r="S65" s="399">
        <v>78.42</v>
      </c>
      <c r="T65" s="399">
        <v>171.61</v>
      </c>
      <c r="U65" s="399">
        <v>50625.8</v>
      </c>
      <c r="V65" s="399">
        <v>17478.597180000004</v>
      </c>
      <c r="W65" s="399">
        <v>68104.39718</v>
      </c>
      <c r="X65" s="399">
        <v>63948.536240000001</v>
      </c>
      <c r="Y65" s="399">
        <v>0</v>
      </c>
      <c r="Z65" s="399">
        <v>3676.9053302745438</v>
      </c>
      <c r="AA65" s="399">
        <v>0</v>
      </c>
      <c r="AB65" s="399">
        <v>0</v>
      </c>
      <c r="AC65" s="399">
        <v>0</v>
      </c>
      <c r="AD65" s="399">
        <v>21982.835017583875</v>
      </c>
      <c r="AE65" s="399">
        <v>28638.384834952973</v>
      </c>
      <c r="AF65" s="399">
        <v>11560.650761717139</v>
      </c>
      <c r="AG65" s="399">
        <v>435.88886271151949</v>
      </c>
      <c r="AH65" s="399">
        <v>0</v>
      </c>
      <c r="AI65" s="399">
        <v>0</v>
      </c>
      <c r="AJ65" s="399">
        <v>0</v>
      </c>
      <c r="AK65" s="399">
        <v>0</v>
      </c>
      <c r="AL65" s="399">
        <v>653.48903200566065</v>
      </c>
      <c r="AM65" s="399"/>
      <c r="AN65" s="399">
        <v>18.459411556097592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432.10917241422294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11992.759934131362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63949.596400000002</v>
      </c>
      <c r="CJ65" s="399">
        <v>-4154.8307799999966</v>
      </c>
      <c r="CK65" s="399"/>
      <c r="CL65" s="399"/>
      <c r="CM65" s="399"/>
      <c r="CN65" s="399"/>
      <c r="CO65" s="399">
        <v>-5729.444999999997</v>
      </c>
      <c r="CP65" s="399">
        <v>1573.5840599999995</v>
      </c>
      <c r="CQ65" s="399">
        <v>31</v>
      </c>
      <c r="CR65" s="399">
        <v>2039.5004577472864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989.94476770895562</v>
      </c>
      <c r="DA65" s="399">
        <v>0</v>
      </c>
      <c r="DB65" s="399">
        <v>0</v>
      </c>
      <c r="DC65" s="399">
        <v>1573.9578229460767</v>
      </c>
      <c r="DD65" s="399">
        <v>0</v>
      </c>
      <c r="DE65" s="399">
        <v>0</v>
      </c>
      <c r="DF65" s="399">
        <v>0</v>
      </c>
      <c r="DG65" s="399">
        <v>58.830737672684734</v>
      </c>
      <c r="DH65" s="399">
        <v>0</v>
      </c>
      <c r="DI65" s="399">
        <v>-505.03307155858556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-75.31043597793348</v>
      </c>
      <c r="DP65" s="399">
        <v>-2.8893630439229057</v>
      </c>
      <c r="DQ65" s="399">
        <v>0</v>
      </c>
      <c r="DR65" s="399">
        <v>0</v>
      </c>
      <c r="DS65" s="399"/>
      <c r="DT65" s="399"/>
      <c r="DU65" s="399">
        <v>28638.384834952973</v>
      </c>
      <c r="DV65" s="399">
        <v>0</v>
      </c>
      <c r="DW65" s="399">
        <v>0</v>
      </c>
      <c r="DX65" s="399">
        <v>0</v>
      </c>
      <c r="DY65" s="399">
        <v>-5729.4449999999997</v>
      </c>
      <c r="DZ65" s="399">
        <v>1573.5840599999992</v>
      </c>
      <c r="EA65" s="399">
        <v>0</v>
      </c>
      <c r="EB65" s="399">
        <v>0</v>
      </c>
      <c r="EC65" s="399">
        <v>-6191.4642805734511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701.17305138086806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215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956</v>
      </c>
      <c r="C66" s="399" t="s">
        <v>2351</v>
      </c>
      <c r="D66" s="399" t="s">
        <v>533</v>
      </c>
      <c r="E66" s="399" t="s">
        <v>890</v>
      </c>
      <c r="F66" s="399" t="s">
        <v>1239</v>
      </c>
      <c r="G66" s="399" t="s">
        <v>1239</v>
      </c>
      <c r="H66" s="399" t="s">
        <v>1239</v>
      </c>
      <c r="I66" s="399" t="s">
        <v>2326</v>
      </c>
      <c r="J66" s="399" t="s">
        <v>2344</v>
      </c>
      <c r="K66" s="791">
        <v>44470</v>
      </c>
      <c r="L66" s="399">
        <v>22044</v>
      </c>
      <c r="M66" s="399">
        <v>22044</v>
      </c>
      <c r="N66" s="399">
        <v>8572.3619999999992</v>
      </c>
      <c r="O66" s="399">
        <v>8572.3619999999992</v>
      </c>
      <c r="P66" s="399">
        <v>8572.3619999999992</v>
      </c>
      <c r="Q66" s="399">
        <v>8572.3619999999992</v>
      </c>
      <c r="R66" s="399">
        <v>12.58</v>
      </c>
      <c r="S66" s="399">
        <v>78.42</v>
      </c>
      <c r="T66" s="399">
        <v>171.61</v>
      </c>
      <c r="U66" s="399">
        <v>277313.52</v>
      </c>
      <c r="V66" s="399">
        <v>2143347.67086</v>
      </c>
      <c r="W66" s="399">
        <v>2420661.19086</v>
      </c>
      <c r="X66" s="399">
        <v>2527508.7844799999</v>
      </c>
      <c r="Y66" s="399">
        <v>0</v>
      </c>
      <c r="Z66" s="399">
        <v>450887.81407665927</v>
      </c>
      <c r="AA66" s="399">
        <v>0</v>
      </c>
      <c r="AB66" s="399">
        <v>0</v>
      </c>
      <c r="AC66" s="399">
        <v>0</v>
      </c>
      <c r="AD66" s="399">
        <v>146095.27462940305</v>
      </c>
      <c r="AE66" s="399">
        <v>131155.38575609858</v>
      </c>
      <c r="AF66" s="399">
        <v>1417647.7453296576</v>
      </c>
      <c r="AG66" s="399">
        <v>53451.736945776414</v>
      </c>
      <c r="AH66" s="399">
        <v>0</v>
      </c>
      <c r="AI66" s="399">
        <v>0</v>
      </c>
      <c r="AJ66" s="399">
        <v>0</v>
      </c>
      <c r="AK66" s="399">
        <v>0</v>
      </c>
      <c r="AL66" s="399">
        <v>80135.389600064489</v>
      </c>
      <c r="AM66" s="399"/>
      <c r="AN66" s="399">
        <v>2263.6219804573548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52988.244921110236</v>
      </c>
      <c r="BH66" s="399">
        <v>0</v>
      </c>
      <c r="BI66" s="399">
        <v>0</v>
      </c>
      <c r="BJ66" s="399">
        <v>0</v>
      </c>
      <c r="BK66" s="399">
        <v>0</v>
      </c>
      <c r="BL66" s="399">
        <v>0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1470635.9902507679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2527508.2544</v>
      </c>
      <c r="CJ66" s="399">
        <v>106847.03354000021</v>
      </c>
      <c r="CK66" s="399"/>
      <c r="CL66" s="399"/>
      <c r="CM66" s="399"/>
      <c r="CN66" s="399"/>
      <c r="CO66" s="399">
        <v>-86116.274999999994</v>
      </c>
      <c r="CP66" s="399">
        <v>192963.86861999991</v>
      </c>
      <c r="CQ66" s="399">
        <v>31</v>
      </c>
      <c r="CR66" s="399">
        <v>135282.90338711068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6579.0537294527749</v>
      </c>
      <c r="DA66" s="399">
        <v>0</v>
      </c>
      <c r="DB66" s="399">
        <v>0</v>
      </c>
      <c r="DC66" s="399">
        <v>193009.7020431105</v>
      </c>
      <c r="DD66" s="399">
        <v>0</v>
      </c>
      <c r="DE66" s="399">
        <v>0</v>
      </c>
      <c r="DF66" s="399">
        <v>0</v>
      </c>
      <c r="DG66" s="399">
        <v>7214.2359748418094</v>
      </c>
      <c r="DH66" s="399">
        <v>0</v>
      </c>
      <c r="DI66" s="399">
        <v>-61930.682793638611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-9235.0916885627812</v>
      </c>
      <c r="DP66" s="399">
        <v>-354.31387809242483</v>
      </c>
      <c r="DQ66" s="399">
        <v>0</v>
      </c>
      <c r="DR66" s="399">
        <v>0</v>
      </c>
      <c r="DS66" s="399"/>
      <c r="DT66" s="399"/>
      <c r="DU66" s="399">
        <v>131155.38575609858</v>
      </c>
      <c r="DV66" s="399">
        <v>0</v>
      </c>
      <c r="DW66" s="399">
        <v>0</v>
      </c>
      <c r="DX66" s="399">
        <v>0</v>
      </c>
      <c r="DY66" s="399">
        <v>-86116.27500000014</v>
      </c>
      <c r="DZ66" s="399">
        <v>192963.86861999985</v>
      </c>
      <c r="EA66" s="399">
        <v>0</v>
      </c>
      <c r="EB66" s="399">
        <v>0</v>
      </c>
      <c r="EC66" s="399">
        <v>-28355.086740877712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85982.737119580575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215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2346</v>
      </c>
      <c r="C67" s="399" t="s">
        <v>2351</v>
      </c>
      <c r="D67" s="399" t="s">
        <v>533</v>
      </c>
      <c r="E67" s="399" t="s">
        <v>890</v>
      </c>
      <c r="F67" s="399" t="s">
        <v>1239</v>
      </c>
      <c r="G67" s="399" t="s">
        <v>1239</v>
      </c>
      <c r="H67" s="399" t="s">
        <v>1239</v>
      </c>
      <c r="I67" s="399" t="s">
        <v>2326</v>
      </c>
      <c r="J67" s="399" t="s">
        <v>2344</v>
      </c>
      <c r="K67" s="791">
        <v>44470</v>
      </c>
      <c r="L67" s="399">
        <v>1343</v>
      </c>
      <c r="M67" s="399">
        <v>1343</v>
      </c>
      <c r="N67" s="399">
        <v>649.84699999999998</v>
      </c>
      <c r="O67" s="399">
        <v>649.84699999999998</v>
      </c>
      <c r="P67" s="399">
        <v>649.84699999999998</v>
      </c>
      <c r="Q67" s="399">
        <v>649.84699999999998</v>
      </c>
      <c r="R67" s="399">
        <v>12.58</v>
      </c>
      <c r="S67" s="399">
        <v>78.42</v>
      </c>
      <c r="T67" s="399">
        <v>171.61</v>
      </c>
      <c r="U67" s="399">
        <v>16894.939999999999</v>
      </c>
      <c r="V67" s="399">
        <v>162481.24541</v>
      </c>
      <c r="W67" s="399">
        <v>179376.18541000001</v>
      </c>
      <c r="X67" s="399">
        <v>187800.81887999998</v>
      </c>
      <c r="Y67" s="399">
        <v>0</v>
      </c>
      <c r="Z67" s="399">
        <v>34180.555290860888</v>
      </c>
      <c r="AA67" s="399">
        <v>0</v>
      </c>
      <c r="AB67" s="399">
        <v>0</v>
      </c>
      <c r="AC67" s="399">
        <v>0</v>
      </c>
      <c r="AD67" s="399">
        <v>8900.6511444061107</v>
      </c>
      <c r="AE67" s="399">
        <v>7990.4592211232266</v>
      </c>
      <c r="AF67" s="399">
        <v>107467.94574928614</v>
      </c>
      <c r="AG67" s="399">
        <v>4052.0280057004088</v>
      </c>
      <c r="AH67" s="399">
        <v>0</v>
      </c>
      <c r="AI67" s="399">
        <v>0</v>
      </c>
      <c r="AJ67" s="399">
        <v>0</v>
      </c>
      <c r="AK67" s="399">
        <v>0</v>
      </c>
      <c r="AL67" s="399">
        <v>6074.8417443679009</v>
      </c>
      <c r="AM67" s="399"/>
      <c r="AN67" s="399">
        <v>171.59890741131449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4016.8919601445582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111484.83770943069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187801.614</v>
      </c>
      <c r="CJ67" s="399">
        <v>8425.3985899999971</v>
      </c>
      <c r="CK67" s="399"/>
      <c r="CL67" s="399"/>
      <c r="CM67" s="399"/>
      <c r="CN67" s="399"/>
      <c r="CO67" s="399">
        <v>-6203.4225000000006</v>
      </c>
      <c r="CP67" s="399">
        <v>14628.055969999994</v>
      </c>
      <c r="CQ67" s="399">
        <v>31</v>
      </c>
      <c r="CR67" s="399">
        <v>10157.501752000418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400.8196860213684</v>
      </c>
      <c r="DA67" s="399">
        <v>0</v>
      </c>
      <c r="DB67" s="399">
        <v>0</v>
      </c>
      <c r="DC67" s="399">
        <v>14631.530474752377</v>
      </c>
      <c r="DD67" s="399">
        <v>0</v>
      </c>
      <c r="DE67" s="399">
        <v>0</v>
      </c>
      <c r="DF67" s="399">
        <v>0</v>
      </c>
      <c r="DG67" s="399">
        <v>546.89123085831261</v>
      </c>
      <c r="DH67" s="399">
        <v>0</v>
      </c>
      <c r="DI67" s="399">
        <v>-4694.7933861633101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-700.08670055434595</v>
      </c>
      <c r="DP67" s="399">
        <v>-26.859552913972578</v>
      </c>
      <c r="DQ67" s="399">
        <v>0</v>
      </c>
      <c r="DR67" s="399">
        <v>0</v>
      </c>
      <c r="DS67" s="399"/>
      <c r="DT67" s="399"/>
      <c r="DU67" s="399">
        <v>7990.4592211232266</v>
      </c>
      <c r="DV67" s="399">
        <v>0</v>
      </c>
      <c r="DW67" s="399">
        <v>0</v>
      </c>
      <c r="DX67" s="399">
        <v>0</v>
      </c>
      <c r="DY67" s="399">
        <v>-6203.4225000000006</v>
      </c>
      <c r="DZ67" s="399">
        <v>14628.055969999987</v>
      </c>
      <c r="EA67" s="399">
        <v>0</v>
      </c>
      <c r="EB67" s="399">
        <v>0</v>
      </c>
      <c r="EC67" s="399">
        <v>-1727.494170431808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6518.1129505436293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215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956</v>
      </c>
      <c r="C68" s="399" t="s">
        <v>2351</v>
      </c>
      <c r="D68" s="399" t="s">
        <v>533</v>
      </c>
      <c r="E68" s="399" t="s">
        <v>890</v>
      </c>
      <c r="F68" s="399" t="s">
        <v>1239</v>
      </c>
      <c r="G68" s="399" t="s">
        <v>1239</v>
      </c>
      <c r="H68" s="399" t="s">
        <v>1239</v>
      </c>
      <c r="I68" s="399" t="s">
        <v>1239</v>
      </c>
      <c r="J68" s="399" t="s">
        <v>2344</v>
      </c>
      <c r="K68" s="791">
        <v>44470</v>
      </c>
      <c r="L68" s="399">
        <v>0</v>
      </c>
      <c r="M68" s="399">
        <v>0</v>
      </c>
      <c r="N68" s="399">
        <v>0</v>
      </c>
      <c r="O68" s="399">
        <v>0</v>
      </c>
      <c r="P68" s="399">
        <v>0</v>
      </c>
      <c r="Q68" s="399">
        <v>0</v>
      </c>
      <c r="R68" s="399"/>
      <c r="S68" s="399"/>
      <c r="T68" s="399"/>
      <c r="U68" s="399"/>
      <c r="V68" s="399"/>
      <c r="W68" s="399"/>
      <c r="X68" s="399"/>
      <c r="Y68" s="399"/>
      <c r="Z68" s="399"/>
      <c r="AA68" s="399">
        <v>0</v>
      </c>
      <c r="AB68" s="399"/>
      <c r="AC68" s="399"/>
      <c r="AD68" s="399"/>
      <c r="AE68" s="399"/>
      <c r="AF68" s="399"/>
      <c r="AG68" s="399"/>
      <c r="AH68" s="399"/>
      <c r="AI68" s="399"/>
      <c r="AJ68" s="399"/>
      <c r="AK68" s="399"/>
      <c r="AL68" s="399"/>
      <c r="AM68" s="399"/>
      <c r="AN68" s="399"/>
      <c r="AO68" s="399"/>
      <c r="AP68" s="399"/>
      <c r="AQ68" s="399"/>
      <c r="AR68" s="399"/>
      <c r="AS68" s="399"/>
      <c r="AT68" s="399"/>
      <c r="AU68" s="399"/>
      <c r="AV68" s="399"/>
      <c r="AW68" s="399"/>
      <c r="AX68" s="399"/>
      <c r="AY68" s="399"/>
      <c r="AZ68" s="399">
        <v>0</v>
      </c>
      <c r="BA68" s="399"/>
      <c r="BB68" s="399"/>
      <c r="BC68" s="399"/>
      <c r="BD68" s="399"/>
      <c r="BE68" s="399"/>
      <c r="BF68" s="399"/>
      <c r="BG68" s="399"/>
      <c r="BH68" s="399"/>
      <c r="BI68" s="399">
        <v>0</v>
      </c>
      <c r="BJ68" s="399">
        <v>0</v>
      </c>
      <c r="BK68" s="399">
        <v>1584615.55</v>
      </c>
      <c r="BL68" s="399">
        <v>22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/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/>
      <c r="CJ68" s="399">
        <v>-0.03</v>
      </c>
      <c r="CK68" s="399"/>
      <c r="CL68" s="399"/>
      <c r="CM68" s="399"/>
      <c r="CN68" s="399"/>
      <c r="CO68" s="399">
        <v>0</v>
      </c>
      <c r="CP68" s="399">
        <v>0</v>
      </c>
      <c r="CQ68" s="399">
        <v>31</v>
      </c>
      <c r="CR68" s="399"/>
      <c r="CS68" s="399"/>
      <c r="CT68" s="399"/>
      <c r="CU68" s="399"/>
      <c r="CV68" s="399"/>
      <c r="CW68" s="399"/>
      <c r="CX68" s="399"/>
      <c r="CY68" s="399"/>
      <c r="CZ68" s="399"/>
      <c r="DA68" s="399"/>
      <c r="DB68" s="399"/>
      <c r="DC68" s="399"/>
      <c r="DD68" s="399"/>
      <c r="DE68" s="399"/>
      <c r="DF68" s="399"/>
      <c r="DG68" s="399"/>
      <c r="DH68" s="399"/>
      <c r="DI68" s="399"/>
      <c r="DJ68" s="399"/>
      <c r="DK68" s="399">
        <v>0</v>
      </c>
      <c r="DL68" s="399"/>
      <c r="DM68" s="399"/>
      <c r="DN68" s="399"/>
      <c r="DO68" s="399"/>
      <c r="DP68" s="399"/>
      <c r="DQ68" s="399"/>
      <c r="DR68" s="399"/>
      <c r="DS68" s="399"/>
      <c r="DT68" s="399"/>
      <c r="DU68" s="399"/>
      <c r="DV68" s="399"/>
      <c r="DW68" s="399"/>
      <c r="DX68" s="399"/>
      <c r="DY68" s="399"/>
      <c r="DZ68" s="399"/>
      <c r="EA68" s="399"/>
      <c r="EB68" s="399"/>
      <c r="EC68" s="399"/>
      <c r="ED68" s="399"/>
      <c r="EE68" s="399"/>
      <c r="EF68" s="399"/>
      <c r="EG68" s="399"/>
      <c r="EH68" s="399"/>
      <c r="EI68" s="399"/>
      <c r="EJ68" s="399"/>
      <c r="EK68" s="399"/>
      <c r="EL68" s="399"/>
      <c r="EM68" s="399"/>
      <c r="EN68" s="399"/>
      <c r="EO68" s="399"/>
      <c r="EP68" s="399"/>
      <c r="EQ68" s="399"/>
      <c r="ER68" s="399"/>
      <c r="ES68" s="399"/>
      <c r="ET68" s="399"/>
      <c r="EU68" s="399"/>
      <c r="EV68" s="399">
        <v>215</v>
      </c>
      <c r="EW68" s="399"/>
      <c r="EX68" s="399"/>
      <c r="EY68" s="399"/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2346</v>
      </c>
      <c r="C69" s="399" t="s">
        <v>2351</v>
      </c>
      <c r="D69" s="399" t="s">
        <v>533</v>
      </c>
      <c r="E69" s="399" t="s">
        <v>890</v>
      </c>
      <c r="F69" s="399" t="s">
        <v>1239</v>
      </c>
      <c r="G69" s="399" t="s">
        <v>1239</v>
      </c>
      <c r="H69" s="399" t="s">
        <v>1239</v>
      </c>
      <c r="I69" s="399" t="s">
        <v>1239</v>
      </c>
      <c r="J69" s="399" t="s">
        <v>2344</v>
      </c>
      <c r="K69" s="791">
        <v>44470</v>
      </c>
      <c r="L69" s="399">
        <v>0</v>
      </c>
      <c r="M69" s="399">
        <v>0</v>
      </c>
      <c r="N69" s="399">
        <v>0</v>
      </c>
      <c r="O69" s="399">
        <v>0</v>
      </c>
      <c r="P69" s="399">
        <v>0</v>
      </c>
      <c r="Q69" s="399">
        <v>0</v>
      </c>
      <c r="R69" s="399"/>
      <c r="S69" s="399"/>
      <c r="T69" s="399"/>
      <c r="U69" s="399"/>
      <c r="V69" s="399"/>
      <c r="W69" s="399"/>
      <c r="X69" s="399"/>
      <c r="Y69" s="399"/>
      <c r="Z69" s="399"/>
      <c r="AA69" s="399">
        <v>0</v>
      </c>
      <c r="AB69" s="399"/>
      <c r="AC69" s="399"/>
      <c r="AD69" s="399"/>
      <c r="AE69" s="399"/>
      <c r="AF69" s="399"/>
      <c r="AG69" s="399"/>
      <c r="AH69" s="399"/>
      <c r="AI69" s="399"/>
      <c r="AJ69" s="399"/>
      <c r="AK69" s="399"/>
      <c r="AL69" s="399"/>
      <c r="AM69" s="399"/>
      <c r="AN69" s="399"/>
      <c r="AO69" s="399"/>
      <c r="AP69" s="399"/>
      <c r="AQ69" s="399"/>
      <c r="AR69" s="399"/>
      <c r="AS69" s="399"/>
      <c r="AT69" s="399"/>
      <c r="AU69" s="399"/>
      <c r="AV69" s="399"/>
      <c r="AW69" s="399"/>
      <c r="AX69" s="399"/>
      <c r="AY69" s="399"/>
      <c r="AZ69" s="399">
        <v>0</v>
      </c>
      <c r="BA69" s="399"/>
      <c r="BB69" s="399"/>
      <c r="BC69" s="399"/>
      <c r="BD69" s="399"/>
      <c r="BE69" s="399"/>
      <c r="BF69" s="399"/>
      <c r="BG69" s="399"/>
      <c r="BH69" s="399"/>
      <c r="BI69" s="399">
        <v>0</v>
      </c>
      <c r="BJ69" s="399">
        <v>0</v>
      </c>
      <c r="BK69" s="399">
        <v>118193.4</v>
      </c>
      <c r="BL69" s="399">
        <v>2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/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/>
      <c r="CJ69" s="399">
        <v>-0.03</v>
      </c>
      <c r="CK69" s="399"/>
      <c r="CL69" s="399"/>
      <c r="CM69" s="399"/>
      <c r="CN69" s="399"/>
      <c r="CO69" s="399">
        <v>0</v>
      </c>
      <c r="CP69" s="399">
        <v>0</v>
      </c>
      <c r="CQ69" s="399">
        <v>31</v>
      </c>
      <c r="CR69" s="399"/>
      <c r="CS69" s="399"/>
      <c r="CT69" s="399"/>
      <c r="CU69" s="399"/>
      <c r="CV69" s="399"/>
      <c r="CW69" s="399"/>
      <c r="CX69" s="399"/>
      <c r="CY69" s="399"/>
      <c r="CZ69" s="399"/>
      <c r="DA69" s="399"/>
      <c r="DB69" s="399"/>
      <c r="DC69" s="399"/>
      <c r="DD69" s="399"/>
      <c r="DE69" s="399"/>
      <c r="DF69" s="399"/>
      <c r="DG69" s="399"/>
      <c r="DH69" s="399"/>
      <c r="DI69" s="399"/>
      <c r="DJ69" s="399"/>
      <c r="DK69" s="399">
        <v>0</v>
      </c>
      <c r="DL69" s="399"/>
      <c r="DM69" s="399"/>
      <c r="DN69" s="399"/>
      <c r="DO69" s="399"/>
      <c r="DP69" s="399"/>
      <c r="DQ69" s="399"/>
      <c r="DR69" s="399"/>
      <c r="DS69" s="399"/>
      <c r="DT69" s="399"/>
      <c r="DU69" s="399"/>
      <c r="DV69" s="399"/>
      <c r="DW69" s="399"/>
      <c r="DX69" s="399"/>
      <c r="DY69" s="399"/>
      <c r="DZ69" s="399"/>
      <c r="EA69" s="399"/>
      <c r="EB69" s="399"/>
      <c r="EC69" s="399"/>
      <c r="ED69" s="399"/>
      <c r="EE69" s="399"/>
      <c r="EF69" s="399"/>
      <c r="EG69" s="399"/>
      <c r="EH69" s="399"/>
      <c r="EI69" s="399"/>
      <c r="EJ69" s="399"/>
      <c r="EK69" s="399"/>
      <c r="EL69" s="399"/>
      <c r="EM69" s="399"/>
      <c r="EN69" s="399"/>
      <c r="EO69" s="399"/>
      <c r="EP69" s="399"/>
      <c r="EQ69" s="399"/>
      <c r="ER69" s="399"/>
      <c r="ES69" s="399"/>
      <c r="ET69" s="399"/>
      <c r="EU69" s="399"/>
      <c r="EV69" s="399">
        <v>215</v>
      </c>
      <c r="EW69" s="399"/>
      <c r="EX69" s="399"/>
      <c r="EY69" s="399"/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956</v>
      </c>
      <c r="C70" s="399" t="s">
        <v>2352</v>
      </c>
      <c r="D70" s="399" t="s">
        <v>533</v>
      </c>
      <c r="E70" s="399" t="s">
        <v>890</v>
      </c>
      <c r="F70" s="399" t="s">
        <v>1239</v>
      </c>
      <c r="G70" s="399" t="s">
        <v>1239</v>
      </c>
      <c r="H70" s="399" t="s">
        <v>1239</v>
      </c>
      <c r="I70" s="399" t="s">
        <v>893</v>
      </c>
      <c r="J70" s="399" t="s">
        <v>2344</v>
      </c>
      <c r="K70" s="791">
        <v>44470</v>
      </c>
      <c r="L70" s="399">
        <v>0</v>
      </c>
      <c r="M70" s="399">
        <v>0</v>
      </c>
      <c r="N70" s="399">
        <v>160.52099999999999</v>
      </c>
      <c r="O70" s="399">
        <v>160.52099999999999</v>
      </c>
      <c r="P70" s="399">
        <v>160.52099999999999</v>
      </c>
      <c r="Q70" s="399">
        <v>160.52099999999999</v>
      </c>
      <c r="R70" s="399"/>
      <c r="S70" s="399">
        <v>984.21</v>
      </c>
      <c r="T70" s="399">
        <v>171.61</v>
      </c>
      <c r="U70" s="399"/>
      <c r="V70" s="399">
        <v>185533.38222</v>
      </c>
      <c r="W70" s="399">
        <v>185533.38222</v>
      </c>
      <c r="X70" s="399">
        <v>173017.55984999996</v>
      </c>
      <c r="Y70" s="399">
        <v>0</v>
      </c>
      <c r="Z70" s="399">
        <v>8443.0595445455328</v>
      </c>
      <c r="AA70" s="399">
        <v>0</v>
      </c>
      <c r="AB70" s="399">
        <v>0</v>
      </c>
      <c r="AC70" s="399">
        <v>0</v>
      </c>
      <c r="AD70" s="399">
        <v>63198.508678648839</v>
      </c>
      <c r="AE70" s="399">
        <v>82199.934114233154</v>
      </c>
      <c r="AF70" s="399">
        <v>26546.036404909399</v>
      </c>
      <c r="AG70" s="399">
        <v>1000.9057324309188</v>
      </c>
      <c r="AH70" s="399">
        <v>0</v>
      </c>
      <c r="AI70" s="399">
        <v>0</v>
      </c>
      <c r="AJ70" s="399">
        <v>0</v>
      </c>
      <c r="AK70" s="399">
        <v>0</v>
      </c>
      <c r="AL70" s="399">
        <v>1500.5680901007156</v>
      </c>
      <c r="AM70" s="399"/>
      <c r="AN70" s="399">
        <v>42.387251486229239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992.22665386524</v>
      </c>
      <c r="BH70" s="399">
        <v>0</v>
      </c>
      <c r="BI70" s="399">
        <v>0</v>
      </c>
      <c r="BJ70" s="399">
        <v>0</v>
      </c>
      <c r="BK70" s="399">
        <v>0</v>
      </c>
      <c r="BL70" s="399">
        <v>0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27538.263058774639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173016.48200000002</v>
      </c>
      <c r="CJ70" s="399">
        <v>-12516.930220000009</v>
      </c>
      <c r="CK70" s="399"/>
      <c r="CL70" s="399"/>
      <c r="CM70" s="399"/>
      <c r="CN70" s="399"/>
      <c r="CO70" s="399">
        <v>-16129.150080000001</v>
      </c>
      <c r="CP70" s="399">
        <v>3613.3277099999982</v>
      </c>
      <c r="CQ70" s="399">
        <v>31</v>
      </c>
      <c r="CR70" s="399">
        <v>5256.0272041565622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2845.9947474197979</v>
      </c>
      <c r="DA70" s="399">
        <v>0</v>
      </c>
      <c r="DB70" s="399">
        <v>0</v>
      </c>
      <c r="DC70" s="399">
        <v>3614.1859596762406</v>
      </c>
      <c r="DD70" s="399">
        <v>0</v>
      </c>
      <c r="DE70" s="399">
        <v>0</v>
      </c>
      <c r="DF70" s="399">
        <v>0</v>
      </c>
      <c r="DG70" s="399">
        <v>135.08953225698838</v>
      </c>
      <c r="DH70" s="399">
        <v>0</v>
      </c>
      <c r="DI70" s="399">
        <v>-1159.6774766065264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-172.93088566952542</v>
      </c>
      <c r="DP70" s="399">
        <v>-6.634672920400952</v>
      </c>
      <c r="DQ70" s="399">
        <v>0</v>
      </c>
      <c r="DR70" s="399">
        <v>0</v>
      </c>
      <c r="DS70" s="399"/>
      <c r="DT70" s="399"/>
      <c r="DU70" s="399"/>
      <c r="DV70" s="399">
        <v>82199.934114233154</v>
      </c>
      <c r="DW70" s="399">
        <v>0</v>
      </c>
      <c r="DX70" s="399">
        <v>0</v>
      </c>
      <c r="DY70" s="399">
        <v>-16129.150080000021</v>
      </c>
      <c r="DZ70" s="399">
        <v>3613.3277099999978</v>
      </c>
      <c r="EA70" s="399">
        <v>0</v>
      </c>
      <c r="EB70" s="399">
        <v>0</v>
      </c>
      <c r="EC70" s="399">
        <v>-17771.182239042231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1610.0620745101751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215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2346</v>
      </c>
      <c r="C71" s="399" t="s">
        <v>2352</v>
      </c>
      <c r="D71" s="399" t="s">
        <v>533</v>
      </c>
      <c r="E71" s="399" t="s">
        <v>890</v>
      </c>
      <c r="F71" s="399" t="s">
        <v>1239</v>
      </c>
      <c r="G71" s="399" t="s">
        <v>1239</v>
      </c>
      <c r="H71" s="399" t="s">
        <v>1239</v>
      </c>
      <c r="I71" s="399" t="s">
        <v>893</v>
      </c>
      <c r="J71" s="399" t="s">
        <v>2344</v>
      </c>
      <c r="K71" s="791">
        <v>44470</v>
      </c>
      <c r="L71" s="399">
        <v>0</v>
      </c>
      <c r="M71" s="399">
        <v>0</v>
      </c>
      <c r="N71" s="399">
        <v>1.107</v>
      </c>
      <c r="O71" s="399">
        <v>1.107</v>
      </c>
      <c r="P71" s="399">
        <v>1.107</v>
      </c>
      <c r="Q71" s="399">
        <v>1.107</v>
      </c>
      <c r="R71" s="399"/>
      <c r="S71" s="399">
        <v>984.21</v>
      </c>
      <c r="T71" s="399">
        <v>171.61</v>
      </c>
      <c r="U71" s="399"/>
      <c r="V71" s="399">
        <v>1279.4927399999999</v>
      </c>
      <c r="W71" s="399">
        <v>1279.4927399999999</v>
      </c>
      <c r="X71" s="399">
        <v>1193.17995</v>
      </c>
      <c r="Y71" s="399">
        <v>0</v>
      </c>
      <c r="Z71" s="399">
        <v>58.225820396159413</v>
      </c>
      <c r="AA71" s="399">
        <v>0</v>
      </c>
      <c r="AB71" s="399">
        <v>0</v>
      </c>
      <c r="AC71" s="399">
        <v>0</v>
      </c>
      <c r="AD71" s="399">
        <v>435.8354925976306</v>
      </c>
      <c r="AE71" s="399">
        <v>566.8749077345401</v>
      </c>
      <c r="AF71" s="399">
        <v>183.06927006581512</v>
      </c>
      <c r="AG71" s="399">
        <v>6.9025401399257866</v>
      </c>
      <c r="AH71" s="399">
        <v>0</v>
      </c>
      <c r="AI71" s="399">
        <v>0</v>
      </c>
      <c r="AJ71" s="399">
        <v>0</v>
      </c>
      <c r="AK71" s="399">
        <v>0</v>
      </c>
      <c r="AL71" s="399">
        <v>10.348358630593458</v>
      </c>
      <c r="AM71" s="399"/>
      <c r="AN71" s="399">
        <v>0.29231494567848298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6.8426866629837884</v>
      </c>
      <c r="BH71" s="399">
        <v>0</v>
      </c>
      <c r="BI71" s="399">
        <v>0</v>
      </c>
      <c r="BJ71" s="399">
        <v>0</v>
      </c>
      <c r="BK71" s="399">
        <v>0</v>
      </c>
      <c r="BL71" s="399">
        <v>0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189.91195672879891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1196.4135000000001</v>
      </c>
      <c r="CJ71" s="399">
        <v>-83.109239999999772</v>
      </c>
      <c r="CK71" s="399"/>
      <c r="CL71" s="399"/>
      <c r="CM71" s="399"/>
      <c r="CN71" s="399"/>
      <c r="CO71" s="399">
        <v>-111.23136000000002</v>
      </c>
      <c r="CP71" s="399">
        <v>24.918569999999988</v>
      </c>
      <c r="CQ71" s="399">
        <v>31</v>
      </c>
      <c r="CR71" s="399">
        <v>36.247108571472381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19.626816338010144</v>
      </c>
      <c r="DA71" s="399">
        <v>0</v>
      </c>
      <c r="DB71" s="399">
        <v>0</v>
      </c>
      <c r="DC71" s="399">
        <v>24.924488742043707</v>
      </c>
      <c r="DD71" s="399">
        <v>0</v>
      </c>
      <c r="DE71" s="399">
        <v>0</v>
      </c>
      <c r="DF71" s="399">
        <v>0</v>
      </c>
      <c r="DG71" s="399">
        <v>0.9316171230461201</v>
      </c>
      <c r="DH71" s="399">
        <v>0</v>
      </c>
      <c r="DI71" s="399">
        <v>-7.997476757579534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-1.1925822193741933</v>
      </c>
      <c r="DP71" s="399">
        <v>-4.5754654673742678E-2</v>
      </c>
      <c r="DQ71" s="399">
        <v>0</v>
      </c>
      <c r="DR71" s="399">
        <v>0</v>
      </c>
      <c r="DS71" s="399"/>
      <c r="DT71" s="399"/>
      <c r="DU71" s="399"/>
      <c r="DV71" s="399">
        <v>566.8749077345401</v>
      </c>
      <c r="DW71" s="399">
        <v>0</v>
      </c>
      <c r="DX71" s="399">
        <v>0</v>
      </c>
      <c r="DY71" s="399">
        <v>-111.23135999999988</v>
      </c>
      <c r="DZ71" s="399">
        <v>24.918569999999988</v>
      </c>
      <c r="EA71" s="399">
        <v>0</v>
      </c>
      <c r="EB71" s="399">
        <v>0</v>
      </c>
      <c r="EC71" s="399">
        <v>-122.55529643236559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11.103461332054772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215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956</v>
      </c>
      <c r="C72" s="399" t="s">
        <v>2352</v>
      </c>
      <c r="D72" s="399" t="s">
        <v>533</v>
      </c>
      <c r="E72" s="399" t="s">
        <v>890</v>
      </c>
      <c r="F72" s="399" t="s">
        <v>1239</v>
      </c>
      <c r="G72" s="399" t="s">
        <v>1239</v>
      </c>
      <c r="H72" s="399" t="s">
        <v>1239</v>
      </c>
      <c r="I72" s="399" t="s">
        <v>2326</v>
      </c>
      <c r="J72" s="399" t="s">
        <v>2344</v>
      </c>
      <c r="K72" s="791">
        <v>44470</v>
      </c>
      <c r="L72" s="399">
        <v>0</v>
      </c>
      <c r="M72" s="399">
        <v>0</v>
      </c>
      <c r="N72" s="399">
        <v>1968.095</v>
      </c>
      <c r="O72" s="399">
        <v>1968.095</v>
      </c>
      <c r="P72" s="399">
        <v>1968.095</v>
      </c>
      <c r="Q72" s="399">
        <v>1968.095</v>
      </c>
      <c r="R72" s="399"/>
      <c r="S72" s="399">
        <v>78.42</v>
      </c>
      <c r="T72" s="399">
        <v>171.61</v>
      </c>
      <c r="U72" s="399"/>
      <c r="V72" s="399">
        <v>492082.79285000003</v>
      </c>
      <c r="W72" s="399">
        <v>492082.79285000003</v>
      </c>
      <c r="X72" s="399">
        <v>521623.89880000008</v>
      </c>
      <c r="Y72" s="399">
        <v>0</v>
      </c>
      <c r="Z72" s="399">
        <v>103517.56638896058</v>
      </c>
      <c r="AA72" s="399">
        <v>0</v>
      </c>
      <c r="AB72" s="399">
        <v>0</v>
      </c>
      <c r="AC72" s="399">
        <v>0</v>
      </c>
      <c r="AD72" s="399">
        <v>0</v>
      </c>
      <c r="AE72" s="399">
        <v>0</v>
      </c>
      <c r="AF72" s="399">
        <v>325472.19066863635</v>
      </c>
      <c r="AG72" s="399">
        <v>12271.774829889107</v>
      </c>
      <c r="AH72" s="399">
        <v>0</v>
      </c>
      <c r="AI72" s="399">
        <v>0</v>
      </c>
      <c r="AJ72" s="399">
        <v>0</v>
      </c>
      <c r="AK72" s="399">
        <v>0</v>
      </c>
      <c r="AL72" s="399">
        <v>18397.970080467778</v>
      </c>
      <c r="AM72" s="399"/>
      <c r="AN72" s="399">
        <v>519.69610028463785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12165.363512181644</v>
      </c>
      <c r="BH72" s="399">
        <v>0</v>
      </c>
      <c r="BI72" s="399">
        <v>0</v>
      </c>
      <c r="BJ72" s="399">
        <v>0</v>
      </c>
      <c r="BK72" s="399">
        <v>0</v>
      </c>
      <c r="BL72" s="399">
        <v>0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337637.55418081797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521625.22399999999</v>
      </c>
      <c r="CJ72" s="399">
        <v>29542.401149999932</v>
      </c>
      <c r="CK72" s="399"/>
      <c r="CL72" s="399"/>
      <c r="CM72" s="399"/>
      <c r="CN72" s="399"/>
      <c r="CO72" s="399">
        <v>-14760.7125</v>
      </c>
      <c r="CP72" s="399">
        <v>44301.818449999984</v>
      </c>
      <c r="CQ72" s="399">
        <v>31</v>
      </c>
      <c r="CR72" s="399">
        <v>29548.61250516359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0</v>
      </c>
      <c r="DA72" s="399">
        <v>0</v>
      </c>
      <c r="DB72" s="399">
        <v>0</v>
      </c>
      <c r="DC72" s="399">
        <v>44312.341166009486</v>
      </c>
      <c r="DD72" s="399">
        <v>0</v>
      </c>
      <c r="DE72" s="399">
        <v>0</v>
      </c>
      <c r="DF72" s="399">
        <v>0</v>
      </c>
      <c r="DG72" s="399">
        <v>1656.2881678242575</v>
      </c>
      <c r="DH72" s="399">
        <v>0</v>
      </c>
      <c r="DI72" s="399">
        <v>-14218.422781579487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-2120.2485122305789</v>
      </c>
      <c r="DP72" s="399">
        <v>-81.345534860090083</v>
      </c>
      <c r="DQ72" s="399">
        <v>0</v>
      </c>
      <c r="DR72" s="399">
        <v>0</v>
      </c>
      <c r="DS72" s="399"/>
      <c r="DT72" s="399"/>
      <c r="DU72" s="399"/>
      <c r="DV72" s="399">
        <v>0</v>
      </c>
      <c r="DW72" s="399">
        <v>0</v>
      </c>
      <c r="DX72" s="399">
        <v>0</v>
      </c>
      <c r="DY72" s="399">
        <v>-14760.712499999994</v>
      </c>
      <c r="DZ72" s="399">
        <v>44301.818450000021</v>
      </c>
      <c r="EA72" s="399">
        <v>0</v>
      </c>
      <c r="EB72" s="399">
        <v>0</v>
      </c>
      <c r="EC72" s="399">
        <v>0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19740.439684110512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215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2346</v>
      </c>
      <c r="C73" s="399" t="s">
        <v>2352</v>
      </c>
      <c r="D73" s="399" t="s">
        <v>533</v>
      </c>
      <c r="E73" s="399" t="s">
        <v>890</v>
      </c>
      <c r="F73" s="399" t="s">
        <v>1239</v>
      </c>
      <c r="G73" s="399" t="s">
        <v>1239</v>
      </c>
      <c r="H73" s="399" t="s">
        <v>1239</v>
      </c>
      <c r="I73" s="399" t="s">
        <v>2326</v>
      </c>
      <c r="J73" s="399" t="s">
        <v>2344</v>
      </c>
      <c r="K73" s="791">
        <v>44470</v>
      </c>
      <c r="L73" s="399">
        <v>0</v>
      </c>
      <c r="M73" s="399">
        <v>0</v>
      </c>
      <c r="N73" s="399">
        <v>4.1109999999999998</v>
      </c>
      <c r="O73" s="399">
        <v>4.1109999999999998</v>
      </c>
      <c r="P73" s="399">
        <v>4.1109999999999998</v>
      </c>
      <c r="Q73" s="399">
        <v>4.1109999999999998</v>
      </c>
      <c r="R73" s="399"/>
      <c r="S73" s="399">
        <v>78.42</v>
      </c>
      <c r="T73" s="399">
        <v>171.61</v>
      </c>
      <c r="U73" s="399"/>
      <c r="V73" s="399">
        <v>1027.8733299999999</v>
      </c>
      <c r="W73" s="399">
        <v>1027.8733299999999</v>
      </c>
      <c r="X73" s="399">
        <v>1089.57944</v>
      </c>
      <c r="Y73" s="399">
        <v>0</v>
      </c>
      <c r="Z73" s="399">
        <v>216.22976300687563</v>
      </c>
      <c r="AA73" s="399">
        <v>0</v>
      </c>
      <c r="AB73" s="399">
        <v>0</v>
      </c>
      <c r="AC73" s="399">
        <v>0</v>
      </c>
      <c r="AD73" s="399">
        <v>0</v>
      </c>
      <c r="AE73" s="399">
        <v>0</v>
      </c>
      <c r="AF73" s="399">
        <v>679.85345008181207</v>
      </c>
      <c r="AG73" s="399">
        <v>25.633552407619611</v>
      </c>
      <c r="AH73" s="399">
        <v>0</v>
      </c>
      <c r="AI73" s="399">
        <v>0</v>
      </c>
      <c r="AJ73" s="399">
        <v>0</v>
      </c>
      <c r="AK73" s="399">
        <v>0</v>
      </c>
      <c r="AL73" s="399">
        <v>38.430083405934688</v>
      </c>
      <c r="AM73" s="399"/>
      <c r="AN73" s="399">
        <v>1.0855526121808885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25.411278113393273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705.26472819520529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1089.3144000000002</v>
      </c>
      <c r="CJ73" s="399">
        <v>61.411070000000336</v>
      </c>
      <c r="CK73" s="399"/>
      <c r="CL73" s="399"/>
      <c r="CM73" s="399"/>
      <c r="CN73" s="399"/>
      <c r="CO73" s="399">
        <v>-30.8325</v>
      </c>
      <c r="CP73" s="399">
        <v>92.538609999999963</v>
      </c>
      <c r="CQ73" s="399">
        <v>31</v>
      </c>
      <c r="CR73" s="399">
        <v>61.721789857058411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0</v>
      </c>
      <c r="DA73" s="399">
        <v>0</v>
      </c>
      <c r="DB73" s="399">
        <v>0</v>
      </c>
      <c r="DC73" s="399">
        <v>92.560590079983399</v>
      </c>
      <c r="DD73" s="399">
        <v>0</v>
      </c>
      <c r="DE73" s="399">
        <v>0</v>
      </c>
      <c r="DF73" s="399">
        <v>0</v>
      </c>
      <c r="DG73" s="399">
        <v>3.4596910504449845</v>
      </c>
      <c r="DH73" s="399">
        <v>0</v>
      </c>
      <c r="DI73" s="399">
        <v>-29.699753342736614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-4.428821593358002</v>
      </c>
      <c r="DP73" s="399">
        <v>-0.1699163372752992</v>
      </c>
      <c r="DQ73" s="399">
        <v>0</v>
      </c>
      <c r="DR73" s="399">
        <v>0</v>
      </c>
      <c r="DS73" s="399"/>
      <c r="DT73" s="399"/>
      <c r="DU73" s="399"/>
      <c r="DV73" s="399">
        <v>0</v>
      </c>
      <c r="DW73" s="399">
        <v>0</v>
      </c>
      <c r="DX73" s="399">
        <v>0</v>
      </c>
      <c r="DY73" s="399">
        <v>-30.832499999999982</v>
      </c>
      <c r="DZ73" s="399">
        <v>92.538609999999949</v>
      </c>
      <c r="EA73" s="399">
        <v>0</v>
      </c>
      <c r="EB73" s="399">
        <v>0</v>
      </c>
      <c r="EC73" s="399">
        <v>0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41.23426335688994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215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2352</v>
      </c>
      <c r="D74" s="399" t="s">
        <v>533</v>
      </c>
      <c r="E74" s="399" t="s">
        <v>890</v>
      </c>
      <c r="F74" s="399" t="s">
        <v>1239</v>
      </c>
      <c r="G74" s="399" t="s">
        <v>1239</v>
      </c>
      <c r="H74" s="399" t="s">
        <v>1239</v>
      </c>
      <c r="I74" s="399" t="s">
        <v>1239</v>
      </c>
      <c r="J74" s="399" t="s">
        <v>2344</v>
      </c>
      <c r="K74" s="791">
        <v>44470</v>
      </c>
      <c r="L74" s="399">
        <v>9537</v>
      </c>
      <c r="M74" s="399">
        <v>9537</v>
      </c>
      <c r="N74" s="399">
        <v>0</v>
      </c>
      <c r="O74" s="399">
        <v>0</v>
      </c>
      <c r="P74" s="399">
        <v>0</v>
      </c>
      <c r="Q74" s="399">
        <v>0</v>
      </c>
      <c r="R74" s="399">
        <v>12.58</v>
      </c>
      <c r="S74" s="399"/>
      <c r="T74" s="399"/>
      <c r="U74" s="399">
        <v>119975.46</v>
      </c>
      <c r="V74" s="399"/>
      <c r="W74" s="399">
        <v>119975.46</v>
      </c>
      <c r="X74" s="399">
        <v>110533.83</v>
      </c>
      <c r="Y74" s="399">
        <v>0</v>
      </c>
      <c r="Z74" s="399">
        <v>0</v>
      </c>
      <c r="AA74" s="399">
        <v>0</v>
      </c>
      <c r="AB74" s="399">
        <v>0</v>
      </c>
      <c r="AC74" s="399">
        <v>0</v>
      </c>
      <c r="AD74" s="399">
        <v>63205.889772301627</v>
      </c>
      <c r="AE74" s="399">
        <v>56742.374975318096</v>
      </c>
      <c r="AF74" s="399"/>
      <c r="AG74" s="399"/>
      <c r="AH74" s="399"/>
      <c r="AI74" s="399">
        <v>0</v>
      </c>
      <c r="AJ74" s="399">
        <v>0</v>
      </c>
      <c r="AK74" s="399">
        <v>0</v>
      </c>
      <c r="AL74" s="399">
        <v>0</v>
      </c>
      <c r="AM74" s="399"/>
      <c r="AN74" s="399">
        <v>0</v>
      </c>
      <c r="AO74" s="399">
        <v>0</v>
      </c>
      <c r="AP74" s="399">
        <v>0</v>
      </c>
      <c r="AQ74" s="399">
        <v>0</v>
      </c>
      <c r="AR74" s="399">
        <v>0</v>
      </c>
      <c r="AS74" s="399"/>
      <c r="AT74" s="399"/>
      <c r="AU74" s="399">
        <v>0</v>
      </c>
      <c r="AV74" s="399">
        <v>0</v>
      </c>
      <c r="AW74" s="399">
        <v>0</v>
      </c>
      <c r="AX74" s="399"/>
      <c r="AY74" s="399"/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/>
      <c r="BG74" s="399">
        <v>0</v>
      </c>
      <c r="BH74" s="399">
        <v>0</v>
      </c>
      <c r="BI74" s="399">
        <v>0</v>
      </c>
      <c r="BJ74" s="399">
        <v>0</v>
      </c>
      <c r="BK74" s="399">
        <v>368894.44</v>
      </c>
      <c r="BL74" s="399">
        <v>49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0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110533.83</v>
      </c>
      <c r="CJ74" s="399">
        <v>-9441.6599999999889</v>
      </c>
      <c r="CK74" s="399"/>
      <c r="CL74" s="399"/>
      <c r="CM74" s="399"/>
      <c r="CN74" s="399"/>
      <c r="CO74" s="399">
        <v>-9441.6300000000028</v>
      </c>
      <c r="CP74" s="399">
        <v>0</v>
      </c>
      <c r="CQ74" s="399">
        <v>31</v>
      </c>
      <c r="CR74" s="399">
        <v>2846.3271374428878</v>
      </c>
      <c r="CS74" s="399">
        <v>0</v>
      </c>
      <c r="CT74" s="399">
        <v>0</v>
      </c>
      <c r="CU74" s="399">
        <v>0</v>
      </c>
      <c r="CV74" s="399">
        <v>0</v>
      </c>
      <c r="CW74" s="399"/>
      <c r="CX74" s="399"/>
      <c r="CY74" s="399"/>
      <c r="CZ74" s="399">
        <v>2846.3271374428878</v>
      </c>
      <c r="DA74" s="399">
        <v>0</v>
      </c>
      <c r="DB74" s="399">
        <v>0</v>
      </c>
      <c r="DC74" s="399"/>
      <c r="DD74" s="399"/>
      <c r="DE74" s="399">
        <v>0</v>
      </c>
      <c r="DF74" s="399">
        <v>0</v>
      </c>
      <c r="DG74" s="399">
        <v>0</v>
      </c>
      <c r="DH74" s="399">
        <v>0</v>
      </c>
      <c r="DI74" s="399">
        <v>0</v>
      </c>
      <c r="DJ74" s="399"/>
      <c r="DK74" s="399">
        <v>0</v>
      </c>
      <c r="DL74" s="399">
        <v>0</v>
      </c>
      <c r="DM74" s="399"/>
      <c r="DN74" s="399">
        <v>0</v>
      </c>
      <c r="DO74" s="399">
        <v>0</v>
      </c>
      <c r="DP74" s="399">
        <v>0</v>
      </c>
      <c r="DQ74" s="399">
        <v>0</v>
      </c>
      <c r="DR74" s="399">
        <v>0</v>
      </c>
      <c r="DS74" s="399"/>
      <c r="DT74" s="399"/>
      <c r="DU74" s="399">
        <v>56742.374975318096</v>
      </c>
      <c r="DV74" s="399"/>
      <c r="DW74" s="399">
        <v>0</v>
      </c>
      <c r="DX74" s="399">
        <v>0</v>
      </c>
      <c r="DY74" s="399">
        <v>-9441.6300000000047</v>
      </c>
      <c r="DZ74" s="399"/>
      <c r="EA74" s="399">
        <v>0</v>
      </c>
      <c r="EB74" s="399"/>
      <c r="EC74" s="399">
        <v>-12267.395311547392</v>
      </c>
      <c r="ED74" s="399"/>
      <c r="EE74" s="399">
        <v>0</v>
      </c>
      <c r="EF74" s="399">
        <v>0</v>
      </c>
      <c r="EG74" s="399"/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/>
      <c r="EN74" s="399"/>
      <c r="EO74" s="399">
        <v>0</v>
      </c>
      <c r="EP74" s="399">
        <v>0</v>
      </c>
      <c r="EQ74" s="399"/>
      <c r="ER74" s="399">
        <v>0</v>
      </c>
      <c r="ES74" s="399"/>
      <c r="ET74" s="399">
        <v>0</v>
      </c>
      <c r="EU74" s="399"/>
      <c r="EV74" s="399">
        <v>215</v>
      </c>
      <c r="EW74" s="399"/>
      <c r="EX74" s="399"/>
      <c r="EY74" s="399"/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2346</v>
      </c>
      <c r="C75" s="399" t="s">
        <v>2352</v>
      </c>
      <c r="D75" s="399" t="s">
        <v>533</v>
      </c>
      <c r="E75" s="399" t="s">
        <v>890</v>
      </c>
      <c r="F75" s="399" t="s">
        <v>1239</v>
      </c>
      <c r="G75" s="399" t="s">
        <v>1239</v>
      </c>
      <c r="H75" s="399" t="s">
        <v>1239</v>
      </c>
      <c r="I75" s="399" t="s">
        <v>1239</v>
      </c>
      <c r="J75" s="399" t="s">
        <v>2344</v>
      </c>
      <c r="K75" s="791">
        <v>44470</v>
      </c>
      <c r="L75" s="399">
        <v>821</v>
      </c>
      <c r="M75" s="399">
        <v>821</v>
      </c>
      <c r="N75" s="399">
        <v>0</v>
      </c>
      <c r="O75" s="399">
        <v>0</v>
      </c>
      <c r="P75" s="399">
        <v>0</v>
      </c>
      <c r="Q75" s="399">
        <v>0</v>
      </c>
      <c r="R75" s="399">
        <v>12.58</v>
      </c>
      <c r="S75" s="399"/>
      <c r="T75" s="399"/>
      <c r="U75" s="399">
        <v>10328.18</v>
      </c>
      <c r="V75" s="399"/>
      <c r="W75" s="399">
        <v>10328.18</v>
      </c>
      <c r="X75" s="399">
        <v>9515.39</v>
      </c>
      <c r="Y75" s="399">
        <v>0</v>
      </c>
      <c r="Z75" s="399">
        <v>0</v>
      </c>
      <c r="AA75" s="399">
        <v>0</v>
      </c>
      <c r="AB75" s="399">
        <v>0</v>
      </c>
      <c r="AC75" s="399">
        <v>0</v>
      </c>
      <c r="AD75" s="399">
        <v>5441.1277658655381</v>
      </c>
      <c r="AE75" s="399">
        <v>4884.7111098601408</v>
      </c>
      <c r="AF75" s="399"/>
      <c r="AG75" s="399"/>
      <c r="AH75" s="399"/>
      <c r="AI75" s="399">
        <v>0</v>
      </c>
      <c r="AJ75" s="399">
        <v>0</v>
      </c>
      <c r="AK75" s="399">
        <v>0</v>
      </c>
      <c r="AL75" s="399">
        <v>0</v>
      </c>
      <c r="AM75" s="399"/>
      <c r="AN75" s="399">
        <v>0</v>
      </c>
      <c r="AO75" s="399">
        <v>0</v>
      </c>
      <c r="AP75" s="399">
        <v>0</v>
      </c>
      <c r="AQ75" s="399">
        <v>0</v>
      </c>
      <c r="AR75" s="399">
        <v>0</v>
      </c>
      <c r="AS75" s="399"/>
      <c r="AT75" s="399"/>
      <c r="AU75" s="399">
        <v>0</v>
      </c>
      <c r="AV75" s="399">
        <v>0</v>
      </c>
      <c r="AW75" s="399">
        <v>0</v>
      </c>
      <c r="AX75" s="399"/>
      <c r="AY75" s="399"/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/>
      <c r="BG75" s="399">
        <v>0</v>
      </c>
      <c r="BH75" s="399">
        <v>0</v>
      </c>
      <c r="BI75" s="399">
        <v>0</v>
      </c>
      <c r="BJ75" s="399">
        <v>0</v>
      </c>
      <c r="BK75" s="399">
        <v>4902.42</v>
      </c>
      <c r="BL75" s="399">
        <v>3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0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9515.39</v>
      </c>
      <c r="CJ75" s="399">
        <v>-812.82000000000153</v>
      </c>
      <c r="CK75" s="399"/>
      <c r="CL75" s="399"/>
      <c r="CM75" s="399"/>
      <c r="CN75" s="399"/>
      <c r="CO75" s="399">
        <v>-812.79000000000019</v>
      </c>
      <c r="CP75" s="399">
        <v>0</v>
      </c>
      <c r="CQ75" s="399">
        <v>31</v>
      </c>
      <c r="CR75" s="399">
        <v>245.02826673383697</v>
      </c>
      <c r="CS75" s="399">
        <v>0</v>
      </c>
      <c r="CT75" s="399">
        <v>0</v>
      </c>
      <c r="CU75" s="399">
        <v>0</v>
      </c>
      <c r="CV75" s="399">
        <v>0</v>
      </c>
      <c r="CW75" s="399"/>
      <c r="CX75" s="399"/>
      <c r="CY75" s="399"/>
      <c r="CZ75" s="399">
        <v>245.02826673383697</v>
      </c>
      <c r="DA75" s="399">
        <v>0</v>
      </c>
      <c r="DB75" s="399">
        <v>0</v>
      </c>
      <c r="DC75" s="399"/>
      <c r="DD75" s="399"/>
      <c r="DE75" s="399">
        <v>0</v>
      </c>
      <c r="DF75" s="399">
        <v>0</v>
      </c>
      <c r="DG75" s="399">
        <v>0</v>
      </c>
      <c r="DH75" s="399">
        <v>0</v>
      </c>
      <c r="DI75" s="399">
        <v>0</v>
      </c>
      <c r="DJ75" s="399"/>
      <c r="DK75" s="399">
        <v>0</v>
      </c>
      <c r="DL75" s="399">
        <v>0</v>
      </c>
      <c r="DM75" s="399"/>
      <c r="DN75" s="399">
        <v>0</v>
      </c>
      <c r="DO75" s="399">
        <v>0</v>
      </c>
      <c r="DP75" s="399">
        <v>0</v>
      </c>
      <c r="DQ75" s="399">
        <v>0</v>
      </c>
      <c r="DR75" s="399">
        <v>0</v>
      </c>
      <c r="DS75" s="399"/>
      <c r="DT75" s="399"/>
      <c r="DU75" s="399">
        <v>4884.7111098601408</v>
      </c>
      <c r="DV75" s="399"/>
      <c r="DW75" s="399">
        <v>0</v>
      </c>
      <c r="DX75" s="399">
        <v>0</v>
      </c>
      <c r="DY75" s="399">
        <v>-812.79000000000087</v>
      </c>
      <c r="DZ75" s="399"/>
      <c r="EA75" s="399">
        <v>0</v>
      </c>
      <c r="EB75" s="399"/>
      <c r="EC75" s="399">
        <v>-1056.0481860942032</v>
      </c>
      <c r="ED75" s="399"/>
      <c r="EE75" s="399">
        <v>0</v>
      </c>
      <c r="EF75" s="399">
        <v>0</v>
      </c>
      <c r="EG75" s="399"/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/>
      <c r="EN75" s="399"/>
      <c r="EO75" s="399">
        <v>0</v>
      </c>
      <c r="EP75" s="399">
        <v>0</v>
      </c>
      <c r="EQ75" s="399"/>
      <c r="ER75" s="399">
        <v>0</v>
      </c>
      <c r="ES75" s="399"/>
      <c r="ET75" s="399">
        <v>0</v>
      </c>
      <c r="EU75" s="399"/>
      <c r="EV75" s="399">
        <v>215</v>
      </c>
      <c r="EW75" s="399"/>
      <c r="EX75" s="399"/>
      <c r="EY75" s="399"/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956</v>
      </c>
      <c r="C76" s="399" t="s">
        <v>2343</v>
      </c>
      <c r="D76" s="399" t="s">
        <v>1826</v>
      </c>
      <c r="E76" s="399" t="s">
        <v>918</v>
      </c>
      <c r="F76" s="399" t="s">
        <v>1239</v>
      </c>
      <c r="G76" s="399" t="s">
        <v>1239</v>
      </c>
      <c r="H76" s="399" t="s">
        <v>1239</v>
      </c>
      <c r="I76" s="399" t="s">
        <v>1239</v>
      </c>
      <c r="J76" s="399" t="s">
        <v>2344</v>
      </c>
      <c r="K76" s="791">
        <v>44470</v>
      </c>
      <c r="L76" s="399">
        <v>0</v>
      </c>
      <c r="M76" s="399">
        <v>0</v>
      </c>
      <c r="N76" s="399">
        <v>472.48599999999999</v>
      </c>
      <c r="O76" s="399">
        <v>472.48599999999999</v>
      </c>
      <c r="P76" s="399">
        <v>472.48599999999999</v>
      </c>
      <c r="Q76" s="399">
        <v>472.48599999999999</v>
      </c>
      <c r="R76" s="399"/>
      <c r="S76" s="399">
        <v>239.69</v>
      </c>
      <c r="T76" s="399">
        <v>171.61</v>
      </c>
      <c r="U76" s="399"/>
      <c r="V76" s="399">
        <v>194333.49180000002</v>
      </c>
      <c r="W76" s="399">
        <v>194333.49180000002</v>
      </c>
      <c r="X76" s="399">
        <v>193620.03794000001</v>
      </c>
      <c r="Y76" s="399">
        <v>0</v>
      </c>
      <c r="Z76" s="399">
        <v>28565.227523595699</v>
      </c>
      <c r="AA76" s="399">
        <v>0</v>
      </c>
      <c r="AB76" s="399">
        <v>0</v>
      </c>
      <c r="AC76" s="399">
        <v>0</v>
      </c>
      <c r="AD76" s="399">
        <v>25200.510001942377</v>
      </c>
      <c r="AE76" s="399">
        <v>41869.217545971842</v>
      </c>
      <c r="AF76" s="399">
        <v>78137.007349879597</v>
      </c>
      <c r="AG76" s="399">
        <v>2946.1188622881436</v>
      </c>
      <c r="AH76" s="399">
        <v>0</v>
      </c>
      <c r="AI76" s="399">
        <v>0</v>
      </c>
      <c r="AJ76" s="399">
        <v>0</v>
      </c>
      <c r="AK76" s="399">
        <v>0</v>
      </c>
      <c r="AL76" s="399">
        <v>4416.8514687755924</v>
      </c>
      <c r="AM76" s="399"/>
      <c r="AN76" s="399">
        <v>187.12885820938286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7564.4597171721052</v>
      </c>
      <c r="BH76" s="399">
        <v>0</v>
      </c>
      <c r="BI76" s="399">
        <v>0</v>
      </c>
      <c r="BJ76" s="399">
        <v>0</v>
      </c>
      <c r="BK76" s="399">
        <v>86573.91</v>
      </c>
      <c r="BL76" s="399">
        <v>550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85701.467067051708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193621.6771</v>
      </c>
      <c r="CJ76" s="399">
        <v>-711.84469999998691</v>
      </c>
      <c r="CK76" s="399"/>
      <c r="CL76" s="399"/>
      <c r="CM76" s="399"/>
      <c r="CN76" s="399"/>
      <c r="CO76" s="399">
        <v>-11349.113720000005</v>
      </c>
      <c r="CP76" s="399">
        <v>10635.659859999996</v>
      </c>
      <c r="CQ76" s="399">
        <v>31</v>
      </c>
      <c r="CR76" s="399">
        <v>8341.0992231341661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1134.8451189332591</v>
      </c>
      <c r="DA76" s="399">
        <v>0</v>
      </c>
      <c r="DB76" s="399">
        <v>0</v>
      </c>
      <c r="DC76" s="399">
        <v>10638.186077482635</v>
      </c>
      <c r="DD76" s="399">
        <v>0</v>
      </c>
      <c r="DE76" s="399">
        <v>0</v>
      </c>
      <c r="DF76" s="399">
        <v>0</v>
      </c>
      <c r="DG76" s="399">
        <v>1029.8849773777783</v>
      </c>
      <c r="DH76" s="399">
        <v>0</v>
      </c>
      <c r="DI76" s="399">
        <v>-3923.5126553922892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-509.01391373372644</v>
      </c>
      <c r="DP76" s="399">
        <v>-29.290381533482559</v>
      </c>
      <c r="DQ76" s="399">
        <v>0</v>
      </c>
      <c r="DR76" s="399">
        <v>0</v>
      </c>
      <c r="DS76" s="399"/>
      <c r="DT76" s="399"/>
      <c r="DU76" s="399"/>
      <c r="DV76" s="399">
        <v>41869.217545971842</v>
      </c>
      <c r="DW76" s="399">
        <v>0</v>
      </c>
      <c r="DX76" s="399">
        <v>0</v>
      </c>
      <c r="DY76" s="399">
        <v>-11349.113719999994</v>
      </c>
      <c r="DZ76" s="399">
        <v>10635.659859999985</v>
      </c>
      <c r="EA76" s="399">
        <v>0</v>
      </c>
      <c r="EB76" s="399">
        <v>0</v>
      </c>
      <c r="EC76" s="399">
        <v>-9051.8989246578203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5447.2894858603522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215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2346</v>
      </c>
      <c r="C77" s="399" t="s">
        <v>2343</v>
      </c>
      <c r="D77" s="399" t="s">
        <v>1826</v>
      </c>
      <c r="E77" s="399" t="s">
        <v>918</v>
      </c>
      <c r="F77" s="399" t="s">
        <v>1239</v>
      </c>
      <c r="G77" s="399" t="s">
        <v>1239</v>
      </c>
      <c r="H77" s="399" t="s">
        <v>1239</v>
      </c>
      <c r="I77" s="399" t="s">
        <v>1239</v>
      </c>
      <c r="J77" s="399" t="s">
        <v>2344</v>
      </c>
      <c r="K77" s="791">
        <v>44470</v>
      </c>
      <c r="L77" s="399">
        <v>0</v>
      </c>
      <c r="M77" s="399">
        <v>0</v>
      </c>
      <c r="N77" s="399">
        <v>8.0820000000000007</v>
      </c>
      <c r="O77" s="399">
        <v>8.0820000000000007</v>
      </c>
      <c r="P77" s="399">
        <v>8.0820000000000007</v>
      </c>
      <c r="Q77" s="399">
        <v>8.0820000000000007</v>
      </c>
      <c r="R77" s="399"/>
      <c r="S77" s="399">
        <v>239.69</v>
      </c>
      <c r="T77" s="399">
        <v>171.61</v>
      </c>
      <c r="U77" s="399"/>
      <c r="V77" s="399">
        <v>3324.1266000000005</v>
      </c>
      <c r="W77" s="399">
        <v>3324.1266000000005</v>
      </c>
      <c r="X77" s="399">
        <v>3311.9227799999999</v>
      </c>
      <c r="Y77" s="399">
        <v>0</v>
      </c>
      <c r="Z77" s="399">
        <v>488.61589305439833</v>
      </c>
      <c r="AA77" s="399">
        <v>0</v>
      </c>
      <c r="AB77" s="399">
        <v>0</v>
      </c>
      <c r="AC77" s="399">
        <v>0</v>
      </c>
      <c r="AD77" s="399">
        <v>431.0614956542592</v>
      </c>
      <c r="AE77" s="399">
        <v>716.18421753564019</v>
      </c>
      <c r="AF77" s="399">
        <v>1336.5545082853821</v>
      </c>
      <c r="AG77" s="399">
        <v>50.394154842710222</v>
      </c>
      <c r="AH77" s="399">
        <v>0</v>
      </c>
      <c r="AI77" s="399">
        <v>0</v>
      </c>
      <c r="AJ77" s="399">
        <v>0</v>
      </c>
      <c r="AK77" s="399">
        <v>0</v>
      </c>
      <c r="AL77" s="399">
        <v>75.551431303031919</v>
      </c>
      <c r="AM77" s="399"/>
      <c r="AN77" s="399">
        <v>3.2008894063490398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129.39211624087267</v>
      </c>
      <c r="BH77" s="399">
        <v>0</v>
      </c>
      <c r="BI77" s="399">
        <v>0</v>
      </c>
      <c r="BJ77" s="399">
        <v>0</v>
      </c>
      <c r="BK77" s="399">
        <v>2385.17</v>
      </c>
      <c r="BL77" s="399">
        <v>8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1465.9466245262547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3311.1032</v>
      </c>
      <c r="CJ77" s="399">
        <v>-13.053400000000238</v>
      </c>
      <c r="CK77" s="399"/>
      <c r="CL77" s="399"/>
      <c r="CM77" s="399"/>
      <c r="CN77" s="399"/>
      <c r="CO77" s="399">
        <v>-194.12964000000011</v>
      </c>
      <c r="CP77" s="399">
        <v>181.92581999999993</v>
      </c>
      <c r="CQ77" s="399">
        <v>31</v>
      </c>
      <c r="CR77" s="399">
        <v>142.67674369477663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19.411830723489345</v>
      </c>
      <c r="DA77" s="399">
        <v>0</v>
      </c>
      <c r="DB77" s="399">
        <v>0</v>
      </c>
      <c r="DC77" s="399">
        <v>181.96903162890453</v>
      </c>
      <c r="DD77" s="399">
        <v>0</v>
      </c>
      <c r="DE77" s="399">
        <v>0</v>
      </c>
      <c r="DF77" s="399">
        <v>0</v>
      </c>
      <c r="DG77" s="399">
        <v>17.616459296502342</v>
      </c>
      <c r="DH77" s="399">
        <v>0</v>
      </c>
      <c r="DI77" s="399">
        <v>-67.112738326385227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-8.7068197804717471</v>
      </c>
      <c r="DP77" s="399">
        <v>-0.50101984726236592</v>
      </c>
      <c r="DQ77" s="399">
        <v>0</v>
      </c>
      <c r="DR77" s="399">
        <v>0</v>
      </c>
      <c r="DS77" s="399"/>
      <c r="DT77" s="399"/>
      <c r="DU77" s="399"/>
      <c r="DV77" s="399">
        <v>716.18421753564019</v>
      </c>
      <c r="DW77" s="399">
        <v>0</v>
      </c>
      <c r="DX77" s="399">
        <v>0</v>
      </c>
      <c r="DY77" s="399">
        <v>-194.12964000000011</v>
      </c>
      <c r="DZ77" s="399">
        <v>181.92581999999993</v>
      </c>
      <c r="EA77" s="399">
        <v>0</v>
      </c>
      <c r="EB77" s="399">
        <v>0</v>
      </c>
      <c r="EC77" s="399">
        <v>-154.83516360079363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93.177350492339187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215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956</v>
      </c>
      <c r="C78" s="399" t="s">
        <v>2352</v>
      </c>
      <c r="D78" s="399" t="s">
        <v>533</v>
      </c>
      <c r="E78" s="399" t="s">
        <v>918</v>
      </c>
      <c r="F78" s="399" t="s">
        <v>1239</v>
      </c>
      <c r="G78" s="399" t="s">
        <v>1239</v>
      </c>
      <c r="H78" s="399" t="s">
        <v>1239</v>
      </c>
      <c r="I78" s="399" t="s">
        <v>893</v>
      </c>
      <c r="J78" s="399" t="s">
        <v>2344</v>
      </c>
      <c r="K78" s="791">
        <v>44470</v>
      </c>
      <c r="L78" s="399">
        <v>0</v>
      </c>
      <c r="M78" s="399">
        <v>0</v>
      </c>
      <c r="N78" s="399">
        <v>6.1159999999999997</v>
      </c>
      <c r="O78" s="399">
        <v>6.1159999999999997</v>
      </c>
      <c r="P78" s="399">
        <v>6.1159999999999997</v>
      </c>
      <c r="Q78" s="399">
        <v>6.1159999999999997</v>
      </c>
      <c r="R78" s="399"/>
      <c r="S78" s="399">
        <v>984.21</v>
      </c>
      <c r="T78" s="399">
        <v>171.61</v>
      </c>
      <c r="U78" s="399"/>
      <c r="V78" s="399">
        <v>7068.9951199999996</v>
      </c>
      <c r="W78" s="399">
        <v>7068.9951199999996</v>
      </c>
      <c r="X78" s="399">
        <v>6592.1306000000004</v>
      </c>
      <c r="Y78" s="399">
        <v>0</v>
      </c>
      <c r="Z78" s="399">
        <v>321.68845306496019</v>
      </c>
      <c r="AA78" s="399">
        <v>0</v>
      </c>
      <c r="AB78" s="399">
        <v>0</v>
      </c>
      <c r="AC78" s="399">
        <v>0</v>
      </c>
      <c r="AD78" s="399">
        <v>2407.9221975854643</v>
      </c>
      <c r="AE78" s="399">
        <v>3131.8942508621922</v>
      </c>
      <c r="AF78" s="399">
        <v>1011.4287766237807</v>
      </c>
      <c r="AG78" s="399">
        <v>38.13544308562431</v>
      </c>
      <c r="AH78" s="399">
        <v>0</v>
      </c>
      <c r="AI78" s="399">
        <v>0</v>
      </c>
      <c r="AJ78" s="399">
        <v>0</v>
      </c>
      <c r="AK78" s="399">
        <v>0</v>
      </c>
      <c r="AL78" s="399">
        <v>57.173045514642801</v>
      </c>
      <c r="AM78" s="399"/>
      <c r="AN78" s="399">
        <v>1.6149938642905168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37.804762087451536</v>
      </c>
      <c r="BH78" s="399">
        <v>0</v>
      </c>
      <c r="BI78" s="399">
        <v>0</v>
      </c>
      <c r="BJ78" s="399">
        <v>0</v>
      </c>
      <c r="BK78" s="399">
        <v>0</v>
      </c>
      <c r="BL78" s="399">
        <v>0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1049.2335387112321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6596.442</v>
      </c>
      <c r="CJ78" s="399">
        <v>-472.58312000000024</v>
      </c>
      <c r="CK78" s="399"/>
      <c r="CL78" s="399"/>
      <c r="CM78" s="399"/>
      <c r="CN78" s="399"/>
      <c r="CO78" s="399">
        <v>-614.53568000000007</v>
      </c>
      <c r="CP78" s="399">
        <v>137.67115999999993</v>
      </c>
      <c r="CQ78" s="399">
        <v>31</v>
      </c>
      <c r="CR78" s="399">
        <v>200.25954473633738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108.43505756392915</v>
      </c>
      <c r="DA78" s="399">
        <v>0</v>
      </c>
      <c r="DB78" s="399">
        <v>0</v>
      </c>
      <c r="DC78" s="399">
        <v>137.70386011412768</v>
      </c>
      <c r="DD78" s="399">
        <v>0</v>
      </c>
      <c r="DE78" s="399">
        <v>0</v>
      </c>
      <c r="DF78" s="399">
        <v>0</v>
      </c>
      <c r="DG78" s="399">
        <v>5.1470373302168611</v>
      </c>
      <c r="DH78" s="399">
        <v>0</v>
      </c>
      <c r="DI78" s="399">
        <v>-44.184794805199999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-6.5888282327846071</v>
      </c>
      <c r="DP78" s="399">
        <v>-0.25278723395177094</v>
      </c>
      <c r="DQ78" s="399">
        <v>0</v>
      </c>
      <c r="DR78" s="399">
        <v>0</v>
      </c>
      <c r="DS78" s="399"/>
      <c r="DT78" s="399"/>
      <c r="DU78" s="399"/>
      <c r="DV78" s="399">
        <v>3131.8942508621922</v>
      </c>
      <c r="DW78" s="399">
        <v>0</v>
      </c>
      <c r="DX78" s="399">
        <v>0</v>
      </c>
      <c r="DY78" s="399">
        <v>-614.53567999999996</v>
      </c>
      <c r="DZ78" s="399">
        <v>137.6711600000001</v>
      </c>
      <c r="EA78" s="399">
        <v>0</v>
      </c>
      <c r="EB78" s="399">
        <v>0</v>
      </c>
      <c r="EC78" s="399">
        <v>-677.09863864530053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61.344868569870805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215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956</v>
      </c>
      <c r="C79" s="399" t="s">
        <v>2352</v>
      </c>
      <c r="D79" s="399" t="s">
        <v>533</v>
      </c>
      <c r="E79" s="399" t="s">
        <v>918</v>
      </c>
      <c r="F79" s="399" t="s">
        <v>1239</v>
      </c>
      <c r="G79" s="399" t="s">
        <v>1239</v>
      </c>
      <c r="H79" s="399" t="s">
        <v>1239</v>
      </c>
      <c r="I79" s="399" t="s">
        <v>2326</v>
      </c>
      <c r="J79" s="399" t="s">
        <v>2344</v>
      </c>
      <c r="K79" s="791">
        <v>44470</v>
      </c>
      <c r="L79" s="399">
        <v>0</v>
      </c>
      <c r="M79" s="399">
        <v>0</v>
      </c>
      <c r="N79" s="399">
        <v>67.387</v>
      </c>
      <c r="O79" s="399">
        <v>67.387</v>
      </c>
      <c r="P79" s="399">
        <v>67.387</v>
      </c>
      <c r="Q79" s="399">
        <v>67.387</v>
      </c>
      <c r="R79" s="399"/>
      <c r="S79" s="399">
        <v>78.42</v>
      </c>
      <c r="T79" s="399">
        <v>171.61</v>
      </c>
      <c r="U79" s="399"/>
      <c r="V79" s="399">
        <v>16848.771610000003</v>
      </c>
      <c r="W79" s="399">
        <v>16848.771610000003</v>
      </c>
      <c r="X79" s="399">
        <v>17860.250480000002</v>
      </c>
      <c r="Y79" s="399">
        <v>0</v>
      </c>
      <c r="Z79" s="399">
        <v>3544.4113451092994</v>
      </c>
      <c r="AA79" s="399">
        <v>0</v>
      </c>
      <c r="AB79" s="399">
        <v>0</v>
      </c>
      <c r="AC79" s="399">
        <v>0</v>
      </c>
      <c r="AD79" s="399">
        <v>0</v>
      </c>
      <c r="AE79" s="399">
        <v>0</v>
      </c>
      <c r="AF79" s="399">
        <v>11144.07308213648</v>
      </c>
      <c r="AG79" s="399">
        <v>420.18199856294399</v>
      </c>
      <c r="AH79" s="399">
        <v>0</v>
      </c>
      <c r="AI79" s="399">
        <v>0</v>
      </c>
      <c r="AJ79" s="399">
        <v>0</v>
      </c>
      <c r="AK79" s="399">
        <v>0</v>
      </c>
      <c r="AL79" s="399">
        <v>629.94114095736347</v>
      </c>
      <c r="AM79" s="399"/>
      <c r="AN79" s="399">
        <v>17.794243219905994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416.53850601489484</v>
      </c>
      <c r="BH79" s="399">
        <v>0</v>
      </c>
      <c r="BI79" s="399">
        <v>0</v>
      </c>
      <c r="BJ79" s="399">
        <v>0</v>
      </c>
      <c r="BK79" s="399">
        <v>0</v>
      </c>
      <c r="BL79" s="399">
        <v>0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11560.611588151374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17861.045600000001</v>
      </c>
      <c r="CJ79" s="399">
        <v>1012.2439900000027</v>
      </c>
      <c r="CK79" s="399"/>
      <c r="CL79" s="399"/>
      <c r="CM79" s="399"/>
      <c r="CN79" s="399"/>
      <c r="CO79" s="399">
        <v>-505.40250000000003</v>
      </c>
      <c r="CP79" s="399">
        <v>1516.8813699999994</v>
      </c>
      <c r="CQ79" s="399">
        <v>31</v>
      </c>
      <c r="CR79" s="399">
        <v>1011.7358922640706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0</v>
      </c>
      <c r="DA79" s="399">
        <v>0</v>
      </c>
      <c r="DB79" s="399">
        <v>0</v>
      </c>
      <c r="DC79" s="399">
        <v>1517.2416647336049</v>
      </c>
      <c r="DD79" s="399">
        <v>0</v>
      </c>
      <c r="DE79" s="399">
        <v>0</v>
      </c>
      <c r="DF79" s="399">
        <v>0</v>
      </c>
      <c r="DG79" s="399">
        <v>56.710824815455169</v>
      </c>
      <c r="DH79" s="399">
        <v>0</v>
      </c>
      <c r="DI79" s="399">
        <v>-486.83465787083287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-72.596691975581507</v>
      </c>
      <c r="DP79" s="399">
        <v>-2.7852474385722665</v>
      </c>
      <c r="DQ79" s="399">
        <v>0</v>
      </c>
      <c r="DR79" s="399">
        <v>0</v>
      </c>
      <c r="DS79" s="399"/>
      <c r="DT79" s="399"/>
      <c r="DU79" s="399"/>
      <c r="DV79" s="399">
        <v>0</v>
      </c>
      <c r="DW79" s="399">
        <v>0</v>
      </c>
      <c r="DX79" s="399">
        <v>0</v>
      </c>
      <c r="DY79" s="399">
        <v>-505.40250000000015</v>
      </c>
      <c r="DZ79" s="399">
        <v>1516.8813699999992</v>
      </c>
      <c r="EA79" s="399">
        <v>0</v>
      </c>
      <c r="EB79" s="399">
        <v>0</v>
      </c>
      <c r="EC79" s="399">
        <v>0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675.90690946989605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215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956</v>
      </c>
      <c r="C80" s="399" t="s">
        <v>2352</v>
      </c>
      <c r="D80" s="399" t="s">
        <v>533</v>
      </c>
      <c r="E80" s="399" t="s">
        <v>918</v>
      </c>
      <c r="F80" s="399" t="s">
        <v>1239</v>
      </c>
      <c r="G80" s="399" t="s">
        <v>1239</v>
      </c>
      <c r="H80" s="399" t="s">
        <v>1239</v>
      </c>
      <c r="I80" s="399" t="s">
        <v>1239</v>
      </c>
      <c r="J80" s="399" t="s">
        <v>2344</v>
      </c>
      <c r="K80" s="791">
        <v>44470</v>
      </c>
      <c r="L80" s="399">
        <v>407</v>
      </c>
      <c r="M80" s="399">
        <v>407</v>
      </c>
      <c r="N80" s="399">
        <v>0</v>
      </c>
      <c r="O80" s="399">
        <v>0</v>
      </c>
      <c r="P80" s="399">
        <v>0</v>
      </c>
      <c r="Q80" s="399">
        <v>0</v>
      </c>
      <c r="R80" s="399">
        <v>12.58</v>
      </c>
      <c r="S80" s="399"/>
      <c r="T80" s="399"/>
      <c r="U80" s="399">
        <v>5120.0600000000004</v>
      </c>
      <c r="V80" s="399"/>
      <c r="W80" s="399">
        <v>5120.0600000000004</v>
      </c>
      <c r="X80" s="399">
        <v>4717.13</v>
      </c>
      <c r="Y80" s="399">
        <v>0</v>
      </c>
      <c r="Z80" s="399">
        <v>0</v>
      </c>
      <c r="AA80" s="399">
        <v>0</v>
      </c>
      <c r="AB80" s="399">
        <v>0</v>
      </c>
      <c r="AC80" s="399">
        <v>0</v>
      </c>
      <c r="AD80" s="399">
        <v>2697.3678449540485</v>
      </c>
      <c r="AE80" s="399">
        <v>2421.5315733411417</v>
      </c>
      <c r="AF80" s="399"/>
      <c r="AG80" s="399"/>
      <c r="AH80" s="399"/>
      <c r="AI80" s="399">
        <v>0</v>
      </c>
      <c r="AJ80" s="399">
        <v>0</v>
      </c>
      <c r="AK80" s="399">
        <v>0</v>
      </c>
      <c r="AL80" s="399">
        <v>0</v>
      </c>
      <c r="AM80" s="399"/>
      <c r="AN80" s="399">
        <v>0</v>
      </c>
      <c r="AO80" s="399">
        <v>0</v>
      </c>
      <c r="AP80" s="399">
        <v>0</v>
      </c>
      <c r="AQ80" s="399">
        <v>0</v>
      </c>
      <c r="AR80" s="399">
        <v>0</v>
      </c>
      <c r="AS80" s="399"/>
      <c r="AT80" s="399"/>
      <c r="AU80" s="399">
        <v>0</v>
      </c>
      <c r="AV80" s="399">
        <v>0</v>
      </c>
      <c r="AW80" s="399">
        <v>0</v>
      </c>
      <c r="AX80" s="399"/>
      <c r="AY80" s="399"/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/>
      <c r="BG80" s="399">
        <v>0</v>
      </c>
      <c r="BH80" s="399">
        <v>0</v>
      </c>
      <c r="BI80" s="399">
        <v>0</v>
      </c>
      <c r="BJ80" s="399">
        <v>0</v>
      </c>
      <c r="BK80" s="399">
        <v>13352.93</v>
      </c>
      <c r="BL80" s="399">
        <v>5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0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4717.13</v>
      </c>
      <c r="CJ80" s="399">
        <v>-402.96000000000095</v>
      </c>
      <c r="CK80" s="399"/>
      <c r="CL80" s="399"/>
      <c r="CM80" s="399"/>
      <c r="CN80" s="399"/>
      <c r="CO80" s="399">
        <v>-402.93000000000006</v>
      </c>
      <c r="CP80" s="399">
        <v>0</v>
      </c>
      <c r="CQ80" s="399">
        <v>31</v>
      </c>
      <c r="CR80" s="399">
        <v>121.46955488510594</v>
      </c>
      <c r="CS80" s="399">
        <v>0</v>
      </c>
      <c r="CT80" s="399">
        <v>0</v>
      </c>
      <c r="CU80" s="399">
        <v>0</v>
      </c>
      <c r="CV80" s="399">
        <v>0</v>
      </c>
      <c r="CW80" s="399"/>
      <c r="CX80" s="399"/>
      <c r="CY80" s="399"/>
      <c r="CZ80" s="399">
        <v>121.46955488510594</v>
      </c>
      <c r="DA80" s="399">
        <v>0</v>
      </c>
      <c r="DB80" s="399">
        <v>0</v>
      </c>
      <c r="DC80" s="399"/>
      <c r="DD80" s="399"/>
      <c r="DE80" s="399">
        <v>0</v>
      </c>
      <c r="DF80" s="399">
        <v>0</v>
      </c>
      <c r="DG80" s="399">
        <v>0</v>
      </c>
      <c r="DH80" s="399">
        <v>0</v>
      </c>
      <c r="DI80" s="399">
        <v>0</v>
      </c>
      <c r="DJ80" s="399"/>
      <c r="DK80" s="399">
        <v>0</v>
      </c>
      <c r="DL80" s="399">
        <v>0</v>
      </c>
      <c r="DM80" s="399"/>
      <c r="DN80" s="399">
        <v>0</v>
      </c>
      <c r="DO80" s="399">
        <v>0</v>
      </c>
      <c r="DP80" s="399">
        <v>0</v>
      </c>
      <c r="DQ80" s="399">
        <v>0</v>
      </c>
      <c r="DR80" s="399">
        <v>0</v>
      </c>
      <c r="DS80" s="399"/>
      <c r="DT80" s="399"/>
      <c r="DU80" s="399">
        <v>2421.5315733411417</v>
      </c>
      <c r="DV80" s="399"/>
      <c r="DW80" s="399">
        <v>0</v>
      </c>
      <c r="DX80" s="399">
        <v>0</v>
      </c>
      <c r="DY80" s="399">
        <v>-402.93000000000029</v>
      </c>
      <c r="DZ80" s="399"/>
      <c r="EA80" s="399">
        <v>0</v>
      </c>
      <c r="EB80" s="399"/>
      <c r="EC80" s="399">
        <v>-523.52206058506772</v>
      </c>
      <c r="ED80" s="399"/>
      <c r="EE80" s="399">
        <v>0</v>
      </c>
      <c r="EF80" s="399">
        <v>0</v>
      </c>
      <c r="EG80" s="399"/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/>
      <c r="EN80" s="399"/>
      <c r="EO80" s="399">
        <v>0</v>
      </c>
      <c r="EP80" s="399">
        <v>0</v>
      </c>
      <c r="EQ80" s="399"/>
      <c r="ER80" s="399">
        <v>0</v>
      </c>
      <c r="ES80" s="399"/>
      <c r="ET80" s="399">
        <v>0</v>
      </c>
      <c r="EU80" s="399"/>
      <c r="EV80" s="399">
        <v>215</v>
      </c>
      <c r="EW80" s="399"/>
      <c r="EX80" s="399"/>
      <c r="EY80" s="399"/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956</v>
      </c>
      <c r="C81" s="399" t="s">
        <v>2343</v>
      </c>
      <c r="D81" s="399" t="s">
        <v>2353</v>
      </c>
      <c r="E81" s="399" t="s">
        <v>894</v>
      </c>
      <c r="F81" s="399" t="s">
        <v>1239</v>
      </c>
      <c r="G81" s="399" t="s">
        <v>1239</v>
      </c>
      <c r="H81" s="399" t="s">
        <v>1239</v>
      </c>
      <c r="I81" s="399" t="s">
        <v>1239</v>
      </c>
      <c r="J81" s="399" t="s">
        <v>2344</v>
      </c>
      <c r="K81" s="791">
        <v>44470</v>
      </c>
      <c r="L81" s="399">
        <v>0</v>
      </c>
      <c r="M81" s="399">
        <v>0</v>
      </c>
      <c r="N81" s="399">
        <v>583.15</v>
      </c>
      <c r="O81" s="399">
        <v>583.15</v>
      </c>
      <c r="P81" s="399">
        <v>583.15</v>
      </c>
      <c r="Q81" s="399">
        <v>583.15</v>
      </c>
      <c r="R81" s="399"/>
      <c r="S81" s="399">
        <v>239.69</v>
      </c>
      <c r="T81" s="399">
        <v>171.61</v>
      </c>
      <c r="U81" s="399"/>
      <c r="V81" s="399">
        <v>239849.595</v>
      </c>
      <c r="W81" s="399">
        <v>239849.595</v>
      </c>
      <c r="X81" s="399">
        <v>238969.03849999997</v>
      </c>
      <c r="Y81" s="399">
        <v>0</v>
      </c>
      <c r="Z81" s="399">
        <v>35255.674094861708</v>
      </c>
      <c r="AA81" s="399">
        <v>0</v>
      </c>
      <c r="AB81" s="399">
        <v>0</v>
      </c>
      <c r="AC81" s="399">
        <v>0</v>
      </c>
      <c r="AD81" s="399">
        <v>31102.884334419847</v>
      </c>
      <c r="AE81" s="399">
        <v>51675.677611470986</v>
      </c>
      <c r="AF81" s="399">
        <v>96437.980884263845</v>
      </c>
      <c r="AG81" s="399">
        <v>3636.1484034306436</v>
      </c>
      <c r="AH81" s="399">
        <v>0</v>
      </c>
      <c r="AI81" s="399">
        <v>0</v>
      </c>
      <c r="AJ81" s="399">
        <v>0</v>
      </c>
      <c r="AK81" s="399">
        <v>0</v>
      </c>
      <c r="AL81" s="399">
        <v>5451.3507998469504</v>
      </c>
      <c r="AM81" s="399"/>
      <c r="AN81" s="399">
        <v>230.95751760856749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9336.1807208444552</v>
      </c>
      <c r="BH81" s="399">
        <v>0</v>
      </c>
      <c r="BI81" s="399">
        <v>0</v>
      </c>
      <c r="BJ81" s="399">
        <v>0</v>
      </c>
      <c r="BK81" s="399">
        <v>78540.53</v>
      </c>
      <c r="BL81" s="399">
        <v>738</v>
      </c>
      <c r="BM81" s="399"/>
      <c r="BN81" s="399"/>
      <c r="BO81" s="399"/>
      <c r="BP81" s="399"/>
      <c r="BQ81" s="399"/>
      <c r="BR81" s="399">
        <v>28673.485499999992</v>
      </c>
      <c r="BS81" s="399"/>
      <c r="BT81" s="399"/>
      <c r="BU81" s="399"/>
      <c r="BV81" s="399">
        <v>105774.1616051083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210295.55300000001</v>
      </c>
      <c r="CJ81" s="399">
        <v>-775.61949999997159</v>
      </c>
      <c r="CK81" s="399"/>
      <c r="CL81" s="399"/>
      <c r="CM81" s="399"/>
      <c r="CN81" s="399"/>
      <c r="CO81" s="399">
        <v>-14007.263000000006</v>
      </c>
      <c r="CP81" s="399">
        <v>13126.706499999995</v>
      </c>
      <c r="CQ81" s="399">
        <v>31</v>
      </c>
      <c r="CR81" s="399">
        <v>10294.721985351294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1400.644529374269</v>
      </c>
      <c r="DA81" s="399">
        <v>0</v>
      </c>
      <c r="DB81" s="399">
        <v>0</v>
      </c>
      <c r="DC81" s="399">
        <v>13129.824399207588</v>
      </c>
      <c r="DD81" s="399">
        <v>0</v>
      </c>
      <c r="DE81" s="399">
        <v>0</v>
      </c>
      <c r="DF81" s="399">
        <v>0</v>
      </c>
      <c r="DG81" s="399">
        <v>1271.1009946492613</v>
      </c>
      <c r="DH81" s="399">
        <v>0</v>
      </c>
      <c r="DI81" s="399">
        <v>-4842.463914257798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-628.23335250953915</v>
      </c>
      <c r="DP81" s="399">
        <v>-36.150671112478193</v>
      </c>
      <c r="DQ81" s="399">
        <v>0</v>
      </c>
      <c r="DR81" s="399">
        <v>0</v>
      </c>
      <c r="DS81" s="399"/>
      <c r="DT81" s="399"/>
      <c r="DU81" s="399"/>
      <c r="DV81" s="399">
        <v>51675.677611470986</v>
      </c>
      <c r="DW81" s="399">
        <v>0</v>
      </c>
      <c r="DX81" s="399">
        <v>0</v>
      </c>
      <c r="DY81" s="399">
        <v>-14007.263000000006</v>
      </c>
      <c r="DZ81" s="399">
        <v>13126.706499999986</v>
      </c>
      <c r="EA81" s="399">
        <v>0</v>
      </c>
      <c r="EB81" s="399">
        <v>0</v>
      </c>
      <c r="EC81" s="399">
        <v>-11172.0026792629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6723.1343652075711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215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2346</v>
      </c>
      <c r="C82" s="399" t="s">
        <v>2343</v>
      </c>
      <c r="D82" s="399" t="s">
        <v>2353</v>
      </c>
      <c r="E82" s="399" t="s">
        <v>894</v>
      </c>
      <c r="F82" s="399" t="s">
        <v>1239</v>
      </c>
      <c r="G82" s="399" t="s">
        <v>1239</v>
      </c>
      <c r="H82" s="399" t="s">
        <v>1239</v>
      </c>
      <c r="I82" s="399" t="s">
        <v>1239</v>
      </c>
      <c r="J82" s="399" t="s">
        <v>2344</v>
      </c>
      <c r="K82" s="791">
        <v>44470</v>
      </c>
      <c r="L82" s="399">
        <v>0</v>
      </c>
      <c r="M82" s="399">
        <v>0</v>
      </c>
      <c r="N82" s="399">
        <v>1.3089999999999999</v>
      </c>
      <c r="O82" s="399">
        <v>1.3089999999999999</v>
      </c>
      <c r="P82" s="399">
        <v>1.3089999999999999</v>
      </c>
      <c r="Q82" s="399">
        <v>1.3089999999999999</v>
      </c>
      <c r="R82" s="399"/>
      <c r="S82" s="399">
        <v>239.69</v>
      </c>
      <c r="T82" s="399">
        <v>171.61</v>
      </c>
      <c r="U82" s="399"/>
      <c r="V82" s="399">
        <v>538.39170000000001</v>
      </c>
      <c r="W82" s="399">
        <v>538.39170000000001</v>
      </c>
      <c r="X82" s="399">
        <v>536.41511000000003</v>
      </c>
      <c r="Y82" s="399">
        <v>0</v>
      </c>
      <c r="Z82" s="399">
        <v>79.138604801807389</v>
      </c>
      <c r="AA82" s="399">
        <v>0</v>
      </c>
      <c r="AB82" s="399">
        <v>0</v>
      </c>
      <c r="AC82" s="399">
        <v>0</v>
      </c>
      <c r="AD82" s="399">
        <v>69.81681487396996</v>
      </c>
      <c r="AE82" s="399">
        <v>115.99667665851928</v>
      </c>
      <c r="AF82" s="399">
        <v>216.47486406156457</v>
      </c>
      <c r="AG82" s="399">
        <v>8.1620822431462106</v>
      </c>
      <c r="AH82" s="399">
        <v>0</v>
      </c>
      <c r="AI82" s="399">
        <v>0</v>
      </c>
      <c r="AJ82" s="399">
        <v>0</v>
      </c>
      <c r="AK82" s="399">
        <v>0</v>
      </c>
      <c r="AL82" s="399">
        <v>12.236677007630384</v>
      </c>
      <c r="AM82" s="399"/>
      <c r="AN82" s="399">
        <v>0.51843160516096176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20.956976015751337</v>
      </c>
      <c r="BH82" s="399">
        <v>0</v>
      </c>
      <c r="BI82" s="399">
        <v>0</v>
      </c>
      <c r="BJ82" s="399">
        <v>0</v>
      </c>
      <c r="BK82" s="399">
        <v>1152.6099999999999</v>
      </c>
      <c r="BL82" s="399">
        <v>5</v>
      </c>
      <c r="BM82" s="399"/>
      <c r="BN82" s="399"/>
      <c r="BO82" s="399"/>
      <c r="BP82" s="399"/>
      <c r="BQ82" s="399"/>
      <c r="BR82" s="399">
        <v>64.363529999999983</v>
      </c>
      <c r="BS82" s="399"/>
      <c r="BT82" s="399"/>
      <c r="BU82" s="399"/>
      <c r="BV82" s="399">
        <v>237.43184007731591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472.41219999999998</v>
      </c>
      <c r="CJ82" s="399">
        <v>-1.410349999999994</v>
      </c>
      <c r="CK82" s="399"/>
      <c r="CL82" s="399"/>
      <c r="CM82" s="399"/>
      <c r="CN82" s="399"/>
      <c r="CO82" s="399">
        <v>-31.442180000000011</v>
      </c>
      <c r="CP82" s="399">
        <v>29.465589999999988</v>
      </c>
      <c r="CQ82" s="399">
        <v>31</v>
      </c>
      <c r="CR82" s="399">
        <v>23.10861884390772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3.1440344490284104</v>
      </c>
      <c r="DA82" s="399">
        <v>0</v>
      </c>
      <c r="DB82" s="399">
        <v>0</v>
      </c>
      <c r="DC82" s="399">
        <v>29.472588765433784</v>
      </c>
      <c r="DD82" s="399">
        <v>0</v>
      </c>
      <c r="DE82" s="399">
        <v>0</v>
      </c>
      <c r="DF82" s="399">
        <v>0</v>
      </c>
      <c r="DG82" s="399">
        <v>2.8532473668796783</v>
      </c>
      <c r="DH82" s="399">
        <v>0</v>
      </c>
      <c r="DI82" s="399">
        <v>-10.869905279539509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-1.4101988483837555</v>
      </c>
      <c r="DP82" s="399">
        <v>-8.1147609510818786E-2</v>
      </c>
      <c r="DQ82" s="399">
        <v>0</v>
      </c>
      <c r="DR82" s="399">
        <v>0</v>
      </c>
      <c r="DS82" s="399"/>
      <c r="DT82" s="399"/>
      <c r="DU82" s="399"/>
      <c r="DV82" s="399">
        <v>115.99667665851928</v>
      </c>
      <c r="DW82" s="399">
        <v>0</v>
      </c>
      <c r="DX82" s="399">
        <v>0</v>
      </c>
      <c r="DY82" s="399">
        <v>-31.442180000000008</v>
      </c>
      <c r="DZ82" s="399">
        <v>29.465589999999992</v>
      </c>
      <c r="EA82" s="399">
        <v>0</v>
      </c>
      <c r="EB82" s="399">
        <v>0</v>
      </c>
      <c r="EC82" s="399">
        <v>-25.077855624033489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15.09145654472556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215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21" customFormat="1">
      <c r="A83" s="399">
        <v>81</v>
      </c>
      <c r="B83" s="399" t="s">
        <v>956</v>
      </c>
      <c r="C83" s="399" t="s">
        <v>2352</v>
      </c>
      <c r="D83" s="399" t="s">
        <v>533</v>
      </c>
      <c r="E83" s="399" t="s">
        <v>894</v>
      </c>
      <c r="F83" s="399" t="s">
        <v>1239</v>
      </c>
      <c r="G83" s="399" t="s">
        <v>1239</v>
      </c>
      <c r="H83" s="399" t="s">
        <v>1239</v>
      </c>
      <c r="I83" s="399" t="s">
        <v>893</v>
      </c>
      <c r="J83" s="399" t="s">
        <v>2344</v>
      </c>
      <c r="K83" s="791">
        <v>44470</v>
      </c>
      <c r="L83" s="399">
        <v>0</v>
      </c>
      <c r="M83" s="399">
        <v>0</v>
      </c>
      <c r="N83" s="399">
        <v>9.3620000000000001</v>
      </c>
      <c r="O83" s="399">
        <v>8.98752</v>
      </c>
      <c r="P83" s="399">
        <v>9.3620000000000001</v>
      </c>
      <c r="Q83" s="399">
        <v>8.98752</v>
      </c>
      <c r="R83" s="399"/>
      <c r="S83" s="399">
        <v>984.21</v>
      </c>
      <c r="T83" s="399">
        <v>171.61</v>
      </c>
      <c r="U83" s="399"/>
      <c r="V83" s="399">
        <v>10820.786840000001</v>
      </c>
      <c r="W83" s="399">
        <v>10820.786840000001</v>
      </c>
      <c r="X83" s="399">
        <v>10090.831700000001</v>
      </c>
      <c r="Y83" s="399">
        <v>0</v>
      </c>
      <c r="Z83" s="399">
        <v>492.42107547321086</v>
      </c>
      <c r="AA83" s="399">
        <v>0</v>
      </c>
      <c r="AB83" s="399">
        <v>0</v>
      </c>
      <c r="AC83" s="399">
        <v>0</v>
      </c>
      <c r="AD83" s="399">
        <v>3685.9005254733679</v>
      </c>
      <c r="AE83" s="399">
        <v>4794.1128150052073</v>
      </c>
      <c r="AF83" s="399">
        <v>1548.2335197435964</v>
      </c>
      <c r="AG83" s="399">
        <v>58.37541173440399</v>
      </c>
      <c r="AH83" s="399">
        <v>0</v>
      </c>
      <c r="AI83" s="399">
        <v>0</v>
      </c>
      <c r="AJ83" s="399">
        <v>0</v>
      </c>
      <c r="AK83" s="399">
        <v>0</v>
      </c>
      <c r="AL83" s="399">
        <v>87.517013098117388</v>
      </c>
      <c r="AM83" s="399"/>
      <c r="AN83" s="399">
        <v>2.4721341657108926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57.86922541901918</v>
      </c>
      <c r="BH83" s="399">
        <v>0</v>
      </c>
      <c r="BI83" s="399">
        <v>0</v>
      </c>
      <c r="BJ83" s="399">
        <v>0</v>
      </c>
      <c r="BK83" s="399">
        <v>0</v>
      </c>
      <c r="BL83" s="399">
        <v>0</v>
      </c>
      <c r="BM83" s="399"/>
      <c r="BN83" s="399"/>
      <c r="BO83" s="399"/>
      <c r="BP83" s="399"/>
      <c r="BQ83" s="399"/>
      <c r="BR83" s="399">
        <v>403.63326800000016</v>
      </c>
      <c r="BS83" s="399"/>
      <c r="BT83" s="399"/>
      <c r="BU83" s="399"/>
      <c r="BV83" s="399">
        <v>1606.1027451626155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9689.8715000000011</v>
      </c>
      <c r="CJ83" s="399">
        <v>-698.1138663999991</v>
      </c>
      <c r="CK83" s="399"/>
      <c r="CL83" s="399"/>
      <c r="CM83" s="399"/>
      <c r="CN83" s="399"/>
      <c r="CO83" s="399">
        <v>-940.69376000000022</v>
      </c>
      <c r="CP83" s="399">
        <v>210.73861999999991</v>
      </c>
      <c r="CQ83" s="399">
        <v>31</v>
      </c>
      <c r="CR83" s="399">
        <v>306.54510428737649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165.98577647375805</v>
      </c>
      <c r="DA83" s="399">
        <v>0</v>
      </c>
      <c r="DB83" s="399">
        <v>0</v>
      </c>
      <c r="DC83" s="399">
        <v>210.78867534147525</v>
      </c>
      <c r="DD83" s="399">
        <v>0</v>
      </c>
      <c r="DE83" s="399">
        <v>0</v>
      </c>
      <c r="DF83" s="399">
        <v>0</v>
      </c>
      <c r="DG83" s="399">
        <v>7.8787710080919382</v>
      </c>
      <c r="DH83" s="399">
        <v>0</v>
      </c>
      <c r="DI83" s="399">
        <v>-67.635390609267915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-10.085776637562049</v>
      </c>
      <c r="DP83" s="399">
        <v>-0.3869512891197644</v>
      </c>
      <c r="DQ83" s="399">
        <v>0</v>
      </c>
      <c r="DR83" s="399">
        <v>0</v>
      </c>
      <c r="DS83" s="399"/>
      <c r="DT83" s="399"/>
      <c r="DU83" s="399"/>
      <c r="DV83" s="399">
        <v>4794.1128150052073</v>
      </c>
      <c r="DW83" s="399">
        <v>0</v>
      </c>
      <c r="DX83" s="399">
        <v>0</v>
      </c>
      <c r="DY83" s="399">
        <v>-940.69376000000011</v>
      </c>
      <c r="DZ83" s="399">
        <v>210.73862000000008</v>
      </c>
      <c r="EA83" s="399">
        <v>0</v>
      </c>
      <c r="EB83" s="399">
        <v>0</v>
      </c>
      <c r="EC83" s="399">
        <v>-1036.4613235770607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93.902985538118131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215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21" customFormat="1">
      <c r="A84" s="399">
        <v>82</v>
      </c>
      <c r="B84" s="399" t="s">
        <v>956</v>
      </c>
      <c r="C84" s="399" t="s">
        <v>2352</v>
      </c>
      <c r="D84" s="399" t="s">
        <v>533</v>
      </c>
      <c r="E84" s="399" t="s">
        <v>894</v>
      </c>
      <c r="F84" s="399" t="s">
        <v>1239</v>
      </c>
      <c r="G84" s="399" t="s">
        <v>1239</v>
      </c>
      <c r="H84" s="399" t="s">
        <v>1239</v>
      </c>
      <c r="I84" s="399" t="s">
        <v>2326</v>
      </c>
      <c r="J84" s="399" t="s">
        <v>2344</v>
      </c>
      <c r="K84" s="791">
        <v>44470</v>
      </c>
      <c r="L84" s="399">
        <v>0</v>
      </c>
      <c r="M84" s="399">
        <v>0</v>
      </c>
      <c r="N84" s="399">
        <v>166.39500000000001</v>
      </c>
      <c r="O84" s="399">
        <v>159.73920000000001</v>
      </c>
      <c r="P84" s="399">
        <v>166.39500000000001</v>
      </c>
      <c r="Q84" s="399">
        <v>159.73920000000001</v>
      </c>
      <c r="R84" s="399"/>
      <c r="S84" s="399">
        <v>78.42</v>
      </c>
      <c r="T84" s="399">
        <v>171.61</v>
      </c>
      <c r="U84" s="399"/>
      <c r="V84" s="399">
        <v>41603.741850000006</v>
      </c>
      <c r="W84" s="399">
        <v>41603.741850000006</v>
      </c>
      <c r="X84" s="399">
        <v>44101.330800000003</v>
      </c>
      <c r="Y84" s="399">
        <v>0</v>
      </c>
      <c r="Z84" s="399">
        <v>8752.0193178129593</v>
      </c>
      <c r="AA84" s="399">
        <v>0</v>
      </c>
      <c r="AB84" s="399">
        <v>0</v>
      </c>
      <c r="AC84" s="399">
        <v>0</v>
      </c>
      <c r="AD84" s="399">
        <v>0</v>
      </c>
      <c r="AE84" s="399">
        <v>0</v>
      </c>
      <c r="AF84" s="399">
        <v>27517.444618429367</v>
      </c>
      <c r="AG84" s="399">
        <v>1037.5322191354574</v>
      </c>
      <c r="AH84" s="399">
        <v>0</v>
      </c>
      <c r="AI84" s="399">
        <v>0</v>
      </c>
      <c r="AJ84" s="399">
        <v>0</v>
      </c>
      <c r="AK84" s="399">
        <v>0</v>
      </c>
      <c r="AL84" s="399">
        <v>1555.4788928072253</v>
      </c>
      <c r="AM84" s="399"/>
      <c r="AN84" s="399">
        <v>43.938342715601792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1028.5355440715334</v>
      </c>
      <c r="BH84" s="399">
        <v>0</v>
      </c>
      <c r="BI84" s="399">
        <v>0</v>
      </c>
      <c r="BJ84" s="399">
        <v>0</v>
      </c>
      <c r="BK84" s="399">
        <v>0</v>
      </c>
      <c r="BL84" s="399">
        <v>0</v>
      </c>
      <c r="BM84" s="399"/>
      <c r="BN84" s="399"/>
      <c r="BO84" s="399"/>
      <c r="BP84" s="399"/>
      <c r="BQ84" s="399"/>
      <c r="BR84" s="399">
        <v>1764.0532319999998</v>
      </c>
      <c r="BS84" s="399"/>
      <c r="BT84" s="399"/>
      <c r="BU84" s="399"/>
      <c r="BV84" s="399">
        <v>28545.980162500899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42337.489600000001</v>
      </c>
      <c r="CJ84" s="399">
        <v>2397.8674239999964</v>
      </c>
      <c r="CK84" s="399"/>
      <c r="CL84" s="399"/>
      <c r="CM84" s="399"/>
      <c r="CN84" s="399"/>
      <c r="CO84" s="399">
        <v>-1247.9625000000001</v>
      </c>
      <c r="CP84" s="399">
        <v>3745.5514499999986</v>
      </c>
      <c r="CQ84" s="399">
        <v>31</v>
      </c>
      <c r="CR84" s="399">
        <v>2498.2236008915788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0</v>
      </c>
      <c r="DA84" s="399">
        <v>0</v>
      </c>
      <c r="DB84" s="399">
        <v>0</v>
      </c>
      <c r="DC84" s="399">
        <v>3746.4411059009617</v>
      </c>
      <c r="DD84" s="399">
        <v>0</v>
      </c>
      <c r="DE84" s="399">
        <v>0</v>
      </c>
      <c r="DF84" s="399">
        <v>0</v>
      </c>
      <c r="DG84" s="399">
        <v>140.03290983672923</v>
      </c>
      <c r="DH84" s="399">
        <v>0</v>
      </c>
      <c r="DI84" s="399">
        <v>-1202.1139521928153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-179.25900487151648</v>
      </c>
      <c r="DP84" s="399">
        <v>-6.8774577817862834</v>
      </c>
      <c r="DQ84" s="399">
        <v>0</v>
      </c>
      <c r="DR84" s="399">
        <v>0</v>
      </c>
      <c r="DS84" s="399"/>
      <c r="DT84" s="399"/>
      <c r="DU84" s="399"/>
      <c r="DV84" s="399">
        <v>0</v>
      </c>
      <c r="DW84" s="399">
        <v>0</v>
      </c>
      <c r="DX84" s="399">
        <v>0</v>
      </c>
      <c r="DY84" s="399">
        <v>-1247.9624999999996</v>
      </c>
      <c r="DZ84" s="399">
        <v>3745.551449999999</v>
      </c>
      <c r="EA84" s="399">
        <v>0</v>
      </c>
      <c r="EB84" s="399">
        <v>0</v>
      </c>
      <c r="EC84" s="399">
        <v>0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1668.9796281366341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215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21" customFormat="1">
      <c r="A85" s="399">
        <v>83</v>
      </c>
      <c r="B85" s="399" t="s">
        <v>956</v>
      </c>
      <c r="C85" s="399" t="s">
        <v>2352</v>
      </c>
      <c r="D85" s="399" t="s">
        <v>533</v>
      </c>
      <c r="E85" s="399" t="s">
        <v>894</v>
      </c>
      <c r="F85" s="399" t="s">
        <v>1239</v>
      </c>
      <c r="G85" s="399" t="s">
        <v>1239</v>
      </c>
      <c r="H85" s="399" t="s">
        <v>1239</v>
      </c>
      <c r="I85" s="399" t="s">
        <v>1239</v>
      </c>
      <c r="J85" s="399" t="s">
        <v>2344</v>
      </c>
      <c r="K85" s="791">
        <v>44470</v>
      </c>
      <c r="L85" s="399">
        <v>1167</v>
      </c>
      <c r="M85" s="399">
        <v>1120.32</v>
      </c>
      <c r="N85" s="399">
        <v>0</v>
      </c>
      <c r="O85" s="399">
        <v>0</v>
      </c>
      <c r="P85" s="399">
        <v>0</v>
      </c>
      <c r="Q85" s="399">
        <v>0</v>
      </c>
      <c r="R85" s="399">
        <v>12.58</v>
      </c>
      <c r="S85" s="399"/>
      <c r="T85" s="399"/>
      <c r="U85" s="399">
        <v>14680.86</v>
      </c>
      <c r="V85" s="399"/>
      <c r="W85" s="399">
        <v>14680.86</v>
      </c>
      <c r="X85" s="399">
        <v>13525.53</v>
      </c>
      <c r="Y85" s="399">
        <v>0</v>
      </c>
      <c r="Z85" s="399">
        <v>0</v>
      </c>
      <c r="AA85" s="399">
        <v>0</v>
      </c>
      <c r="AB85" s="399">
        <v>0</v>
      </c>
      <c r="AC85" s="399">
        <v>0</v>
      </c>
      <c r="AD85" s="399">
        <v>7734.2218060476034</v>
      </c>
      <c r="AE85" s="399">
        <v>6943.3104326513812</v>
      </c>
      <c r="AF85" s="399"/>
      <c r="AG85" s="399"/>
      <c r="AH85" s="399"/>
      <c r="AI85" s="399">
        <v>0</v>
      </c>
      <c r="AJ85" s="399">
        <v>0</v>
      </c>
      <c r="AK85" s="399">
        <v>0</v>
      </c>
      <c r="AL85" s="399">
        <v>0</v>
      </c>
      <c r="AM85" s="399"/>
      <c r="AN85" s="399">
        <v>0</v>
      </c>
      <c r="AO85" s="399">
        <v>0</v>
      </c>
      <c r="AP85" s="399">
        <v>0</v>
      </c>
      <c r="AQ85" s="399">
        <v>0</v>
      </c>
      <c r="AR85" s="399">
        <v>0</v>
      </c>
      <c r="AS85" s="399"/>
      <c r="AT85" s="399"/>
      <c r="AU85" s="399">
        <v>0</v>
      </c>
      <c r="AV85" s="399">
        <v>0</v>
      </c>
      <c r="AW85" s="399">
        <v>0</v>
      </c>
      <c r="AX85" s="399"/>
      <c r="AY85" s="399"/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/>
      <c r="BG85" s="399">
        <v>0</v>
      </c>
      <c r="BH85" s="399">
        <v>0</v>
      </c>
      <c r="BI85" s="399">
        <v>0</v>
      </c>
      <c r="BJ85" s="399">
        <v>0</v>
      </c>
      <c r="BK85" s="399">
        <v>30875.599999999999</v>
      </c>
      <c r="BL85" s="399">
        <v>11</v>
      </c>
      <c r="BM85" s="399"/>
      <c r="BN85" s="399"/>
      <c r="BO85" s="399"/>
      <c r="BP85" s="399"/>
      <c r="BQ85" s="399"/>
      <c r="BR85" s="399">
        <v>541.0212000000007</v>
      </c>
      <c r="BS85" s="399"/>
      <c r="BT85" s="399"/>
      <c r="BU85" s="399"/>
      <c r="BV85" s="399">
        <v>0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12984.5088</v>
      </c>
      <c r="CJ85" s="399">
        <v>-1109.1468000000004</v>
      </c>
      <c r="CK85" s="399"/>
      <c r="CL85" s="399"/>
      <c r="CM85" s="399"/>
      <c r="CN85" s="399"/>
      <c r="CO85" s="399">
        <v>-1155.3300000000002</v>
      </c>
      <c r="CP85" s="399">
        <v>0</v>
      </c>
      <c r="CQ85" s="399">
        <v>31</v>
      </c>
      <c r="CR85" s="399">
        <v>348.29231093591807</v>
      </c>
      <c r="CS85" s="399">
        <v>0</v>
      </c>
      <c r="CT85" s="399">
        <v>0</v>
      </c>
      <c r="CU85" s="399">
        <v>0</v>
      </c>
      <c r="CV85" s="399">
        <v>0</v>
      </c>
      <c r="CW85" s="399"/>
      <c r="CX85" s="399"/>
      <c r="CY85" s="399"/>
      <c r="CZ85" s="399">
        <v>348.29231093591807</v>
      </c>
      <c r="DA85" s="399">
        <v>0</v>
      </c>
      <c r="DB85" s="399">
        <v>0</v>
      </c>
      <c r="DC85" s="399"/>
      <c r="DD85" s="399"/>
      <c r="DE85" s="399">
        <v>0</v>
      </c>
      <c r="DF85" s="399">
        <v>0</v>
      </c>
      <c r="DG85" s="399">
        <v>0</v>
      </c>
      <c r="DH85" s="399">
        <v>0</v>
      </c>
      <c r="DI85" s="399">
        <v>0</v>
      </c>
      <c r="DJ85" s="399"/>
      <c r="DK85" s="399">
        <v>0</v>
      </c>
      <c r="DL85" s="399">
        <v>0</v>
      </c>
      <c r="DM85" s="399"/>
      <c r="DN85" s="399">
        <v>0</v>
      </c>
      <c r="DO85" s="399">
        <v>0</v>
      </c>
      <c r="DP85" s="399">
        <v>0</v>
      </c>
      <c r="DQ85" s="399">
        <v>0</v>
      </c>
      <c r="DR85" s="399">
        <v>0</v>
      </c>
      <c r="DS85" s="399"/>
      <c r="DT85" s="399"/>
      <c r="DU85" s="399">
        <v>6943.3104326513812</v>
      </c>
      <c r="DV85" s="399"/>
      <c r="DW85" s="399">
        <v>0</v>
      </c>
      <c r="DX85" s="399">
        <v>0</v>
      </c>
      <c r="DY85" s="399">
        <v>-1155.33</v>
      </c>
      <c r="DZ85" s="399"/>
      <c r="EA85" s="399">
        <v>0</v>
      </c>
      <c r="EB85" s="399"/>
      <c r="EC85" s="399">
        <v>-1501.1062523409673</v>
      </c>
      <c r="ED85" s="399"/>
      <c r="EE85" s="399">
        <v>0</v>
      </c>
      <c r="EF85" s="399">
        <v>0</v>
      </c>
      <c r="EG85" s="399"/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/>
      <c r="EN85" s="399"/>
      <c r="EO85" s="399">
        <v>0</v>
      </c>
      <c r="EP85" s="399">
        <v>0</v>
      </c>
      <c r="EQ85" s="399"/>
      <c r="ER85" s="399">
        <v>0</v>
      </c>
      <c r="ES85" s="399"/>
      <c r="ET85" s="399">
        <v>0</v>
      </c>
      <c r="EU85" s="399"/>
      <c r="EV85" s="399">
        <v>215</v>
      </c>
      <c r="EW85" s="399"/>
      <c r="EX85" s="399"/>
      <c r="EY85" s="399"/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21" customFormat="1">
      <c r="A86" s="399">
        <v>84</v>
      </c>
      <c r="B86" s="399" t="s">
        <v>956</v>
      </c>
      <c r="C86" s="399" t="s">
        <v>2343</v>
      </c>
      <c r="D86" s="399" t="s">
        <v>1826</v>
      </c>
      <c r="E86" s="399" t="s">
        <v>2354</v>
      </c>
      <c r="F86" s="399" t="s">
        <v>1239</v>
      </c>
      <c r="G86" s="399" t="s">
        <v>1239</v>
      </c>
      <c r="H86" s="399" t="s">
        <v>1239</v>
      </c>
      <c r="I86" s="399" t="s">
        <v>1239</v>
      </c>
      <c r="J86" s="399" t="s">
        <v>2344</v>
      </c>
      <c r="K86" s="791">
        <v>44470</v>
      </c>
      <c r="L86" s="399">
        <v>0</v>
      </c>
      <c r="M86" s="399">
        <v>0</v>
      </c>
      <c r="N86" s="399">
        <v>35.4</v>
      </c>
      <c r="O86" s="399">
        <v>35.4</v>
      </c>
      <c r="P86" s="399">
        <v>35.4</v>
      </c>
      <c r="Q86" s="399">
        <v>35.4</v>
      </c>
      <c r="R86" s="399"/>
      <c r="S86" s="399">
        <v>239.69</v>
      </c>
      <c r="T86" s="399">
        <v>171.61</v>
      </c>
      <c r="U86" s="399"/>
      <c r="V86" s="399">
        <v>14560.02</v>
      </c>
      <c r="W86" s="399">
        <v>14560.02</v>
      </c>
      <c r="X86" s="399">
        <v>14506.565999999999</v>
      </c>
      <c r="Y86" s="399">
        <v>0</v>
      </c>
      <c r="Z86" s="399">
        <v>2140.1883957096879</v>
      </c>
      <c r="AA86" s="399">
        <v>0</v>
      </c>
      <c r="AB86" s="399">
        <v>0</v>
      </c>
      <c r="AC86" s="399">
        <v>0</v>
      </c>
      <c r="AD86" s="399">
        <v>1888.0941531997987</v>
      </c>
      <c r="AE86" s="399">
        <v>3136.9613091761516</v>
      </c>
      <c r="AF86" s="399">
        <v>5854.247660641242</v>
      </c>
      <c r="AG86" s="399">
        <v>220.73163591090591</v>
      </c>
      <c r="AH86" s="399">
        <v>0</v>
      </c>
      <c r="AI86" s="399">
        <v>0</v>
      </c>
      <c r="AJ86" s="399">
        <v>0</v>
      </c>
      <c r="AK86" s="399">
        <v>0</v>
      </c>
      <c r="AL86" s="399">
        <v>330.92312152033276</v>
      </c>
      <c r="AM86" s="399"/>
      <c r="AN86" s="399">
        <v>14.020228283191784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566.75091746187718</v>
      </c>
      <c r="BH86" s="399">
        <v>0</v>
      </c>
      <c r="BI86" s="399">
        <v>0</v>
      </c>
      <c r="BJ86" s="399">
        <v>0</v>
      </c>
      <c r="BK86" s="399">
        <v>5887.58</v>
      </c>
      <c r="BL86" s="399">
        <v>45</v>
      </c>
      <c r="BM86" s="399"/>
      <c r="BN86" s="399"/>
      <c r="BO86" s="399"/>
      <c r="BP86" s="399"/>
      <c r="BQ86" s="399"/>
      <c r="BR86" s="399"/>
      <c r="BS86" s="399"/>
      <c r="BT86" s="399"/>
      <c r="BU86" s="399"/>
      <c r="BV86" s="399">
        <v>6420.9985781031191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14506.565999999999</v>
      </c>
      <c r="CJ86" s="399">
        <v>-53.484000000002197</v>
      </c>
      <c r="CK86" s="399"/>
      <c r="CL86" s="399"/>
      <c r="CM86" s="399"/>
      <c r="CN86" s="399"/>
      <c r="CO86" s="399">
        <v>-850.30800000000033</v>
      </c>
      <c r="CP86" s="399">
        <v>796.8539999999997</v>
      </c>
      <c r="CQ86" s="399">
        <v>31</v>
      </c>
      <c r="CR86" s="399">
        <v>624.93896644334018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85.025836131096867</v>
      </c>
      <c r="DA86" s="399">
        <v>0</v>
      </c>
      <c r="DB86" s="399">
        <v>0</v>
      </c>
      <c r="DC86" s="399">
        <v>797.04327142578768</v>
      </c>
      <c r="DD86" s="399">
        <v>0</v>
      </c>
      <c r="DE86" s="399">
        <v>0</v>
      </c>
      <c r="DF86" s="399">
        <v>0</v>
      </c>
      <c r="DG86" s="399">
        <v>77.161922679557392</v>
      </c>
      <c r="DH86" s="399">
        <v>0</v>
      </c>
      <c r="DI86" s="399">
        <v>-293.96076920985365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-38.136775578903723</v>
      </c>
      <c r="DP86" s="399">
        <v>-2.1945190043414691</v>
      </c>
      <c r="DQ86" s="399">
        <v>0</v>
      </c>
      <c r="DR86" s="399">
        <v>0</v>
      </c>
      <c r="DS86" s="399"/>
      <c r="DT86" s="399"/>
      <c r="DU86" s="399"/>
      <c r="DV86" s="399">
        <v>3136.9613091761516</v>
      </c>
      <c r="DW86" s="399">
        <v>0</v>
      </c>
      <c r="DX86" s="399">
        <v>0</v>
      </c>
      <c r="DY86" s="399">
        <v>-850.3080000000009</v>
      </c>
      <c r="DZ86" s="399">
        <v>796.85399999999936</v>
      </c>
      <c r="EA86" s="399">
        <v>0</v>
      </c>
      <c r="EB86" s="399">
        <v>0</v>
      </c>
      <c r="EC86" s="399">
        <v>-678.19410931305265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408.12647951358656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215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21" customFormat="1">
      <c r="A87" s="399">
        <v>85</v>
      </c>
      <c r="B87" s="399" t="s">
        <v>956</v>
      </c>
      <c r="C87" s="399" t="s">
        <v>2352</v>
      </c>
      <c r="D87" s="399" t="s">
        <v>533</v>
      </c>
      <c r="E87" s="399" t="s">
        <v>2354</v>
      </c>
      <c r="F87" s="399" t="s">
        <v>1239</v>
      </c>
      <c r="G87" s="399" t="s">
        <v>1239</v>
      </c>
      <c r="H87" s="399" t="s">
        <v>1239</v>
      </c>
      <c r="I87" s="399" t="s">
        <v>893</v>
      </c>
      <c r="J87" s="399" t="s">
        <v>2344</v>
      </c>
      <c r="K87" s="791">
        <v>44470</v>
      </c>
      <c r="L87" s="399">
        <v>0</v>
      </c>
      <c r="M87" s="399">
        <v>0</v>
      </c>
      <c r="N87" s="399">
        <v>1.0680000000000001</v>
      </c>
      <c r="O87" s="399">
        <v>1.0680000000000001</v>
      </c>
      <c r="P87" s="399">
        <v>1.0680000000000001</v>
      </c>
      <c r="Q87" s="399">
        <v>1.0680000000000001</v>
      </c>
      <c r="R87" s="399"/>
      <c r="S87" s="399">
        <v>984.21</v>
      </c>
      <c r="T87" s="399">
        <v>171.61</v>
      </c>
      <c r="U87" s="399"/>
      <c r="V87" s="399">
        <v>1234.4157600000003</v>
      </c>
      <c r="W87" s="399">
        <v>1234.4157600000003</v>
      </c>
      <c r="X87" s="399">
        <v>1151.1438000000001</v>
      </c>
      <c r="Y87" s="399">
        <v>0</v>
      </c>
      <c r="Z87" s="399">
        <v>56.174504230441059</v>
      </c>
      <c r="AA87" s="399">
        <v>0</v>
      </c>
      <c r="AB87" s="399">
        <v>0</v>
      </c>
      <c r="AC87" s="399">
        <v>0</v>
      </c>
      <c r="AD87" s="399">
        <v>420.48085464703661</v>
      </c>
      <c r="AE87" s="399">
        <v>546.90370502302517</v>
      </c>
      <c r="AF87" s="399">
        <v>176.61967518544765</v>
      </c>
      <c r="AG87" s="399">
        <v>6.6593612190069926</v>
      </c>
      <c r="AH87" s="399">
        <v>0</v>
      </c>
      <c r="AI87" s="399">
        <v>0</v>
      </c>
      <c r="AJ87" s="399">
        <v>0</v>
      </c>
      <c r="AK87" s="399">
        <v>0</v>
      </c>
      <c r="AL87" s="399">
        <v>9.9837823102744476</v>
      </c>
      <c r="AM87" s="399"/>
      <c r="AN87" s="399">
        <v>0.28201658715864486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6.601616401144252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/>
      <c r="BR87" s="399"/>
      <c r="BS87" s="399"/>
      <c r="BT87" s="399"/>
      <c r="BU87" s="399"/>
      <c r="BV87" s="399">
        <v>183.22129158659189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1153.2995000000001</v>
      </c>
      <c r="CJ87" s="399">
        <v>-81.146260000000211</v>
      </c>
      <c r="CK87" s="399"/>
      <c r="CL87" s="399"/>
      <c r="CM87" s="399"/>
      <c r="CN87" s="399"/>
      <c r="CO87" s="399">
        <v>-107.31264000000003</v>
      </c>
      <c r="CP87" s="399">
        <v>24.040679999999991</v>
      </c>
      <c r="CQ87" s="399">
        <v>31</v>
      </c>
      <c r="CR87" s="399">
        <v>34.970110166515383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18.935356683825489</v>
      </c>
      <c r="DA87" s="399">
        <v>0</v>
      </c>
      <c r="DB87" s="399">
        <v>0</v>
      </c>
      <c r="DC87" s="399">
        <v>24.046390222676337</v>
      </c>
      <c r="DD87" s="399">
        <v>0</v>
      </c>
      <c r="DE87" s="399">
        <v>0</v>
      </c>
      <c r="DF87" s="399">
        <v>0</v>
      </c>
      <c r="DG87" s="399">
        <v>0.89879592358921023</v>
      </c>
      <c r="DH87" s="399">
        <v>0</v>
      </c>
      <c r="DI87" s="399">
        <v>-7.715722833870764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-1.1505671276347229</v>
      </c>
      <c r="DP87" s="399">
        <v>-4.4142702070060685E-2</v>
      </c>
      <c r="DQ87" s="399">
        <v>0</v>
      </c>
      <c r="DR87" s="399">
        <v>0</v>
      </c>
      <c r="DS87" s="399"/>
      <c r="DT87" s="399"/>
      <c r="DU87" s="399"/>
      <c r="DV87" s="399">
        <v>546.90370502302517</v>
      </c>
      <c r="DW87" s="399">
        <v>0</v>
      </c>
      <c r="DX87" s="399">
        <v>0</v>
      </c>
      <c r="DY87" s="399">
        <v>-107.3126400000001</v>
      </c>
      <c r="DZ87" s="399">
        <v>24.040679999999981</v>
      </c>
      <c r="EA87" s="399">
        <v>0</v>
      </c>
      <c r="EB87" s="399">
        <v>0</v>
      </c>
      <c r="EC87" s="399">
        <v>-118.23763016239064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10.712282477537938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215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21" customFormat="1">
      <c r="A88" s="399">
        <v>86</v>
      </c>
      <c r="B88" s="399" t="s">
        <v>956</v>
      </c>
      <c r="C88" s="399" t="s">
        <v>2352</v>
      </c>
      <c r="D88" s="399" t="s">
        <v>533</v>
      </c>
      <c r="E88" s="399" t="s">
        <v>2354</v>
      </c>
      <c r="F88" s="399" t="s">
        <v>1239</v>
      </c>
      <c r="G88" s="399" t="s">
        <v>1239</v>
      </c>
      <c r="H88" s="399" t="s">
        <v>1239</v>
      </c>
      <c r="I88" s="399" t="s">
        <v>2326</v>
      </c>
      <c r="J88" s="399" t="s">
        <v>2344</v>
      </c>
      <c r="K88" s="791">
        <v>44470</v>
      </c>
      <c r="L88" s="399">
        <v>0</v>
      </c>
      <c r="M88" s="399">
        <v>0</v>
      </c>
      <c r="N88" s="399">
        <v>8.7569999999999997</v>
      </c>
      <c r="O88" s="399">
        <v>8.7569999999999997</v>
      </c>
      <c r="P88" s="399">
        <v>8.7569999999999997</v>
      </c>
      <c r="Q88" s="399">
        <v>8.7569999999999997</v>
      </c>
      <c r="R88" s="399"/>
      <c r="S88" s="399">
        <v>78.42</v>
      </c>
      <c r="T88" s="399">
        <v>171.61</v>
      </c>
      <c r="U88" s="399"/>
      <c r="V88" s="399">
        <v>2189.51271</v>
      </c>
      <c r="W88" s="399">
        <v>2189.51271</v>
      </c>
      <c r="X88" s="399">
        <v>2320.9552800000001</v>
      </c>
      <c r="Y88" s="399">
        <v>0</v>
      </c>
      <c r="Z88" s="399">
        <v>460.59937597937483</v>
      </c>
      <c r="AA88" s="399">
        <v>0</v>
      </c>
      <c r="AB88" s="399">
        <v>0</v>
      </c>
      <c r="AC88" s="399">
        <v>0</v>
      </c>
      <c r="AD88" s="399">
        <v>0</v>
      </c>
      <c r="AE88" s="399">
        <v>0</v>
      </c>
      <c r="AF88" s="399">
        <v>1448.1821119840497</v>
      </c>
      <c r="AG88" s="399">
        <v>54.603020781689352</v>
      </c>
      <c r="AH88" s="399">
        <v>0</v>
      </c>
      <c r="AI88" s="399">
        <v>0</v>
      </c>
      <c r="AJ88" s="399">
        <v>0</v>
      </c>
      <c r="AK88" s="399">
        <v>0</v>
      </c>
      <c r="AL88" s="399">
        <v>81.861406077784011</v>
      </c>
      <c r="AM88" s="399"/>
      <c r="AN88" s="399">
        <v>2.3123775784159672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54.129545716123793</v>
      </c>
      <c r="BH88" s="399">
        <v>0</v>
      </c>
      <c r="BI88" s="399">
        <v>0</v>
      </c>
      <c r="BJ88" s="399">
        <v>0</v>
      </c>
      <c r="BK88" s="399">
        <v>0</v>
      </c>
      <c r="BL88" s="399">
        <v>0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>
        <v>1502.3116577001736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2321.7503999999999</v>
      </c>
      <c r="CJ88" s="399">
        <v>132.20768999999973</v>
      </c>
      <c r="CK88" s="399"/>
      <c r="CL88" s="399"/>
      <c r="CM88" s="399"/>
      <c r="CN88" s="399"/>
      <c r="CO88" s="399">
        <v>-65.677499999999995</v>
      </c>
      <c r="CP88" s="399">
        <v>197.12006999999991</v>
      </c>
      <c r="CQ88" s="399">
        <v>31</v>
      </c>
      <c r="CR88" s="399">
        <v>131.4759702695842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0</v>
      </c>
      <c r="DA88" s="399">
        <v>0</v>
      </c>
      <c r="DB88" s="399">
        <v>0</v>
      </c>
      <c r="DC88" s="399">
        <v>197.16689061795546</v>
      </c>
      <c r="DD88" s="399">
        <v>0</v>
      </c>
      <c r="DE88" s="399">
        <v>0</v>
      </c>
      <c r="DF88" s="399">
        <v>0</v>
      </c>
      <c r="DG88" s="399">
        <v>7.3696216319014169</v>
      </c>
      <c r="DH88" s="399">
        <v>0</v>
      </c>
      <c r="DI88" s="399">
        <v>-63.264592561990924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-9.434004060577962</v>
      </c>
      <c r="DP88" s="399">
        <v>-0.36194535770367198</v>
      </c>
      <c r="DQ88" s="399">
        <v>0</v>
      </c>
      <c r="DR88" s="399">
        <v>0</v>
      </c>
      <c r="DS88" s="399"/>
      <c r="DT88" s="399"/>
      <c r="DU88" s="399"/>
      <c r="DV88" s="399">
        <v>0</v>
      </c>
      <c r="DW88" s="399">
        <v>0</v>
      </c>
      <c r="DX88" s="399">
        <v>0</v>
      </c>
      <c r="DY88" s="399">
        <v>-65.677500000000009</v>
      </c>
      <c r="DZ88" s="399">
        <v>197.12006999999994</v>
      </c>
      <c r="EA88" s="399">
        <v>0</v>
      </c>
      <c r="EB88" s="399">
        <v>0</v>
      </c>
      <c r="EC88" s="399">
        <v>0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87.834698179587747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215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21" customFormat="1">
      <c r="A89" s="399">
        <v>87</v>
      </c>
      <c r="B89" s="399" t="s">
        <v>956</v>
      </c>
      <c r="C89" s="399" t="s">
        <v>2352</v>
      </c>
      <c r="D89" s="399" t="s">
        <v>533</v>
      </c>
      <c r="E89" s="399" t="s">
        <v>2354</v>
      </c>
      <c r="F89" s="399" t="s">
        <v>1239</v>
      </c>
      <c r="G89" s="399" t="s">
        <v>1239</v>
      </c>
      <c r="H89" s="399" t="s">
        <v>1239</v>
      </c>
      <c r="I89" s="399" t="s">
        <v>1239</v>
      </c>
      <c r="J89" s="399" t="s">
        <v>2344</v>
      </c>
      <c r="K89" s="791">
        <v>44470</v>
      </c>
      <c r="L89" s="399">
        <v>155</v>
      </c>
      <c r="M89" s="399">
        <v>155</v>
      </c>
      <c r="N89" s="399">
        <v>0</v>
      </c>
      <c r="O89" s="399">
        <v>0</v>
      </c>
      <c r="P89" s="399">
        <v>0</v>
      </c>
      <c r="Q89" s="399">
        <v>0</v>
      </c>
      <c r="R89" s="399">
        <v>12.58</v>
      </c>
      <c r="S89" s="399"/>
      <c r="T89" s="399"/>
      <c r="U89" s="399">
        <v>1949.9</v>
      </c>
      <c r="V89" s="399"/>
      <c r="W89" s="399">
        <v>1949.9</v>
      </c>
      <c r="X89" s="399">
        <v>1796.45</v>
      </c>
      <c r="Y89" s="399">
        <v>0</v>
      </c>
      <c r="Z89" s="399">
        <v>0</v>
      </c>
      <c r="AA89" s="399">
        <v>0</v>
      </c>
      <c r="AB89" s="399">
        <v>0</v>
      </c>
      <c r="AC89" s="399">
        <v>0</v>
      </c>
      <c r="AD89" s="399">
        <v>1027.2531104861855</v>
      </c>
      <c r="AE89" s="399">
        <v>922.20489893827255</v>
      </c>
      <c r="AF89" s="399"/>
      <c r="AG89" s="399"/>
      <c r="AH89" s="399"/>
      <c r="AI89" s="399">
        <v>0</v>
      </c>
      <c r="AJ89" s="399">
        <v>0</v>
      </c>
      <c r="AK89" s="399">
        <v>0</v>
      </c>
      <c r="AL89" s="399">
        <v>0</v>
      </c>
      <c r="AM89" s="399"/>
      <c r="AN89" s="399">
        <v>0</v>
      </c>
      <c r="AO89" s="399">
        <v>0</v>
      </c>
      <c r="AP89" s="399">
        <v>0</v>
      </c>
      <c r="AQ89" s="399">
        <v>0</v>
      </c>
      <c r="AR89" s="399">
        <v>0</v>
      </c>
      <c r="AS89" s="399"/>
      <c r="AT89" s="399"/>
      <c r="AU89" s="399">
        <v>0</v>
      </c>
      <c r="AV89" s="399">
        <v>0</v>
      </c>
      <c r="AW89" s="399">
        <v>0</v>
      </c>
      <c r="AX89" s="399"/>
      <c r="AY89" s="399"/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/>
      <c r="BG89" s="399">
        <v>0</v>
      </c>
      <c r="BH89" s="399">
        <v>0</v>
      </c>
      <c r="BI89" s="399">
        <v>0</v>
      </c>
      <c r="BJ89" s="399">
        <v>0</v>
      </c>
      <c r="BK89" s="399">
        <v>839.57</v>
      </c>
      <c r="BL89" s="399">
        <v>3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>
        <v>0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1796.45</v>
      </c>
      <c r="CJ89" s="399">
        <v>-153.48000000000002</v>
      </c>
      <c r="CK89" s="399"/>
      <c r="CL89" s="399"/>
      <c r="CM89" s="399"/>
      <c r="CN89" s="399"/>
      <c r="CO89" s="399">
        <v>-153.45000000000005</v>
      </c>
      <c r="CP89" s="399">
        <v>0</v>
      </c>
      <c r="CQ89" s="399">
        <v>31</v>
      </c>
      <c r="CR89" s="399">
        <v>46.259904194573437</v>
      </c>
      <c r="CS89" s="399">
        <v>0</v>
      </c>
      <c r="CT89" s="399">
        <v>0</v>
      </c>
      <c r="CU89" s="399">
        <v>0</v>
      </c>
      <c r="CV89" s="399">
        <v>0</v>
      </c>
      <c r="CW89" s="399"/>
      <c r="CX89" s="399"/>
      <c r="CY89" s="399"/>
      <c r="CZ89" s="399">
        <v>46.259904194573437</v>
      </c>
      <c r="DA89" s="399">
        <v>0</v>
      </c>
      <c r="DB89" s="399">
        <v>0</v>
      </c>
      <c r="DC89" s="399"/>
      <c r="DD89" s="399"/>
      <c r="DE89" s="399">
        <v>0</v>
      </c>
      <c r="DF89" s="399">
        <v>0</v>
      </c>
      <c r="DG89" s="399">
        <v>0</v>
      </c>
      <c r="DH89" s="399">
        <v>0</v>
      </c>
      <c r="DI89" s="399">
        <v>0</v>
      </c>
      <c r="DJ89" s="399"/>
      <c r="DK89" s="399">
        <v>0</v>
      </c>
      <c r="DL89" s="399">
        <v>0</v>
      </c>
      <c r="DM89" s="399"/>
      <c r="DN89" s="399">
        <v>0</v>
      </c>
      <c r="DO89" s="399">
        <v>0</v>
      </c>
      <c r="DP89" s="399">
        <v>0</v>
      </c>
      <c r="DQ89" s="399">
        <v>0</v>
      </c>
      <c r="DR89" s="399">
        <v>0</v>
      </c>
      <c r="DS89" s="399"/>
      <c r="DT89" s="399"/>
      <c r="DU89" s="399">
        <v>922.20489893827255</v>
      </c>
      <c r="DV89" s="399"/>
      <c r="DW89" s="399">
        <v>0</v>
      </c>
      <c r="DX89" s="399">
        <v>0</v>
      </c>
      <c r="DY89" s="399">
        <v>-153.45000000000005</v>
      </c>
      <c r="DZ89" s="399"/>
      <c r="EA89" s="399">
        <v>0</v>
      </c>
      <c r="EB89" s="399"/>
      <c r="EC89" s="399">
        <v>-199.37572331863748</v>
      </c>
      <c r="ED89" s="399"/>
      <c r="EE89" s="399">
        <v>0</v>
      </c>
      <c r="EF89" s="399">
        <v>0</v>
      </c>
      <c r="EG89" s="399"/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/>
      <c r="EN89" s="399"/>
      <c r="EO89" s="399">
        <v>0</v>
      </c>
      <c r="EP89" s="399">
        <v>0</v>
      </c>
      <c r="EQ89" s="399"/>
      <c r="ER89" s="399">
        <v>0</v>
      </c>
      <c r="ES89" s="399"/>
      <c r="ET89" s="399">
        <v>0</v>
      </c>
      <c r="EU89" s="399"/>
      <c r="EV89" s="399">
        <v>215</v>
      </c>
      <c r="EW89" s="399"/>
      <c r="EX89" s="399"/>
      <c r="EY89" s="399"/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21" customFormat="1">
      <c r="A90" s="399">
        <v>88</v>
      </c>
      <c r="B90" s="399" t="s">
        <v>956</v>
      </c>
      <c r="C90" s="399" t="s">
        <v>2343</v>
      </c>
      <c r="D90" s="399" t="s">
        <v>2355</v>
      </c>
      <c r="E90" s="399" t="s">
        <v>2356</v>
      </c>
      <c r="F90" s="399" t="s">
        <v>2357</v>
      </c>
      <c r="G90" s="399" t="s">
        <v>1239</v>
      </c>
      <c r="H90" s="399" t="s">
        <v>1239</v>
      </c>
      <c r="I90" s="399" t="s">
        <v>1239</v>
      </c>
      <c r="J90" s="399" t="s">
        <v>2344</v>
      </c>
      <c r="K90" s="791">
        <v>44470</v>
      </c>
      <c r="L90" s="399">
        <v>0</v>
      </c>
      <c r="M90" s="399">
        <v>0</v>
      </c>
      <c r="N90" s="399">
        <v>100.986</v>
      </c>
      <c r="O90" s="399">
        <v>100.986</v>
      </c>
      <c r="P90" s="399">
        <v>100.986</v>
      </c>
      <c r="Q90" s="399">
        <v>100.986</v>
      </c>
      <c r="R90" s="399"/>
      <c r="S90" s="399">
        <v>131.83000000000001</v>
      </c>
      <c r="T90" s="399">
        <v>94.39</v>
      </c>
      <c r="U90" s="399"/>
      <c r="V90" s="399">
        <v>22845.052920000002</v>
      </c>
      <c r="W90" s="399">
        <v>22845.052920000002</v>
      </c>
      <c r="X90" s="399">
        <v>22761.234540000001</v>
      </c>
      <c r="Y90" s="399">
        <v>0</v>
      </c>
      <c r="Z90" s="399">
        <v>3357.9374556787116</v>
      </c>
      <c r="AA90" s="399">
        <v>0</v>
      </c>
      <c r="AB90" s="399">
        <v>0</v>
      </c>
      <c r="AC90" s="399">
        <v>0</v>
      </c>
      <c r="AD90" s="399">
        <v>2962.4037255725761</v>
      </c>
      <c r="AE90" s="399">
        <v>4921.8657096795041</v>
      </c>
      <c r="AF90" s="399">
        <v>9185.264967277808</v>
      </c>
      <c r="AG90" s="399">
        <v>346.32606613712755</v>
      </c>
      <c r="AH90" s="399">
        <v>0</v>
      </c>
      <c r="AI90" s="399">
        <v>0</v>
      </c>
      <c r="AJ90" s="399">
        <v>0</v>
      </c>
      <c r="AK90" s="399">
        <v>0</v>
      </c>
      <c r="AL90" s="399">
        <v>519.21557323216871</v>
      </c>
      <c r="AM90" s="399"/>
      <c r="AN90" s="399">
        <v>21.997619360834001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889.22738652380713</v>
      </c>
      <c r="BH90" s="399">
        <v>0</v>
      </c>
      <c r="BI90" s="399">
        <v>0</v>
      </c>
      <c r="BJ90" s="399">
        <v>0</v>
      </c>
      <c r="BK90" s="399">
        <v>12366.96</v>
      </c>
      <c r="BL90" s="399">
        <v>7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>
        <v>10074.492353801616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22762.1361</v>
      </c>
      <c r="CJ90" s="399">
        <v>-82.946820000001026</v>
      </c>
      <c r="CK90" s="399"/>
      <c r="CL90" s="399"/>
      <c r="CM90" s="399"/>
      <c r="CN90" s="399"/>
      <c r="CO90" s="399">
        <v>-1334.0250600000008</v>
      </c>
      <c r="CP90" s="399">
        <v>1250.2066799999996</v>
      </c>
      <c r="CQ90" s="399">
        <v>31</v>
      </c>
      <c r="CR90" s="399">
        <v>980.52394225667376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133.40481633175477</v>
      </c>
      <c r="DA90" s="399">
        <v>0</v>
      </c>
      <c r="DB90" s="399">
        <v>0</v>
      </c>
      <c r="DC90" s="399">
        <v>1250.5541382630781</v>
      </c>
      <c r="DD90" s="399">
        <v>0</v>
      </c>
      <c r="DE90" s="399">
        <v>0</v>
      </c>
      <c r="DF90" s="399">
        <v>0</v>
      </c>
      <c r="DG90" s="399">
        <v>121.06640276962855</v>
      </c>
      <c r="DH90" s="399">
        <v>0</v>
      </c>
      <c r="DI90" s="399">
        <v>-461.22195569730184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-59.836277690286522</v>
      </c>
      <c r="DP90" s="399">
        <v>-3.4431817201930706</v>
      </c>
      <c r="DQ90" s="399">
        <v>0</v>
      </c>
      <c r="DR90" s="399">
        <v>0</v>
      </c>
      <c r="DS90" s="399"/>
      <c r="DT90" s="399"/>
      <c r="DU90" s="399"/>
      <c r="DV90" s="399">
        <v>4921.8657096795041</v>
      </c>
      <c r="DW90" s="399">
        <v>0</v>
      </c>
      <c r="DX90" s="399">
        <v>0</v>
      </c>
      <c r="DY90" s="399">
        <v>-1334.0250599999999</v>
      </c>
      <c r="DZ90" s="399">
        <v>1250.2066799999993</v>
      </c>
      <c r="EA90" s="399">
        <v>0</v>
      </c>
      <c r="EB90" s="399">
        <v>0</v>
      </c>
      <c r="EC90" s="399">
        <v>-1064.0808101044672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640.34698765783651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215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21" customFormat="1">
      <c r="A91" s="399">
        <v>89</v>
      </c>
      <c r="B91" s="399" t="s">
        <v>956</v>
      </c>
      <c r="C91" s="399" t="s">
        <v>2343</v>
      </c>
      <c r="D91" s="399" t="s">
        <v>1826</v>
      </c>
      <c r="E91" s="399" t="s">
        <v>921</v>
      </c>
      <c r="F91" s="399" t="s">
        <v>2358</v>
      </c>
      <c r="G91" s="399" t="s">
        <v>1239</v>
      </c>
      <c r="H91" s="399" t="s">
        <v>1239</v>
      </c>
      <c r="I91" s="399" t="s">
        <v>1239</v>
      </c>
      <c r="J91" s="399" t="s">
        <v>2344</v>
      </c>
      <c r="K91" s="791">
        <v>44470</v>
      </c>
      <c r="L91" s="399">
        <v>0</v>
      </c>
      <c r="M91" s="399">
        <v>0</v>
      </c>
      <c r="N91" s="399">
        <v>33.595999999999997</v>
      </c>
      <c r="O91" s="399">
        <v>31.58024</v>
      </c>
      <c r="P91" s="399">
        <v>33.595999999999997</v>
      </c>
      <c r="Q91" s="399">
        <v>31.58024</v>
      </c>
      <c r="R91" s="399"/>
      <c r="S91" s="399">
        <v>239.69</v>
      </c>
      <c r="T91" s="399">
        <v>171.61</v>
      </c>
      <c r="U91" s="399"/>
      <c r="V91" s="399">
        <v>13818.034799999999</v>
      </c>
      <c r="W91" s="399">
        <v>13818.034799999999</v>
      </c>
      <c r="X91" s="399">
        <v>13767.304839999997</v>
      </c>
      <c r="Y91" s="399">
        <v>0</v>
      </c>
      <c r="Z91" s="399">
        <v>2031.1234277475332</v>
      </c>
      <c r="AA91" s="399">
        <v>0</v>
      </c>
      <c r="AB91" s="399">
        <v>0</v>
      </c>
      <c r="AC91" s="399">
        <v>0</v>
      </c>
      <c r="AD91" s="399">
        <v>1791.8760217768483</v>
      </c>
      <c r="AE91" s="399">
        <v>2977.1003430249148</v>
      </c>
      <c r="AF91" s="399">
        <v>5555.9125538673206</v>
      </c>
      <c r="AG91" s="399">
        <v>209.48305197917497</v>
      </c>
      <c r="AH91" s="399">
        <v>0</v>
      </c>
      <c r="AI91" s="399">
        <v>0</v>
      </c>
      <c r="AJ91" s="399">
        <v>0</v>
      </c>
      <c r="AK91" s="399">
        <v>0</v>
      </c>
      <c r="AL91" s="399">
        <v>314.05912967788419</v>
      </c>
      <c r="AM91" s="399"/>
      <c r="AN91" s="399">
        <v>13.305751113053987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537.86903454941319</v>
      </c>
      <c r="BH91" s="399">
        <v>0</v>
      </c>
      <c r="BI91" s="399">
        <v>0</v>
      </c>
      <c r="BJ91" s="399">
        <v>0</v>
      </c>
      <c r="BK91" s="399">
        <v>6145.7</v>
      </c>
      <c r="BL91" s="399">
        <v>40</v>
      </c>
      <c r="BM91" s="399"/>
      <c r="BN91" s="399"/>
      <c r="BO91" s="399"/>
      <c r="BP91" s="399"/>
      <c r="BQ91" s="399">
        <v>826.03829039999869</v>
      </c>
      <c r="BR91" s="399"/>
      <c r="BS91" s="399"/>
      <c r="BT91" s="399"/>
      <c r="BU91" s="399"/>
      <c r="BV91" s="399">
        <v>6093.7815884167339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12941.1682</v>
      </c>
      <c r="CJ91" s="399">
        <v>-47.814512000000832</v>
      </c>
      <c r="CK91" s="399"/>
      <c r="CL91" s="399"/>
      <c r="CM91" s="399"/>
      <c r="CN91" s="399"/>
      <c r="CO91" s="399">
        <v>-806.97592000000031</v>
      </c>
      <c r="CP91" s="399">
        <v>756.24595999999963</v>
      </c>
      <c r="CQ91" s="399">
        <v>31</v>
      </c>
      <c r="CR91" s="399">
        <v>593.09179425510229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80.692881092099697</v>
      </c>
      <c r="DA91" s="399">
        <v>0</v>
      </c>
      <c r="DB91" s="399">
        <v>0</v>
      </c>
      <c r="DC91" s="399">
        <v>756.42558606838338</v>
      </c>
      <c r="DD91" s="399">
        <v>0</v>
      </c>
      <c r="DE91" s="399">
        <v>0</v>
      </c>
      <c r="DF91" s="399">
        <v>0</v>
      </c>
      <c r="DG91" s="399">
        <v>73.229716224361823</v>
      </c>
      <c r="DH91" s="399">
        <v>0</v>
      </c>
      <c r="DI91" s="399">
        <v>-278.98039554729507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-36.19330825844213</v>
      </c>
      <c r="DP91" s="399">
        <v>-2.0826853240072314</v>
      </c>
      <c r="DQ91" s="399">
        <v>0</v>
      </c>
      <c r="DR91" s="399">
        <v>0</v>
      </c>
      <c r="DS91" s="399"/>
      <c r="DT91" s="399"/>
      <c r="DU91" s="399"/>
      <c r="DV91" s="399">
        <v>2977.1003430249148</v>
      </c>
      <c r="DW91" s="399">
        <v>0</v>
      </c>
      <c r="DX91" s="399">
        <v>0</v>
      </c>
      <c r="DY91" s="399">
        <v>-806.97592000000077</v>
      </c>
      <c r="DZ91" s="399">
        <v>756.24595999999929</v>
      </c>
      <c r="EA91" s="399">
        <v>0</v>
      </c>
      <c r="EB91" s="399">
        <v>0</v>
      </c>
      <c r="EC91" s="399">
        <v>-643.63303097404832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387.32816965362866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215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21" customFormat="1">
      <c r="A92" s="399">
        <v>90</v>
      </c>
      <c r="B92" s="399" t="s">
        <v>956</v>
      </c>
      <c r="C92" s="399" t="s">
        <v>2343</v>
      </c>
      <c r="D92" s="399" t="s">
        <v>1826</v>
      </c>
      <c r="E92" s="399" t="s">
        <v>2359</v>
      </c>
      <c r="F92" s="399" t="s">
        <v>1239</v>
      </c>
      <c r="G92" s="399" t="s">
        <v>1239</v>
      </c>
      <c r="H92" s="399" t="s">
        <v>1239</v>
      </c>
      <c r="I92" s="399" t="s">
        <v>1239</v>
      </c>
      <c r="J92" s="399" t="s">
        <v>2344</v>
      </c>
      <c r="K92" s="791">
        <v>44470</v>
      </c>
      <c r="L92" s="399">
        <v>0</v>
      </c>
      <c r="M92" s="399">
        <v>0</v>
      </c>
      <c r="N92" s="399">
        <v>7.9820000000000002</v>
      </c>
      <c r="O92" s="399">
        <v>7.9820000000000002</v>
      </c>
      <c r="P92" s="399">
        <v>7.9820000000000002</v>
      </c>
      <c r="Q92" s="399">
        <v>7.9820000000000002</v>
      </c>
      <c r="R92" s="399"/>
      <c r="S92" s="399">
        <v>239.69</v>
      </c>
      <c r="T92" s="399">
        <v>171.61</v>
      </c>
      <c r="U92" s="399"/>
      <c r="V92" s="399">
        <v>3282.9966000000004</v>
      </c>
      <c r="W92" s="399">
        <v>3282.9966000000004</v>
      </c>
      <c r="X92" s="399">
        <v>3270.9437800000001</v>
      </c>
      <c r="Y92" s="399">
        <v>0</v>
      </c>
      <c r="Z92" s="399">
        <v>482.57016312301499</v>
      </c>
      <c r="AA92" s="399">
        <v>0</v>
      </c>
      <c r="AB92" s="399">
        <v>0</v>
      </c>
      <c r="AC92" s="399">
        <v>0</v>
      </c>
      <c r="AD92" s="399">
        <v>425.72789635143488</v>
      </c>
      <c r="AE92" s="399">
        <v>707.32274491084877</v>
      </c>
      <c r="AF92" s="399">
        <v>1320.0170855152089</v>
      </c>
      <c r="AG92" s="399">
        <v>49.770619148046642</v>
      </c>
      <c r="AH92" s="399">
        <v>0</v>
      </c>
      <c r="AI92" s="399">
        <v>0</v>
      </c>
      <c r="AJ92" s="399">
        <v>0</v>
      </c>
      <c r="AK92" s="399">
        <v>0</v>
      </c>
      <c r="AL92" s="399">
        <v>74.616620225290859</v>
      </c>
      <c r="AM92" s="399"/>
      <c r="AN92" s="399">
        <v>3.1612842417072549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127.79112494860746</v>
      </c>
      <c r="BH92" s="399">
        <v>0</v>
      </c>
      <c r="BI92" s="399">
        <v>0</v>
      </c>
      <c r="BJ92" s="399">
        <v>0</v>
      </c>
      <c r="BK92" s="399">
        <v>1460.25</v>
      </c>
      <c r="BL92" s="399">
        <v>4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1447.8082104638163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3270.1242000000002</v>
      </c>
      <c r="CJ92" s="399">
        <v>-12.902399999999943</v>
      </c>
      <c r="CK92" s="399"/>
      <c r="CL92" s="399"/>
      <c r="CM92" s="399"/>
      <c r="CN92" s="399"/>
      <c r="CO92" s="399">
        <v>-191.72764000000009</v>
      </c>
      <c r="CP92" s="399">
        <v>179.67481999999993</v>
      </c>
      <c r="CQ92" s="399">
        <v>31</v>
      </c>
      <c r="CR92" s="399">
        <v>140.91137938279053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19.171644745717913</v>
      </c>
      <c r="DA92" s="399">
        <v>0</v>
      </c>
      <c r="DB92" s="399">
        <v>0</v>
      </c>
      <c r="DC92" s="399">
        <v>179.71749696385996</v>
      </c>
      <c r="DD92" s="399">
        <v>0</v>
      </c>
      <c r="DE92" s="399">
        <v>0</v>
      </c>
      <c r="DF92" s="399">
        <v>0</v>
      </c>
      <c r="DG92" s="399">
        <v>17.398487763509252</v>
      </c>
      <c r="DH92" s="399">
        <v>0</v>
      </c>
      <c r="DI92" s="399">
        <v>-66.282340673250076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-8.5990887760115697</v>
      </c>
      <c r="DP92" s="399">
        <v>-0.49482064103541257</v>
      </c>
      <c r="DQ92" s="399">
        <v>0</v>
      </c>
      <c r="DR92" s="399">
        <v>0</v>
      </c>
      <c r="DS92" s="399"/>
      <c r="DT92" s="399"/>
      <c r="DU92" s="399"/>
      <c r="DV92" s="399">
        <v>707.32274491084877</v>
      </c>
      <c r="DW92" s="399">
        <v>0</v>
      </c>
      <c r="DX92" s="399">
        <v>0</v>
      </c>
      <c r="DY92" s="399">
        <v>-191.72764000000006</v>
      </c>
      <c r="DZ92" s="399">
        <v>179.67481999999995</v>
      </c>
      <c r="EA92" s="399">
        <v>0</v>
      </c>
      <c r="EB92" s="399">
        <v>0</v>
      </c>
      <c r="EC92" s="399">
        <v>-152.91936103211265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92.024450832696274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215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21" customFormat="1">
      <c r="A93" s="399">
        <v>91</v>
      </c>
      <c r="B93" s="399" t="s">
        <v>956</v>
      </c>
      <c r="C93" s="399" t="s">
        <v>2343</v>
      </c>
      <c r="D93" s="399" t="s">
        <v>2353</v>
      </c>
      <c r="E93" s="399" t="s">
        <v>894</v>
      </c>
      <c r="F93" s="399" t="s">
        <v>2360</v>
      </c>
      <c r="G93" s="399" t="s">
        <v>2361</v>
      </c>
      <c r="H93" s="399" t="s">
        <v>1239</v>
      </c>
      <c r="I93" s="399" t="s">
        <v>1239</v>
      </c>
      <c r="J93" s="399" t="s">
        <v>2344</v>
      </c>
      <c r="K93" s="791">
        <v>44470</v>
      </c>
      <c r="L93" s="399">
        <v>0</v>
      </c>
      <c r="M93" s="399">
        <v>0</v>
      </c>
      <c r="N93" s="399">
        <v>0</v>
      </c>
      <c r="O93" s="399">
        <v>0</v>
      </c>
      <c r="P93" s="399">
        <v>0</v>
      </c>
      <c r="Q93" s="399">
        <v>0</v>
      </c>
      <c r="R93" s="399"/>
      <c r="S93" s="399"/>
      <c r="T93" s="399"/>
      <c r="U93" s="399"/>
      <c r="V93" s="399"/>
      <c r="W93" s="399"/>
      <c r="X93" s="399"/>
      <c r="Y93" s="399"/>
      <c r="Z93" s="399"/>
      <c r="AA93" s="399">
        <v>0</v>
      </c>
      <c r="AB93" s="399"/>
      <c r="AC93" s="399"/>
      <c r="AD93" s="399"/>
      <c r="AE93" s="399"/>
      <c r="AF93" s="399"/>
      <c r="AG93" s="399"/>
      <c r="AH93" s="399"/>
      <c r="AI93" s="399"/>
      <c r="AJ93" s="399"/>
      <c r="AK93" s="399"/>
      <c r="AL93" s="399"/>
      <c r="AM93" s="399"/>
      <c r="AN93" s="399"/>
      <c r="AO93" s="399"/>
      <c r="AP93" s="399"/>
      <c r="AQ93" s="399"/>
      <c r="AR93" s="399"/>
      <c r="AS93" s="399"/>
      <c r="AT93" s="399"/>
      <c r="AU93" s="399"/>
      <c r="AV93" s="399"/>
      <c r="AW93" s="399"/>
      <c r="AX93" s="399"/>
      <c r="AY93" s="399"/>
      <c r="AZ93" s="399">
        <v>0</v>
      </c>
      <c r="BA93" s="399"/>
      <c r="BB93" s="399"/>
      <c r="BC93" s="399"/>
      <c r="BD93" s="399"/>
      <c r="BE93" s="399"/>
      <c r="BF93" s="399"/>
      <c r="BG93" s="399"/>
      <c r="BH93" s="399"/>
      <c r="BI93" s="399">
        <v>0</v>
      </c>
      <c r="BJ93" s="399">
        <v>0</v>
      </c>
      <c r="BK93" s="399">
        <v>7.42</v>
      </c>
      <c r="BL93" s="399">
        <v>1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/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/>
      <c r="CJ93" s="399">
        <v>-0.03</v>
      </c>
      <c r="CK93" s="399"/>
      <c r="CL93" s="399"/>
      <c r="CM93" s="399"/>
      <c r="CN93" s="399"/>
      <c r="CO93" s="399">
        <v>0</v>
      </c>
      <c r="CP93" s="399">
        <v>0</v>
      </c>
      <c r="CQ93" s="399">
        <v>31</v>
      </c>
      <c r="CR93" s="399"/>
      <c r="CS93" s="399"/>
      <c r="CT93" s="399"/>
      <c r="CU93" s="399"/>
      <c r="CV93" s="399"/>
      <c r="CW93" s="399"/>
      <c r="CX93" s="399"/>
      <c r="CY93" s="399"/>
      <c r="CZ93" s="399"/>
      <c r="DA93" s="399"/>
      <c r="DB93" s="399"/>
      <c r="DC93" s="399"/>
      <c r="DD93" s="399"/>
      <c r="DE93" s="399"/>
      <c r="DF93" s="399"/>
      <c r="DG93" s="399"/>
      <c r="DH93" s="399"/>
      <c r="DI93" s="399"/>
      <c r="DJ93" s="399"/>
      <c r="DK93" s="399">
        <v>0</v>
      </c>
      <c r="DL93" s="399"/>
      <c r="DM93" s="399"/>
      <c r="DN93" s="399"/>
      <c r="DO93" s="399"/>
      <c r="DP93" s="399"/>
      <c r="DQ93" s="399"/>
      <c r="DR93" s="399"/>
      <c r="DS93" s="399"/>
      <c r="DT93" s="399"/>
      <c r="DU93" s="399"/>
      <c r="DV93" s="399"/>
      <c r="DW93" s="399"/>
      <c r="DX93" s="399"/>
      <c r="DY93" s="399"/>
      <c r="DZ93" s="399"/>
      <c r="EA93" s="399"/>
      <c r="EB93" s="399"/>
      <c r="EC93" s="399"/>
      <c r="ED93" s="399"/>
      <c r="EE93" s="399"/>
      <c r="EF93" s="399"/>
      <c r="EG93" s="399"/>
      <c r="EH93" s="399"/>
      <c r="EI93" s="399"/>
      <c r="EJ93" s="399"/>
      <c r="EK93" s="399"/>
      <c r="EL93" s="399"/>
      <c r="EM93" s="399"/>
      <c r="EN93" s="399"/>
      <c r="EO93" s="399"/>
      <c r="EP93" s="399"/>
      <c r="EQ93" s="399"/>
      <c r="ER93" s="399"/>
      <c r="ES93" s="399"/>
      <c r="ET93" s="399"/>
      <c r="EU93" s="399"/>
      <c r="EV93" s="399">
        <v>215</v>
      </c>
      <c r="EW93" s="399"/>
      <c r="EX93" s="399"/>
      <c r="EY93" s="399"/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21" customFormat="1">
      <c r="A94" s="399">
        <v>92</v>
      </c>
      <c r="B94" s="399" t="s">
        <v>956</v>
      </c>
      <c r="C94" s="399" t="s">
        <v>2343</v>
      </c>
      <c r="D94" s="399" t="s">
        <v>2353</v>
      </c>
      <c r="E94" s="399" t="s">
        <v>894</v>
      </c>
      <c r="F94" s="399" t="s">
        <v>2360</v>
      </c>
      <c r="G94" s="399" t="s">
        <v>2361</v>
      </c>
      <c r="H94" s="399" t="s">
        <v>1239</v>
      </c>
      <c r="I94" s="399" t="s">
        <v>1239</v>
      </c>
      <c r="J94" s="399" t="s">
        <v>2344</v>
      </c>
      <c r="K94" s="791">
        <v>44470</v>
      </c>
      <c r="L94" s="399">
        <v>0</v>
      </c>
      <c r="M94" s="399">
        <v>0</v>
      </c>
      <c r="N94" s="399">
        <v>9.7000000000000003E-2</v>
      </c>
      <c r="O94" s="399">
        <v>9.7000000000000003E-2</v>
      </c>
      <c r="P94" s="399">
        <v>9.7000000000000003E-2</v>
      </c>
      <c r="Q94" s="399">
        <v>9.7000000000000003E-2</v>
      </c>
      <c r="R94" s="399"/>
      <c r="S94" s="399">
        <v>239.69</v>
      </c>
      <c r="T94" s="399">
        <v>171.61</v>
      </c>
      <c r="U94" s="399"/>
      <c r="V94" s="399">
        <v>39.896100000000004</v>
      </c>
      <c r="W94" s="399">
        <v>39.896100000000004</v>
      </c>
      <c r="X94" s="399">
        <v>39.749629999999996</v>
      </c>
      <c r="Y94" s="399">
        <v>0</v>
      </c>
      <c r="Z94" s="399">
        <v>5.8643580334418006</v>
      </c>
      <c r="AA94" s="399">
        <v>0</v>
      </c>
      <c r="AB94" s="399">
        <v>0</v>
      </c>
      <c r="AC94" s="399">
        <v>0</v>
      </c>
      <c r="AD94" s="399">
        <v>5.1735913237395614</v>
      </c>
      <c r="AE94" s="399">
        <v>8.5956284460476482</v>
      </c>
      <c r="AF94" s="399">
        <v>16.04130008706781</v>
      </c>
      <c r="AG94" s="399">
        <v>0.60482962382366878</v>
      </c>
      <c r="AH94" s="399">
        <v>0</v>
      </c>
      <c r="AI94" s="399">
        <v>0</v>
      </c>
      <c r="AJ94" s="399">
        <v>0</v>
      </c>
      <c r="AK94" s="399">
        <v>0</v>
      </c>
      <c r="AL94" s="399">
        <v>0.90676674540882152</v>
      </c>
      <c r="AM94" s="399"/>
      <c r="AN94" s="399">
        <v>3.841700970253116E-2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1.5529615534972343</v>
      </c>
      <c r="BH94" s="399">
        <v>0</v>
      </c>
      <c r="BI94" s="399">
        <v>0</v>
      </c>
      <c r="BJ94" s="399">
        <v>0</v>
      </c>
      <c r="BK94" s="399">
        <v>0</v>
      </c>
      <c r="BL94" s="399">
        <v>0</v>
      </c>
      <c r="BM94" s="399"/>
      <c r="BN94" s="399"/>
      <c r="BO94" s="399"/>
      <c r="BP94" s="399"/>
      <c r="BQ94" s="399"/>
      <c r="BR94" s="399">
        <v>4.7694899999999993</v>
      </c>
      <c r="BS94" s="399"/>
      <c r="BT94" s="399"/>
      <c r="BU94" s="399"/>
      <c r="BV94" s="399">
        <v>17.594261640565044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36.061999999999998</v>
      </c>
      <c r="CJ94" s="399">
        <v>0.92284999999999684</v>
      </c>
      <c r="CK94" s="399"/>
      <c r="CL94" s="399"/>
      <c r="CM94" s="399"/>
      <c r="CN94" s="399"/>
      <c r="CO94" s="399">
        <v>-2.329940000000001</v>
      </c>
      <c r="CP94" s="399">
        <v>2.1834699999999994</v>
      </c>
      <c r="CQ94" s="399">
        <v>31</v>
      </c>
      <c r="CR94" s="399">
        <v>1.7124033826272473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0.23298039843831653</v>
      </c>
      <c r="DA94" s="399">
        <v>0</v>
      </c>
      <c r="DB94" s="399">
        <v>0</v>
      </c>
      <c r="DC94" s="399">
        <v>2.1839886250932636</v>
      </c>
      <c r="DD94" s="399">
        <v>0</v>
      </c>
      <c r="DE94" s="399">
        <v>0</v>
      </c>
      <c r="DF94" s="399">
        <v>0</v>
      </c>
      <c r="DG94" s="399">
        <v>0.21143238700330702</v>
      </c>
      <c r="DH94" s="399">
        <v>0</v>
      </c>
      <c r="DI94" s="399">
        <v>-0.80548572354112391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-0.10449907432637462</v>
      </c>
      <c r="DP94" s="399">
        <v>-6.0132300401447014E-3</v>
      </c>
      <c r="DQ94" s="399">
        <v>0</v>
      </c>
      <c r="DR94" s="399">
        <v>0</v>
      </c>
      <c r="DS94" s="399"/>
      <c r="DT94" s="399"/>
      <c r="DU94" s="399"/>
      <c r="DV94" s="399">
        <v>8.5956284460476482</v>
      </c>
      <c r="DW94" s="399">
        <v>0</v>
      </c>
      <c r="DX94" s="399">
        <v>0</v>
      </c>
      <c r="DY94" s="399">
        <v>-2.3299400000000006</v>
      </c>
      <c r="DZ94" s="399">
        <v>2.1834699999999998</v>
      </c>
      <c r="EA94" s="399">
        <v>0</v>
      </c>
      <c r="EB94" s="399">
        <v>0</v>
      </c>
      <c r="EC94" s="399">
        <v>-1.8583284916205116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1.118312669853613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215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21" customFormat="1">
      <c r="A95" s="399">
        <v>93</v>
      </c>
      <c r="B95" s="399" t="s">
        <v>956</v>
      </c>
      <c r="C95" s="399" t="s">
        <v>2343</v>
      </c>
      <c r="D95" s="399" t="s">
        <v>2353</v>
      </c>
      <c r="E95" s="399" t="s">
        <v>894</v>
      </c>
      <c r="F95" s="399" t="s">
        <v>2360</v>
      </c>
      <c r="G95" s="399" t="s">
        <v>2362</v>
      </c>
      <c r="H95" s="399" t="s">
        <v>1239</v>
      </c>
      <c r="I95" s="399" t="s">
        <v>1239</v>
      </c>
      <c r="J95" s="399" t="s">
        <v>2344</v>
      </c>
      <c r="K95" s="791">
        <v>44470</v>
      </c>
      <c r="L95" s="399">
        <v>0</v>
      </c>
      <c r="M95" s="399">
        <v>0</v>
      </c>
      <c r="N95" s="399">
        <v>3.0000000000000001E-3</v>
      </c>
      <c r="O95" s="399">
        <v>1.1999999999999999E-3</v>
      </c>
      <c r="P95" s="399">
        <v>3.0000000000000001E-3</v>
      </c>
      <c r="Q95" s="399">
        <v>1.1999999999999999E-3</v>
      </c>
      <c r="R95" s="399"/>
      <c r="S95" s="399">
        <v>239.69</v>
      </c>
      <c r="T95" s="399">
        <v>171.61</v>
      </c>
      <c r="U95" s="399"/>
      <c r="V95" s="399">
        <v>1.2339</v>
      </c>
      <c r="W95" s="399">
        <v>1.2339</v>
      </c>
      <c r="X95" s="399">
        <v>1.2293699999999999</v>
      </c>
      <c r="Y95" s="399">
        <v>0</v>
      </c>
      <c r="Z95" s="399">
        <v>0.18137189794149899</v>
      </c>
      <c r="AA95" s="399">
        <v>0</v>
      </c>
      <c r="AB95" s="399">
        <v>0</v>
      </c>
      <c r="AC95" s="399">
        <v>0</v>
      </c>
      <c r="AD95" s="399">
        <v>0.16000797908472872</v>
      </c>
      <c r="AE95" s="399">
        <v>0.26584417874374167</v>
      </c>
      <c r="AF95" s="399">
        <v>0.49612268310519003</v>
      </c>
      <c r="AG95" s="399">
        <v>1.8706070839907281E-2</v>
      </c>
      <c r="AH95" s="399">
        <v>0</v>
      </c>
      <c r="AI95" s="399">
        <v>0</v>
      </c>
      <c r="AJ95" s="399">
        <v>0</v>
      </c>
      <c r="AK95" s="399">
        <v>0</v>
      </c>
      <c r="AL95" s="399">
        <v>2.8044332332231591E-2</v>
      </c>
      <c r="AM95" s="399"/>
      <c r="AN95" s="399">
        <v>1.1881549392535411E-3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4.8029738767955701E-2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/>
      <c r="BR95" s="399"/>
      <c r="BS95" s="399">
        <v>0.79662599999999995</v>
      </c>
      <c r="BT95" s="399"/>
      <c r="BU95" s="399"/>
      <c r="BV95" s="399">
        <v>0.54415242187314572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0</v>
      </c>
      <c r="CJ95" s="399">
        <v>-0.46434000000000003</v>
      </c>
      <c r="CK95" s="399"/>
      <c r="CL95" s="399"/>
      <c r="CM95" s="399"/>
      <c r="CN95" s="399"/>
      <c r="CO95" s="399">
        <v>-7.2060000000000027E-2</v>
      </c>
      <c r="CP95" s="399">
        <v>6.7529999999999979E-2</v>
      </c>
      <c r="CQ95" s="399">
        <v>31</v>
      </c>
      <c r="CR95" s="399">
        <v>5.296092935960528E-2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7.2055793331437801E-3</v>
      </c>
      <c r="DA95" s="399">
        <v>0</v>
      </c>
      <c r="DB95" s="399">
        <v>0</v>
      </c>
      <c r="DC95" s="399">
        <v>6.7546039951338011E-2</v>
      </c>
      <c r="DD95" s="399">
        <v>0</v>
      </c>
      <c r="DE95" s="399">
        <v>0</v>
      </c>
      <c r="DF95" s="399">
        <v>0</v>
      </c>
      <c r="DG95" s="399">
        <v>6.5391459897930007E-3</v>
      </c>
      <c r="DH95" s="399">
        <v>0</v>
      </c>
      <c r="DI95" s="399">
        <v>-2.4911929594055388E-2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-3.2319301338053982E-3</v>
      </c>
      <c r="DP95" s="399">
        <v>-1.8597618680859921E-4</v>
      </c>
      <c r="DQ95" s="399">
        <v>0</v>
      </c>
      <c r="DR95" s="399">
        <v>0</v>
      </c>
      <c r="DS95" s="399"/>
      <c r="DT95" s="399"/>
      <c r="DU95" s="399"/>
      <c r="DV95" s="399">
        <v>0.26584417874374167</v>
      </c>
      <c r="DW95" s="399">
        <v>0</v>
      </c>
      <c r="DX95" s="399">
        <v>0</v>
      </c>
      <c r="DY95" s="399">
        <v>-7.2060000000000013E-2</v>
      </c>
      <c r="DZ95" s="399">
        <v>6.7529999999999979E-2</v>
      </c>
      <c r="EA95" s="399">
        <v>0</v>
      </c>
      <c r="EB95" s="399">
        <v>0</v>
      </c>
      <c r="EC95" s="399">
        <v>-5.7474077060428175E-2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3.4586989789287002E-2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215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21" customFormat="1">
      <c r="A96" s="399">
        <v>94</v>
      </c>
      <c r="B96" s="399" t="s">
        <v>956</v>
      </c>
      <c r="C96" s="399" t="s">
        <v>2343</v>
      </c>
      <c r="D96" s="399" t="s">
        <v>2353</v>
      </c>
      <c r="E96" s="399" t="s">
        <v>894</v>
      </c>
      <c r="F96" s="399" t="s">
        <v>2363</v>
      </c>
      <c r="G96" s="399" t="s">
        <v>2361</v>
      </c>
      <c r="H96" s="399" t="s">
        <v>1239</v>
      </c>
      <c r="I96" s="399" t="s">
        <v>1239</v>
      </c>
      <c r="J96" s="399" t="s">
        <v>2344</v>
      </c>
      <c r="K96" s="791">
        <v>44470</v>
      </c>
      <c r="L96" s="399">
        <v>0</v>
      </c>
      <c r="M96" s="399">
        <v>0</v>
      </c>
      <c r="N96" s="399">
        <v>0</v>
      </c>
      <c r="O96" s="399">
        <v>0</v>
      </c>
      <c r="P96" s="399">
        <v>0</v>
      </c>
      <c r="Q96" s="399">
        <v>0</v>
      </c>
      <c r="R96" s="399"/>
      <c r="S96" s="399"/>
      <c r="T96" s="399"/>
      <c r="U96" s="399"/>
      <c r="V96" s="399"/>
      <c r="W96" s="399"/>
      <c r="X96" s="399"/>
      <c r="Y96" s="399"/>
      <c r="Z96" s="399"/>
      <c r="AA96" s="399">
        <v>0</v>
      </c>
      <c r="AB96" s="399"/>
      <c r="AC96" s="399"/>
      <c r="AD96" s="399"/>
      <c r="AE96" s="399"/>
      <c r="AF96" s="399"/>
      <c r="AG96" s="399"/>
      <c r="AH96" s="399"/>
      <c r="AI96" s="399"/>
      <c r="AJ96" s="399"/>
      <c r="AK96" s="399"/>
      <c r="AL96" s="399"/>
      <c r="AM96" s="399"/>
      <c r="AN96" s="399"/>
      <c r="AO96" s="399"/>
      <c r="AP96" s="399"/>
      <c r="AQ96" s="399"/>
      <c r="AR96" s="399"/>
      <c r="AS96" s="399"/>
      <c r="AT96" s="399"/>
      <c r="AU96" s="399"/>
      <c r="AV96" s="399"/>
      <c r="AW96" s="399"/>
      <c r="AX96" s="399"/>
      <c r="AY96" s="399"/>
      <c r="AZ96" s="399">
        <v>0</v>
      </c>
      <c r="BA96" s="399"/>
      <c r="BB96" s="399"/>
      <c r="BC96" s="399"/>
      <c r="BD96" s="399"/>
      <c r="BE96" s="399"/>
      <c r="BF96" s="399"/>
      <c r="BG96" s="399"/>
      <c r="BH96" s="399"/>
      <c r="BI96" s="399">
        <v>0</v>
      </c>
      <c r="BJ96" s="399">
        <v>0</v>
      </c>
      <c r="BK96" s="399">
        <v>14253.49</v>
      </c>
      <c r="BL96" s="399">
        <v>21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/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/>
      <c r="CJ96" s="399">
        <v>-0.03</v>
      </c>
      <c r="CK96" s="399"/>
      <c r="CL96" s="399"/>
      <c r="CM96" s="399"/>
      <c r="CN96" s="399"/>
      <c r="CO96" s="399">
        <v>0</v>
      </c>
      <c r="CP96" s="399">
        <v>0</v>
      </c>
      <c r="CQ96" s="399">
        <v>31</v>
      </c>
      <c r="CR96" s="399"/>
      <c r="CS96" s="399"/>
      <c r="CT96" s="399"/>
      <c r="CU96" s="399"/>
      <c r="CV96" s="399"/>
      <c r="CW96" s="399"/>
      <c r="CX96" s="399"/>
      <c r="CY96" s="399"/>
      <c r="CZ96" s="399"/>
      <c r="DA96" s="399"/>
      <c r="DB96" s="399"/>
      <c r="DC96" s="399"/>
      <c r="DD96" s="399"/>
      <c r="DE96" s="399"/>
      <c r="DF96" s="399"/>
      <c r="DG96" s="399"/>
      <c r="DH96" s="399"/>
      <c r="DI96" s="399"/>
      <c r="DJ96" s="399"/>
      <c r="DK96" s="399">
        <v>0</v>
      </c>
      <c r="DL96" s="399"/>
      <c r="DM96" s="399"/>
      <c r="DN96" s="399"/>
      <c r="DO96" s="399"/>
      <c r="DP96" s="399"/>
      <c r="DQ96" s="399"/>
      <c r="DR96" s="399"/>
      <c r="DS96" s="399"/>
      <c r="DT96" s="399"/>
      <c r="DU96" s="399"/>
      <c r="DV96" s="399"/>
      <c r="DW96" s="399"/>
      <c r="DX96" s="399"/>
      <c r="DY96" s="399"/>
      <c r="DZ96" s="399"/>
      <c r="EA96" s="399"/>
      <c r="EB96" s="399"/>
      <c r="EC96" s="399"/>
      <c r="ED96" s="399"/>
      <c r="EE96" s="399"/>
      <c r="EF96" s="399"/>
      <c r="EG96" s="399"/>
      <c r="EH96" s="399"/>
      <c r="EI96" s="399"/>
      <c r="EJ96" s="399"/>
      <c r="EK96" s="399"/>
      <c r="EL96" s="399"/>
      <c r="EM96" s="399"/>
      <c r="EN96" s="399"/>
      <c r="EO96" s="399"/>
      <c r="EP96" s="399"/>
      <c r="EQ96" s="399"/>
      <c r="ER96" s="399"/>
      <c r="ES96" s="399"/>
      <c r="ET96" s="399"/>
      <c r="EU96" s="399"/>
      <c r="EV96" s="399">
        <v>215</v>
      </c>
      <c r="EW96" s="399"/>
      <c r="EX96" s="399"/>
      <c r="EY96" s="399"/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21" customFormat="1">
      <c r="A97" s="399">
        <v>95</v>
      </c>
      <c r="B97" s="399" t="s">
        <v>956</v>
      </c>
      <c r="C97" s="399" t="s">
        <v>2343</v>
      </c>
      <c r="D97" s="399" t="s">
        <v>2353</v>
      </c>
      <c r="E97" s="399" t="s">
        <v>894</v>
      </c>
      <c r="F97" s="399" t="s">
        <v>2363</v>
      </c>
      <c r="G97" s="399" t="s">
        <v>2361</v>
      </c>
      <c r="H97" s="399" t="s">
        <v>1239</v>
      </c>
      <c r="I97" s="399" t="s">
        <v>1239</v>
      </c>
      <c r="J97" s="399" t="s">
        <v>2344</v>
      </c>
      <c r="K97" s="791">
        <v>44470</v>
      </c>
      <c r="L97" s="399">
        <v>0</v>
      </c>
      <c r="M97" s="399">
        <v>0</v>
      </c>
      <c r="N97" s="399">
        <v>30.82</v>
      </c>
      <c r="O97" s="399">
        <v>30.82</v>
      </c>
      <c r="P97" s="399">
        <v>30.82</v>
      </c>
      <c r="Q97" s="399">
        <v>30.82</v>
      </c>
      <c r="R97" s="399"/>
      <c r="S97" s="399">
        <v>239.69</v>
      </c>
      <c r="T97" s="399">
        <v>171.61</v>
      </c>
      <c r="U97" s="399"/>
      <c r="V97" s="399">
        <v>12676.266</v>
      </c>
      <c r="W97" s="399">
        <v>12676.266</v>
      </c>
      <c r="X97" s="399">
        <v>12629.727800000001</v>
      </c>
      <c r="Y97" s="399">
        <v>0</v>
      </c>
      <c r="Z97" s="399">
        <v>1863.2939648523329</v>
      </c>
      <c r="AA97" s="399">
        <v>0</v>
      </c>
      <c r="AB97" s="399">
        <v>0</v>
      </c>
      <c r="AC97" s="399">
        <v>0</v>
      </c>
      <c r="AD97" s="399">
        <v>1643.8153051304464</v>
      </c>
      <c r="AE97" s="399">
        <v>2731.1058629607064</v>
      </c>
      <c r="AF97" s="399">
        <v>5096.8336977673189</v>
      </c>
      <c r="AG97" s="399">
        <v>192.17370109531413</v>
      </c>
      <c r="AH97" s="399">
        <v>0</v>
      </c>
      <c r="AI97" s="399">
        <v>0</v>
      </c>
      <c r="AJ97" s="399">
        <v>0</v>
      </c>
      <c r="AK97" s="399">
        <v>0</v>
      </c>
      <c r="AL97" s="399">
        <v>288.10877415979257</v>
      </c>
      <c r="AM97" s="399"/>
      <c r="AN97" s="399">
        <v>12.206311742598045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493.42551627613153</v>
      </c>
      <c r="BH97" s="399">
        <v>0</v>
      </c>
      <c r="BI97" s="399">
        <v>0</v>
      </c>
      <c r="BJ97" s="399">
        <v>0</v>
      </c>
      <c r="BK97" s="399">
        <v>0</v>
      </c>
      <c r="BL97" s="399">
        <v>0</v>
      </c>
      <c r="BM97" s="399"/>
      <c r="BN97" s="399"/>
      <c r="BO97" s="399"/>
      <c r="BP97" s="399"/>
      <c r="BQ97" s="399"/>
      <c r="BR97" s="399">
        <v>1515.4193999999995</v>
      </c>
      <c r="BS97" s="399"/>
      <c r="BT97" s="399"/>
      <c r="BU97" s="399"/>
      <c r="BV97" s="399">
        <v>5590.2592140434508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11114.308400000002</v>
      </c>
      <c r="CJ97" s="399">
        <v>-41.020599999999831</v>
      </c>
      <c r="CK97" s="399"/>
      <c r="CL97" s="399"/>
      <c r="CM97" s="399"/>
      <c r="CN97" s="399"/>
      <c r="CO97" s="399">
        <v>-740.29640000000029</v>
      </c>
      <c r="CP97" s="399">
        <v>693.75819999999976</v>
      </c>
      <c r="CQ97" s="399">
        <v>31</v>
      </c>
      <c r="CR97" s="399">
        <v>544.08528095434485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74.025318349163854</v>
      </c>
      <c r="DA97" s="399">
        <v>0</v>
      </c>
      <c r="DB97" s="399">
        <v>0</v>
      </c>
      <c r="DC97" s="399">
        <v>693.92298376674535</v>
      </c>
      <c r="DD97" s="399">
        <v>0</v>
      </c>
      <c r="DE97" s="399">
        <v>0</v>
      </c>
      <c r="DF97" s="399">
        <v>0</v>
      </c>
      <c r="DG97" s="399">
        <v>67.17882646847346</v>
      </c>
      <c r="DH97" s="399">
        <v>0</v>
      </c>
      <c r="DI97" s="399">
        <v>-255.92855669626238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-33.202695574627484</v>
      </c>
      <c r="DP97" s="399">
        <v>-1.910595359147008</v>
      </c>
      <c r="DQ97" s="399">
        <v>0</v>
      </c>
      <c r="DR97" s="399">
        <v>0</v>
      </c>
      <c r="DS97" s="399"/>
      <c r="DT97" s="399"/>
      <c r="DU97" s="399"/>
      <c r="DV97" s="399">
        <v>2731.1058629607064</v>
      </c>
      <c r="DW97" s="399">
        <v>0</v>
      </c>
      <c r="DX97" s="399">
        <v>0</v>
      </c>
      <c r="DY97" s="399">
        <v>-740.29640000000018</v>
      </c>
      <c r="DZ97" s="399">
        <v>693.75819999999931</v>
      </c>
      <c r="EA97" s="399">
        <v>0</v>
      </c>
      <c r="EB97" s="399">
        <v>0</v>
      </c>
      <c r="EC97" s="399">
        <v>-590.45035166746584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355.32367510194177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215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21" customFormat="1">
      <c r="A98" s="399">
        <v>96</v>
      </c>
      <c r="B98" s="399" t="s">
        <v>956</v>
      </c>
      <c r="C98" s="399" t="s">
        <v>2343</v>
      </c>
      <c r="D98" s="399" t="s">
        <v>2353</v>
      </c>
      <c r="E98" s="399" t="s">
        <v>894</v>
      </c>
      <c r="F98" s="399" t="s">
        <v>2363</v>
      </c>
      <c r="G98" s="399" t="s">
        <v>2362</v>
      </c>
      <c r="H98" s="399" t="s">
        <v>1239</v>
      </c>
      <c r="I98" s="399" t="s">
        <v>1239</v>
      </c>
      <c r="J98" s="399" t="s">
        <v>2344</v>
      </c>
      <c r="K98" s="791">
        <v>44470</v>
      </c>
      <c r="L98" s="399">
        <v>0</v>
      </c>
      <c r="M98" s="399">
        <v>0</v>
      </c>
      <c r="N98" s="399">
        <v>51.676000000000002</v>
      </c>
      <c r="O98" s="399">
        <v>20.670400000000001</v>
      </c>
      <c r="P98" s="399">
        <v>51.676000000000002</v>
      </c>
      <c r="Q98" s="399">
        <v>20.670400000000001</v>
      </c>
      <c r="R98" s="399"/>
      <c r="S98" s="399">
        <v>239.69</v>
      </c>
      <c r="T98" s="399">
        <v>171.61</v>
      </c>
      <c r="U98" s="399"/>
      <c r="V98" s="399">
        <v>21254.338800000001</v>
      </c>
      <c r="W98" s="399">
        <v>21254.338800000001</v>
      </c>
      <c r="X98" s="399">
        <v>21176.30804</v>
      </c>
      <c r="Y98" s="399">
        <v>0</v>
      </c>
      <c r="Z98" s="399">
        <v>3124.1913993416342</v>
      </c>
      <c r="AA98" s="399">
        <v>0</v>
      </c>
      <c r="AB98" s="399">
        <v>0</v>
      </c>
      <c r="AC98" s="399">
        <v>0</v>
      </c>
      <c r="AD98" s="399">
        <v>2756.1907757274803</v>
      </c>
      <c r="AE98" s="399">
        <v>4579.2545935871985</v>
      </c>
      <c r="AF98" s="399">
        <v>8545.8785907145993</v>
      </c>
      <c r="AG98" s="399">
        <v>322.21830557434959</v>
      </c>
      <c r="AH98" s="399">
        <v>0</v>
      </c>
      <c r="AI98" s="399">
        <v>0</v>
      </c>
      <c r="AJ98" s="399">
        <v>0</v>
      </c>
      <c r="AK98" s="399">
        <v>0</v>
      </c>
      <c r="AL98" s="399">
        <v>483.07297253346661</v>
      </c>
      <c r="AM98" s="399"/>
      <c r="AN98" s="399">
        <v>20.466364880288662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827.32826019095955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/>
      <c r="BS98" s="399">
        <v>13722.148391999999</v>
      </c>
      <c r="BT98" s="399"/>
      <c r="BU98" s="399"/>
      <c r="BV98" s="399">
        <v>9373.2068509055589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7454.0154000000002</v>
      </c>
      <c r="CJ98" s="399">
        <v>-27.66588000000047</v>
      </c>
      <c r="CK98" s="399"/>
      <c r="CL98" s="399"/>
      <c r="CM98" s="399"/>
      <c r="CN98" s="399"/>
      <c r="CO98" s="399">
        <v>-1241.2575200000006</v>
      </c>
      <c r="CP98" s="399">
        <v>1163.2267599999996</v>
      </c>
      <c r="CQ98" s="399">
        <v>31</v>
      </c>
      <c r="CR98" s="399">
        <v>912.26966186232312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124.11850587317986</v>
      </c>
      <c r="DA98" s="399">
        <v>0</v>
      </c>
      <c r="DB98" s="399">
        <v>0</v>
      </c>
      <c r="DC98" s="399">
        <v>1163.5030535084479</v>
      </c>
      <c r="DD98" s="399">
        <v>0</v>
      </c>
      <c r="DE98" s="399">
        <v>0</v>
      </c>
      <c r="DF98" s="399">
        <v>0</v>
      </c>
      <c r="DG98" s="399">
        <v>112.63896938951439</v>
      </c>
      <c r="DH98" s="399">
        <v>0</v>
      </c>
      <c r="DI98" s="399">
        <v>-429.11629123413559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-55.67107386484264</v>
      </c>
      <c r="DP98" s="399">
        <v>-3.203501809840386</v>
      </c>
      <c r="DQ98" s="399">
        <v>0</v>
      </c>
      <c r="DR98" s="399">
        <v>0</v>
      </c>
      <c r="DS98" s="399"/>
      <c r="DT98" s="399"/>
      <c r="DU98" s="399"/>
      <c r="DV98" s="399">
        <v>4579.2545935871985</v>
      </c>
      <c r="DW98" s="399">
        <v>0</v>
      </c>
      <c r="DX98" s="399">
        <v>0</v>
      </c>
      <c r="DY98" s="399">
        <v>-1241.257520000001</v>
      </c>
      <c r="DZ98" s="399">
        <v>1163.2267599999996</v>
      </c>
      <c r="EA98" s="399">
        <v>0</v>
      </c>
      <c r="EB98" s="399">
        <v>0</v>
      </c>
      <c r="EC98" s="399">
        <v>-990.01013539156247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595.77242811706503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215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21" customFormat="1">
      <c r="A99" s="399">
        <v>97</v>
      </c>
      <c r="B99" s="399" t="s">
        <v>956</v>
      </c>
      <c r="C99" s="399" t="s">
        <v>2343</v>
      </c>
      <c r="D99" s="399" t="s">
        <v>1823</v>
      </c>
      <c r="E99" s="399" t="s">
        <v>889</v>
      </c>
      <c r="F99" s="399" t="s">
        <v>889</v>
      </c>
      <c r="G99" s="399" t="s">
        <v>1239</v>
      </c>
      <c r="H99" s="399" t="s">
        <v>1239</v>
      </c>
      <c r="I99" s="399" t="s">
        <v>1239</v>
      </c>
      <c r="J99" s="399" t="s">
        <v>2344</v>
      </c>
      <c r="K99" s="791">
        <v>44501</v>
      </c>
      <c r="L99" s="399">
        <v>0</v>
      </c>
      <c r="M99" s="399">
        <v>0</v>
      </c>
      <c r="N99" s="399">
        <v>1305.6949999999999</v>
      </c>
      <c r="O99" s="399">
        <v>1305.6949999999999</v>
      </c>
      <c r="P99" s="399">
        <v>1305.6949999999999</v>
      </c>
      <c r="Q99" s="399">
        <v>1305.6949999999999</v>
      </c>
      <c r="R99" s="399"/>
      <c r="S99" s="399">
        <v>239.69</v>
      </c>
      <c r="T99" s="399">
        <v>171.61</v>
      </c>
      <c r="U99" s="399"/>
      <c r="V99" s="399">
        <v>537032.35349999997</v>
      </c>
      <c r="W99" s="399">
        <v>537032.35349999997</v>
      </c>
      <c r="X99" s="399">
        <v>535060.75404999999</v>
      </c>
      <c r="Y99" s="399">
        <v>0</v>
      </c>
      <c r="Z99" s="399">
        <v>78938.793427575176</v>
      </c>
      <c r="AA99" s="399">
        <v>0</v>
      </c>
      <c r="AB99" s="399">
        <v>0</v>
      </c>
      <c r="AC99" s="399">
        <v>0</v>
      </c>
      <c r="AD99" s="399">
        <v>69640.53941701162</v>
      </c>
      <c r="AE99" s="399">
        <v>115703.80498826993</v>
      </c>
      <c r="AF99" s="399">
        <v>215928.30223901034</v>
      </c>
      <c r="AG99" s="399">
        <v>8141.4743884375785</v>
      </c>
      <c r="AH99" s="399">
        <v>0</v>
      </c>
      <c r="AI99" s="399">
        <v>0</v>
      </c>
      <c r="AJ99" s="399">
        <v>0</v>
      </c>
      <c r="AK99" s="399">
        <v>0</v>
      </c>
      <c r="AL99" s="399">
        <v>12205.781501511043</v>
      </c>
      <c r="AM99" s="399"/>
      <c r="AN99" s="399">
        <v>517.12265446955075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20904.063253541972</v>
      </c>
      <c r="BH99" s="399">
        <v>0</v>
      </c>
      <c r="BI99" s="399">
        <v>0</v>
      </c>
      <c r="BJ99" s="399">
        <v>0</v>
      </c>
      <c r="BK99" s="399">
        <v>171313.45</v>
      </c>
      <c r="BL99" s="399">
        <v>4723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236832.36549255232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535062.80300000007</v>
      </c>
      <c r="CJ99" s="399">
        <v>-1969.5804999999236</v>
      </c>
      <c r="CK99" s="399"/>
      <c r="CL99" s="399"/>
      <c r="CM99" s="399"/>
      <c r="CN99" s="399"/>
      <c r="CO99" s="399">
        <v>-31362.793900000011</v>
      </c>
      <c r="CP99" s="399">
        <v>29391.194449999988</v>
      </c>
      <c r="CQ99" s="399">
        <v>30</v>
      </c>
      <c r="CR99" s="399">
        <v>23050.273553396692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3136.0963024630619</v>
      </c>
      <c r="DA99" s="399">
        <v>0</v>
      </c>
      <c r="DB99" s="399">
        <v>0</v>
      </c>
      <c r="DC99" s="399">
        <v>29398.175544754078</v>
      </c>
      <c r="DD99" s="399">
        <v>0</v>
      </c>
      <c r="DE99" s="399">
        <v>0</v>
      </c>
      <c r="DF99" s="399">
        <v>0</v>
      </c>
      <c r="DG99" s="399">
        <v>2846.0434077142563</v>
      </c>
      <c r="DH99" s="399">
        <v>0</v>
      </c>
      <c r="DI99" s="399">
        <v>-10842.460637103388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-1406.6383386863472</v>
      </c>
      <c r="DP99" s="399">
        <v>-80.942725745017924</v>
      </c>
      <c r="DQ99" s="399">
        <v>0</v>
      </c>
      <c r="DR99" s="399">
        <v>0</v>
      </c>
      <c r="DS99" s="399"/>
      <c r="DT99" s="399"/>
      <c r="DU99" s="399"/>
      <c r="DV99" s="399">
        <v>115703.80498826993</v>
      </c>
      <c r="DW99" s="399">
        <v>0</v>
      </c>
      <c r="DX99" s="399">
        <v>0</v>
      </c>
      <c r="DY99" s="399">
        <v>-31362.79389999999</v>
      </c>
      <c r="DZ99" s="399">
        <v>29391.194449999981</v>
      </c>
      <c r="EA99" s="399">
        <v>0</v>
      </c>
      <c r="EB99" s="399">
        <v>0</v>
      </c>
      <c r="EC99" s="399">
        <v>-25014.538349138587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15053.353210974363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215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21" customFormat="1">
      <c r="A100" s="399">
        <v>98</v>
      </c>
      <c r="B100" s="399" t="s">
        <v>2345</v>
      </c>
      <c r="C100" s="399" t="s">
        <v>2343</v>
      </c>
      <c r="D100" s="399" t="s">
        <v>1823</v>
      </c>
      <c r="E100" s="399" t="s">
        <v>889</v>
      </c>
      <c r="F100" s="399" t="s">
        <v>889</v>
      </c>
      <c r="G100" s="399" t="s">
        <v>1239</v>
      </c>
      <c r="H100" s="399" t="s">
        <v>1239</v>
      </c>
      <c r="I100" s="399" t="s">
        <v>1239</v>
      </c>
      <c r="J100" s="399" t="s">
        <v>2344</v>
      </c>
      <c r="K100" s="791">
        <v>44501</v>
      </c>
      <c r="L100" s="399">
        <v>0</v>
      </c>
      <c r="M100" s="399">
        <v>0</v>
      </c>
      <c r="N100" s="399">
        <v>-1.5209999999999999</v>
      </c>
      <c r="O100" s="399">
        <v>-1.5209999999999999</v>
      </c>
      <c r="P100" s="399">
        <v>-1.5209999999999999</v>
      </c>
      <c r="Q100" s="399">
        <v>-1.5209999999999999</v>
      </c>
      <c r="R100" s="399"/>
      <c r="S100" s="399">
        <v>239.69</v>
      </c>
      <c r="T100" s="399">
        <v>171.61</v>
      </c>
      <c r="U100" s="399"/>
      <c r="V100" s="399">
        <v>-625.58730000000003</v>
      </c>
      <c r="W100" s="399">
        <v>-625.58730000000003</v>
      </c>
      <c r="X100" s="399">
        <v>-623.29058999999995</v>
      </c>
      <c r="Y100" s="399">
        <v>0</v>
      </c>
      <c r="Z100" s="399">
        <v>-91.955552256339985</v>
      </c>
      <c r="AA100" s="399">
        <v>0</v>
      </c>
      <c r="AB100" s="399">
        <v>0</v>
      </c>
      <c r="AC100" s="399">
        <v>0</v>
      </c>
      <c r="AD100" s="399">
        <v>-81.124045395957452</v>
      </c>
      <c r="AE100" s="399">
        <v>-134.78299862307702</v>
      </c>
      <c r="AF100" s="399">
        <v>-251.53420033433133</v>
      </c>
      <c r="AG100" s="399">
        <v>-9.4839779158329911</v>
      </c>
      <c r="AH100" s="399">
        <v>0</v>
      </c>
      <c r="AI100" s="399">
        <v>0</v>
      </c>
      <c r="AJ100" s="399">
        <v>0</v>
      </c>
      <c r="AK100" s="399">
        <v>0</v>
      </c>
      <c r="AL100" s="399">
        <v>-14.218476492441416</v>
      </c>
      <c r="AM100" s="399"/>
      <c r="AN100" s="399">
        <v>-0.60239455420154531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-24.351077555353537</v>
      </c>
      <c r="BH100" s="399">
        <v>0</v>
      </c>
      <c r="BI100" s="399">
        <v>0</v>
      </c>
      <c r="BJ100" s="399">
        <v>0</v>
      </c>
      <c r="BK100" s="399">
        <v>-298.32</v>
      </c>
      <c r="BL100" s="399">
        <v>0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-275.88527788968486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-622.88080000000002</v>
      </c>
      <c r="CJ100" s="399">
        <v>2.6765000000000327</v>
      </c>
      <c r="CK100" s="399"/>
      <c r="CL100" s="399"/>
      <c r="CM100" s="399"/>
      <c r="CN100" s="399"/>
      <c r="CO100" s="399">
        <v>36.534420000000011</v>
      </c>
      <c r="CP100" s="399">
        <v>-34.237709999999986</v>
      </c>
      <c r="CQ100" s="399">
        <v>30</v>
      </c>
      <c r="CR100" s="399">
        <v>-26.851191185319806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-3.6532287219039006</v>
      </c>
      <c r="DA100" s="399">
        <v>0</v>
      </c>
      <c r="DB100" s="399">
        <v>0</v>
      </c>
      <c r="DC100" s="399">
        <v>-34.245842255328341</v>
      </c>
      <c r="DD100" s="399">
        <v>0</v>
      </c>
      <c r="DE100" s="399">
        <v>0</v>
      </c>
      <c r="DF100" s="399">
        <v>0</v>
      </c>
      <c r="DG100" s="399">
        <v>-3.3153470168250507</v>
      </c>
      <c r="DH100" s="399">
        <v>0</v>
      </c>
      <c r="DI100" s="399">
        <v>12.630348304186086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1.6385885778393376</v>
      </c>
      <c r="DP100" s="399">
        <v>9.4289926711959793E-2</v>
      </c>
      <c r="DQ100" s="399">
        <v>0</v>
      </c>
      <c r="DR100" s="399">
        <v>0</v>
      </c>
      <c r="DS100" s="399"/>
      <c r="DT100" s="399"/>
      <c r="DU100" s="399"/>
      <c r="DV100" s="399">
        <v>-134.78299862307702</v>
      </c>
      <c r="DW100" s="399">
        <v>0</v>
      </c>
      <c r="DX100" s="399">
        <v>0</v>
      </c>
      <c r="DY100" s="399">
        <v>36.534420000000011</v>
      </c>
      <c r="DZ100" s="399">
        <v>-34.237709999999936</v>
      </c>
      <c r="EA100" s="399">
        <v>0</v>
      </c>
      <c r="EB100" s="399">
        <v>0</v>
      </c>
      <c r="EC100" s="399">
        <v>29.139357069637086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-17.535603823168508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215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21" customFormat="1">
      <c r="A101" s="399">
        <v>99</v>
      </c>
      <c r="B101" s="399" t="s">
        <v>2346</v>
      </c>
      <c r="C101" s="399" t="s">
        <v>2343</v>
      </c>
      <c r="D101" s="399" t="s">
        <v>1823</v>
      </c>
      <c r="E101" s="399" t="s">
        <v>889</v>
      </c>
      <c r="F101" s="399" t="s">
        <v>889</v>
      </c>
      <c r="G101" s="399" t="s">
        <v>1239</v>
      </c>
      <c r="H101" s="399" t="s">
        <v>1239</v>
      </c>
      <c r="I101" s="399" t="s">
        <v>1239</v>
      </c>
      <c r="J101" s="399" t="s">
        <v>2344</v>
      </c>
      <c r="K101" s="791">
        <v>44501</v>
      </c>
      <c r="L101" s="399">
        <v>0</v>
      </c>
      <c r="M101" s="399">
        <v>0</v>
      </c>
      <c r="N101" s="399">
        <v>1.391</v>
      </c>
      <c r="O101" s="399">
        <v>1.391</v>
      </c>
      <c r="P101" s="399">
        <v>1.391</v>
      </c>
      <c r="Q101" s="399">
        <v>1.391</v>
      </c>
      <c r="R101" s="399"/>
      <c r="S101" s="399">
        <v>239.69</v>
      </c>
      <c r="T101" s="399">
        <v>171.61</v>
      </c>
      <c r="U101" s="399"/>
      <c r="V101" s="399">
        <v>572.11830000000009</v>
      </c>
      <c r="W101" s="399">
        <v>572.11830000000009</v>
      </c>
      <c r="X101" s="399">
        <v>570.01788999999997</v>
      </c>
      <c r="Y101" s="399">
        <v>0</v>
      </c>
      <c r="Z101" s="399">
        <v>84.096103345541707</v>
      </c>
      <c r="AA101" s="399">
        <v>0</v>
      </c>
      <c r="AB101" s="399">
        <v>0</v>
      </c>
      <c r="AC101" s="399">
        <v>0</v>
      </c>
      <c r="AD101" s="399">
        <v>74.190366302285881</v>
      </c>
      <c r="AE101" s="399">
        <v>123.26308421084822</v>
      </c>
      <c r="AF101" s="399">
        <v>230.03555073310645</v>
      </c>
      <c r="AG101" s="399">
        <v>8.6733815127703426</v>
      </c>
      <c r="AH101" s="399">
        <v>0</v>
      </c>
      <c r="AI101" s="399">
        <v>0</v>
      </c>
      <c r="AJ101" s="399">
        <v>0</v>
      </c>
      <c r="AK101" s="399">
        <v>0</v>
      </c>
      <c r="AL101" s="399">
        <v>13.003222091378049</v>
      </c>
      <c r="AM101" s="399"/>
      <c r="AN101" s="399">
        <v>0.55090784016722516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22.269788875408793</v>
      </c>
      <c r="BH101" s="399">
        <v>0</v>
      </c>
      <c r="BI101" s="399">
        <v>0</v>
      </c>
      <c r="BJ101" s="399">
        <v>0</v>
      </c>
      <c r="BK101" s="399">
        <v>408.49</v>
      </c>
      <c r="BL101" s="399">
        <v>7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252.30533960851523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569.60809999999992</v>
      </c>
      <c r="CJ101" s="399">
        <v>-2.5402000000001408</v>
      </c>
      <c r="CK101" s="399"/>
      <c r="CL101" s="399"/>
      <c r="CM101" s="399"/>
      <c r="CN101" s="399"/>
      <c r="CO101" s="399">
        <v>-33.411820000000013</v>
      </c>
      <c r="CP101" s="399">
        <v>31.311409999999988</v>
      </c>
      <c r="CQ101" s="399">
        <v>30</v>
      </c>
      <c r="CR101" s="399">
        <v>24.556217579737051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3.3409869508010104</v>
      </c>
      <c r="DA101" s="399">
        <v>0</v>
      </c>
      <c r="DB101" s="399">
        <v>0</v>
      </c>
      <c r="DC101" s="399">
        <v>31.318847190770384</v>
      </c>
      <c r="DD101" s="399">
        <v>0</v>
      </c>
      <c r="DE101" s="399">
        <v>0</v>
      </c>
      <c r="DF101" s="399">
        <v>0</v>
      </c>
      <c r="DG101" s="399">
        <v>3.0319840239340223</v>
      </c>
      <c r="DH101" s="399">
        <v>0</v>
      </c>
      <c r="DI101" s="399">
        <v>-11.550831355110361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-1.4985382720411042</v>
      </c>
      <c r="DP101" s="399">
        <v>-8.6230958616920372E-2</v>
      </c>
      <c r="DQ101" s="399">
        <v>0</v>
      </c>
      <c r="DR101" s="399">
        <v>0</v>
      </c>
      <c r="DS101" s="399"/>
      <c r="DT101" s="399"/>
      <c r="DU101" s="399"/>
      <c r="DV101" s="399">
        <v>123.26308421084822</v>
      </c>
      <c r="DW101" s="399">
        <v>0</v>
      </c>
      <c r="DX101" s="399">
        <v>0</v>
      </c>
      <c r="DY101" s="399">
        <v>-33.411820000000034</v>
      </c>
      <c r="DZ101" s="399">
        <v>31.311409999999967</v>
      </c>
      <c r="EA101" s="399">
        <v>0</v>
      </c>
      <c r="EB101" s="399">
        <v>0</v>
      </c>
      <c r="EC101" s="399">
        <v>-26.648813730351861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16.036834265632738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215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21" customFormat="1">
      <c r="A102" s="399">
        <v>100</v>
      </c>
      <c r="B102" s="399" t="s">
        <v>956</v>
      </c>
      <c r="C102" s="399" t="s">
        <v>2343</v>
      </c>
      <c r="D102" s="399" t="s">
        <v>1823</v>
      </c>
      <c r="E102" s="399" t="s">
        <v>889</v>
      </c>
      <c r="F102" s="399" t="s">
        <v>2347</v>
      </c>
      <c r="G102" s="399" t="s">
        <v>1239</v>
      </c>
      <c r="H102" s="399" t="s">
        <v>1239</v>
      </c>
      <c r="I102" s="399" t="s">
        <v>1239</v>
      </c>
      <c r="J102" s="399" t="s">
        <v>2344</v>
      </c>
      <c r="K102" s="791">
        <v>44501</v>
      </c>
      <c r="L102" s="399">
        <v>0</v>
      </c>
      <c r="M102" s="399">
        <v>0</v>
      </c>
      <c r="N102" s="399">
        <v>6.75</v>
      </c>
      <c r="O102" s="399">
        <v>6.75</v>
      </c>
      <c r="P102" s="399">
        <v>6.75</v>
      </c>
      <c r="Q102" s="399">
        <v>6.75</v>
      </c>
      <c r="R102" s="399"/>
      <c r="S102" s="399">
        <v>158.36000000000001</v>
      </c>
      <c r="T102" s="399">
        <v>171.61</v>
      </c>
      <c r="U102" s="399"/>
      <c r="V102" s="399">
        <v>2227.2975000000001</v>
      </c>
      <c r="W102" s="399">
        <v>2227.2975000000001</v>
      </c>
      <c r="X102" s="399">
        <v>2280.42</v>
      </c>
      <c r="Y102" s="399">
        <v>0</v>
      </c>
      <c r="Z102" s="399">
        <v>0</v>
      </c>
      <c r="AA102" s="399">
        <v>0</v>
      </c>
      <c r="AB102" s="399">
        <v>0</v>
      </c>
      <c r="AC102" s="399">
        <v>0</v>
      </c>
      <c r="AD102" s="399">
        <v>360.01795294063959</v>
      </c>
      <c r="AE102" s="399">
        <v>598.14940217341882</v>
      </c>
      <c r="AF102" s="399">
        <v>1116.2760369866776</v>
      </c>
      <c r="AG102" s="399">
        <v>42.088659389791381</v>
      </c>
      <c r="AH102" s="399">
        <v>0</v>
      </c>
      <c r="AI102" s="399">
        <v>0</v>
      </c>
      <c r="AJ102" s="399">
        <v>0</v>
      </c>
      <c r="AK102" s="399">
        <v>0</v>
      </c>
      <c r="AL102" s="399">
        <v>0</v>
      </c>
      <c r="AM102" s="399"/>
      <c r="AN102" s="399">
        <v>2.6733486133204671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108.06691222790032</v>
      </c>
      <c r="BH102" s="399">
        <v>0</v>
      </c>
      <c r="BI102" s="399">
        <v>0</v>
      </c>
      <c r="BJ102" s="399">
        <v>0</v>
      </c>
      <c r="BK102" s="399">
        <v>108.12</v>
      </c>
      <c r="BL102" s="399">
        <v>3</v>
      </c>
      <c r="BM102" s="399"/>
      <c r="BN102" s="399"/>
      <c r="BO102" s="399"/>
      <c r="BP102" s="399"/>
      <c r="BQ102" s="399"/>
      <c r="BR102" s="399"/>
      <c r="BS102" s="399"/>
      <c r="BT102" s="399">
        <v>1482.3000000000002</v>
      </c>
      <c r="BU102" s="399"/>
      <c r="BV102" s="399">
        <v>1224.3429492145779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798.11999999999989</v>
      </c>
      <c r="CJ102" s="399">
        <v>18.599999999999909</v>
      </c>
      <c r="CK102" s="399"/>
      <c r="CL102" s="399"/>
      <c r="CM102" s="399"/>
      <c r="CN102" s="399"/>
      <c r="CO102" s="399">
        <v>-98.820000000000107</v>
      </c>
      <c r="CP102" s="399">
        <v>151.94249999999994</v>
      </c>
      <c r="CQ102" s="399">
        <v>30</v>
      </c>
      <c r="CR102" s="399">
        <v>182.48577544679893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16.212553499573573</v>
      </c>
      <c r="DA102" s="399">
        <v>0</v>
      </c>
      <c r="DB102" s="399">
        <v>0</v>
      </c>
      <c r="DC102" s="399">
        <v>151.97858989051042</v>
      </c>
      <c r="DD102" s="399">
        <v>0</v>
      </c>
      <c r="DE102" s="399">
        <v>0</v>
      </c>
      <c r="DF102" s="399">
        <v>0</v>
      </c>
      <c r="DG102" s="399">
        <v>14.713078477034259</v>
      </c>
      <c r="DH102" s="399">
        <v>0</v>
      </c>
      <c r="DI102" s="399">
        <v>0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0</v>
      </c>
      <c r="DP102" s="399">
        <v>-0.41844642031934765</v>
      </c>
      <c r="DQ102" s="399">
        <v>0</v>
      </c>
      <c r="DR102" s="399">
        <v>0</v>
      </c>
      <c r="DS102" s="399"/>
      <c r="DT102" s="399"/>
      <c r="DU102" s="399"/>
      <c r="DV102" s="399">
        <v>598.14940217341882</v>
      </c>
      <c r="DW102" s="399">
        <v>0</v>
      </c>
      <c r="DX102" s="399">
        <v>0</v>
      </c>
      <c r="DY102" s="399">
        <v>-98.82000000000005</v>
      </c>
      <c r="DZ102" s="399">
        <v>151.94249999999988</v>
      </c>
      <c r="EA102" s="399">
        <v>0</v>
      </c>
      <c r="EB102" s="399">
        <v>0</v>
      </c>
      <c r="EC102" s="399">
        <v>-129.31667338596344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215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21" customFormat="1">
      <c r="A103" s="399">
        <v>101</v>
      </c>
      <c r="B103" s="399" t="s">
        <v>956</v>
      </c>
      <c r="C103" s="399" t="s">
        <v>2343</v>
      </c>
      <c r="D103" s="399" t="s">
        <v>1823</v>
      </c>
      <c r="E103" s="399" t="s">
        <v>889</v>
      </c>
      <c r="F103" s="399" t="s">
        <v>2348</v>
      </c>
      <c r="G103" s="399" t="s">
        <v>1239</v>
      </c>
      <c r="H103" s="399" t="s">
        <v>1239</v>
      </c>
      <c r="I103" s="399" t="s">
        <v>1239</v>
      </c>
      <c r="J103" s="399" t="s">
        <v>2344</v>
      </c>
      <c r="K103" s="791">
        <v>44501</v>
      </c>
      <c r="L103" s="399">
        <v>0</v>
      </c>
      <c r="M103" s="399">
        <v>0</v>
      </c>
      <c r="N103" s="399">
        <v>15.118</v>
      </c>
      <c r="O103" s="399">
        <v>15.118</v>
      </c>
      <c r="P103" s="399">
        <v>15.118</v>
      </c>
      <c r="Q103" s="399">
        <v>15.118</v>
      </c>
      <c r="R103" s="399"/>
      <c r="S103" s="399">
        <v>158.36000000000001</v>
      </c>
      <c r="T103" s="399">
        <v>171.61</v>
      </c>
      <c r="U103" s="399"/>
      <c r="V103" s="399">
        <v>4988.4864600000001</v>
      </c>
      <c r="W103" s="399">
        <v>4988.4864600000001</v>
      </c>
      <c r="X103" s="399">
        <v>5107.4651200000008</v>
      </c>
      <c r="Y103" s="399">
        <v>0</v>
      </c>
      <c r="Z103" s="399">
        <v>0</v>
      </c>
      <c r="AA103" s="399">
        <v>0</v>
      </c>
      <c r="AB103" s="399">
        <v>0</v>
      </c>
      <c r="AC103" s="399">
        <v>0</v>
      </c>
      <c r="AD103" s="399">
        <v>806.33354260097622</v>
      </c>
      <c r="AE103" s="399">
        <v>1339.6774314159622</v>
      </c>
      <c r="AF103" s="399">
        <v>2500.1275743947544</v>
      </c>
      <c r="AG103" s="399">
        <v>94.266126319239433</v>
      </c>
      <c r="AH103" s="399">
        <v>0</v>
      </c>
      <c r="AI103" s="399">
        <v>0</v>
      </c>
      <c r="AJ103" s="399">
        <v>0</v>
      </c>
      <c r="AK103" s="399">
        <v>0</v>
      </c>
      <c r="AL103" s="399">
        <v>0</v>
      </c>
      <c r="AM103" s="399"/>
      <c r="AN103" s="399">
        <v>5.9875087905450117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242.03786356465142</v>
      </c>
      <c r="BH103" s="399">
        <v>0</v>
      </c>
      <c r="BI103" s="399">
        <v>0</v>
      </c>
      <c r="BJ103" s="399">
        <v>0</v>
      </c>
      <c r="BK103" s="399">
        <v>419.31</v>
      </c>
      <c r="BL103" s="399">
        <v>23</v>
      </c>
      <c r="BM103" s="399"/>
      <c r="BN103" s="399"/>
      <c r="BO103" s="399"/>
      <c r="BP103" s="399"/>
      <c r="BQ103" s="399"/>
      <c r="BR103" s="399"/>
      <c r="BS103" s="399"/>
      <c r="BT103" s="399">
        <v>2043.0465199999999</v>
      </c>
      <c r="BU103" s="399"/>
      <c r="BV103" s="399">
        <v>2742.1654379594061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3064.8240000000001</v>
      </c>
      <c r="CJ103" s="399">
        <v>71.732359999999517</v>
      </c>
      <c r="CK103" s="399"/>
      <c r="CL103" s="399"/>
      <c r="CM103" s="399"/>
      <c r="CN103" s="399"/>
      <c r="CO103" s="399">
        <v>-221.32752000000022</v>
      </c>
      <c r="CP103" s="399">
        <v>340.30617999999987</v>
      </c>
      <c r="CQ103" s="399">
        <v>30</v>
      </c>
      <c r="CR103" s="399">
        <v>408.71406714143723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36.311316119489334</v>
      </c>
      <c r="DA103" s="399">
        <v>0</v>
      </c>
      <c r="DB103" s="399">
        <v>0</v>
      </c>
      <c r="DC103" s="399">
        <v>340.38701066144222</v>
      </c>
      <c r="DD103" s="399">
        <v>0</v>
      </c>
      <c r="DE103" s="399">
        <v>0</v>
      </c>
      <c r="DF103" s="399">
        <v>0</v>
      </c>
      <c r="DG103" s="399">
        <v>32.952936357896846</v>
      </c>
      <c r="DH103" s="399">
        <v>0</v>
      </c>
      <c r="DI103" s="399">
        <v>0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0</v>
      </c>
      <c r="DP103" s="399">
        <v>-0.93719599739080106</v>
      </c>
      <c r="DQ103" s="399">
        <v>0</v>
      </c>
      <c r="DR103" s="399">
        <v>0</v>
      </c>
      <c r="DS103" s="399"/>
      <c r="DT103" s="399"/>
      <c r="DU103" s="399"/>
      <c r="DV103" s="399">
        <v>1339.6774314159622</v>
      </c>
      <c r="DW103" s="399">
        <v>0</v>
      </c>
      <c r="DX103" s="399">
        <v>0</v>
      </c>
      <c r="DY103" s="399">
        <v>-221.32752000000028</v>
      </c>
      <c r="DZ103" s="399">
        <v>340.30618000000004</v>
      </c>
      <c r="EA103" s="399">
        <v>0</v>
      </c>
      <c r="EB103" s="399">
        <v>0</v>
      </c>
      <c r="EC103" s="399">
        <v>-289.63103233318452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215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21" customFormat="1">
      <c r="A104" s="399">
        <v>102</v>
      </c>
      <c r="B104" s="399" t="s">
        <v>956</v>
      </c>
      <c r="C104" s="399" t="s">
        <v>2343</v>
      </c>
      <c r="D104" s="399" t="s">
        <v>1823</v>
      </c>
      <c r="E104" s="399" t="s">
        <v>889</v>
      </c>
      <c r="F104" s="399" t="s">
        <v>2349</v>
      </c>
      <c r="G104" s="399" t="s">
        <v>1239</v>
      </c>
      <c r="H104" s="399" t="s">
        <v>1239</v>
      </c>
      <c r="I104" s="399" t="s">
        <v>1239</v>
      </c>
      <c r="J104" s="399" t="s">
        <v>2344</v>
      </c>
      <c r="K104" s="791">
        <v>44501</v>
      </c>
      <c r="L104" s="399">
        <v>0</v>
      </c>
      <c r="M104" s="399">
        <v>0</v>
      </c>
      <c r="N104" s="399">
        <v>19.46</v>
      </c>
      <c r="O104" s="399">
        <v>19.46</v>
      </c>
      <c r="P104" s="399">
        <v>19.46</v>
      </c>
      <c r="Q104" s="399">
        <v>19.46</v>
      </c>
      <c r="R104" s="399"/>
      <c r="S104" s="399">
        <v>158.36000000000001</v>
      </c>
      <c r="T104" s="399">
        <v>171.61</v>
      </c>
      <c r="U104" s="399"/>
      <c r="V104" s="399">
        <v>6421.2162000000008</v>
      </c>
      <c r="W104" s="399">
        <v>6421.2162000000008</v>
      </c>
      <c r="X104" s="399">
        <v>6574.3664000000008</v>
      </c>
      <c r="Y104" s="399">
        <v>0</v>
      </c>
      <c r="Z104" s="399">
        <v>0</v>
      </c>
      <c r="AA104" s="399">
        <v>0</v>
      </c>
      <c r="AB104" s="399">
        <v>0</v>
      </c>
      <c r="AC104" s="399">
        <v>0</v>
      </c>
      <c r="AD104" s="399">
        <v>1037.918424329607</v>
      </c>
      <c r="AE104" s="399">
        <v>1724.4425727844045</v>
      </c>
      <c r="AF104" s="399">
        <v>3218.1824710756659</v>
      </c>
      <c r="AG104" s="399">
        <v>121.3400461815319</v>
      </c>
      <c r="AH104" s="399">
        <v>0</v>
      </c>
      <c r="AI104" s="399">
        <v>0</v>
      </c>
      <c r="AJ104" s="399">
        <v>0</v>
      </c>
      <c r="AK104" s="399">
        <v>0</v>
      </c>
      <c r="AL104" s="399">
        <v>0</v>
      </c>
      <c r="AM104" s="399"/>
      <c r="AN104" s="399">
        <v>7.7071650392913034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311.55290547480598</v>
      </c>
      <c r="BH104" s="399">
        <v>0</v>
      </c>
      <c r="BI104" s="399">
        <v>0</v>
      </c>
      <c r="BJ104" s="399">
        <v>0</v>
      </c>
      <c r="BK104" s="399">
        <v>1472.26</v>
      </c>
      <c r="BL104" s="399">
        <v>85</v>
      </c>
      <c r="BM104" s="399"/>
      <c r="BN104" s="399"/>
      <c r="BO104" s="399"/>
      <c r="BP104" s="399"/>
      <c r="BQ104" s="399"/>
      <c r="BR104" s="399"/>
      <c r="BS104" s="399"/>
      <c r="BT104" s="399">
        <v>657.35879999999997</v>
      </c>
      <c r="BU104" s="399"/>
      <c r="BV104" s="399">
        <v>3529.7353765504718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5917.0076000000008</v>
      </c>
      <c r="CJ104" s="399">
        <v>137.9413999999997</v>
      </c>
      <c r="CK104" s="399"/>
      <c r="CL104" s="399"/>
      <c r="CM104" s="399"/>
      <c r="CN104" s="399"/>
      <c r="CO104" s="399">
        <v>-284.8944000000003</v>
      </c>
      <c r="CP104" s="399">
        <v>438.04459999999983</v>
      </c>
      <c r="CQ104" s="399">
        <v>30</v>
      </c>
      <c r="CR104" s="399">
        <v>526.09973188069853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46.74019127432598</v>
      </c>
      <c r="DA104" s="399">
        <v>0</v>
      </c>
      <c r="DB104" s="399">
        <v>0</v>
      </c>
      <c r="DC104" s="399">
        <v>438.14864581767915</v>
      </c>
      <c r="DD104" s="399">
        <v>0</v>
      </c>
      <c r="DE104" s="399">
        <v>0</v>
      </c>
      <c r="DF104" s="399">
        <v>0</v>
      </c>
      <c r="DG104" s="399">
        <v>42.417260320457274</v>
      </c>
      <c r="DH104" s="399">
        <v>0</v>
      </c>
      <c r="DI104" s="399">
        <v>0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0</v>
      </c>
      <c r="DP104" s="399">
        <v>-1.2063655317651127</v>
      </c>
      <c r="DQ104" s="399">
        <v>0</v>
      </c>
      <c r="DR104" s="399">
        <v>0</v>
      </c>
      <c r="DS104" s="399"/>
      <c r="DT104" s="399"/>
      <c r="DU104" s="399"/>
      <c r="DV104" s="399">
        <v>1724.4425727844045</v>
      </c>
      <c r="DW104" s="399">
        <v>0</v>
      </c>
      <c r="DX104" s="399">
        <v>0</v>
      </c>
      <c r="DY104" s="399">
        <v>-284.89440000000013</v>
      </c>
      <c r="DZ104" s="399">
        <v>438.04459999999972</v>
      </c>
      <c r="EA104" s="399">
        <v>0</v>
      </c>
      <c r="EB104" s="399">
        <v>0</v>
      </c>
      <c r="EC104" s="399">
        <v>-372.81517986531094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215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21" customFormat="1">
      <c r="A105" s="399">
        <v>103</v>
      </c>
      <c r="B105" s="399" t="s">
        <v>956</v>
      </c>
      <c r="C105" s="399" t="s">
        <v>2343</v>
      </c>
      <c r="D105" s="399" t="s">
        <v>1823</v>
      </c>
      <c r="E105" s="399" t="s">
        <v>889</v>
      </c>
      <c r="F105" s="399" t="s">
        <v>2350</v>
      </c>
      <c r="G105" s="399" t="s">
        <v>1239</v>
      </c>
      <c r="H105" s="399" t="s">
        <v>1239</v>
      </c>
      <c r="I105" s="399" t="s">
        <v>1239</v>
      </c>
      <c r="J105" s="399" t="s">
        <v>2344</v>
      </c>
      <c r="K105" s="791">
        <v>44501</v>
      </c>
      <c r="L105" s="399">
        <v>0</v>
      </c>
      <c r="M105" s="399">
        <v>0</v>
      </c>
      <c r="N105" s="399">
        <v>14.26</v>
      </c>
      <c r="O105" s="399">
        <v>14.26</v>
      </c>
      <c r="P105" s="399">
        <v>14.26</v>
      </c>
      <c r="Q105" s="399">
        <v>14.26</v>
      </c>
      <c r="R105" s="399"/>
      <c r="S105" s="399">
        <v>158.36000000000001</v>
      </c>
      <c r="T105" s="399">
        <v>171.61</v>
      </c>
      <c r="U105" s="399"/>
      <c r="V105" s="399">
        <v>4705.3721999999998</v>
      </c>
      <c r="W105" s="399">
        <v>4705.3721999999998</v>
      </c>
      <c r="X105" s="399">
        <v>4817.5984000000008</v>
      </c>
      <c r="Y105" s="399">
        <v>0</v>
      </c>
      <c r="Z105" s="399">
        <v>0</v>
      </c>
      <c r="AA105" s="399">
        <v>0</v>
      </c>
      <c r="AB105" s="399">
        <v>0</v>
      </c>
      <c r="AC105" s="399">
        <v>0</v>
      </c>
      <c r="AD105" s="399">
        <v>760.57126058274378</v>
      </c>
      <c r="AE105" s="399">
        <v>1263.6459962952522</v>
      </c>
      <c r="AF105" s="399">
        <v>2358.2364870266697</v>
      </c>
      <c r="AG105" s="399">
        <v>88.916190059025936</v>
      </c>
      <c r="AH105" s="399">
        <v>0</v>
      </c>
      <c r="AI105" s="399">
        <v>0</v>
      </c>
      <c r="AJ105" s="399">
        <v>0</v>
      </c>
      <c r="AK105" s="399">
        <v>0</v>
      </c>
      <c r="AL105" s="399">
        <v>0</v>
      </c>
      <c r="AM105" s="399"/>
      <c r="AN105" s="399">
        <v>5.6476964779184984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228.30135827701608</v>
      </c>
      <c r="BH105" s="399">
        <v>0</v>
      </c>
      <c r="BI105" s="399">
        <v>0</v>
      </c>
      <c r="BJ105" s="399">
        <v>0</v>
      </c>
      <c r="BK105" s="399">
        <v>1857.98</v>
      </c>
      <c r="BL105" s="399">
        <v>113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2586.5378453036856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4817.5984000000008</v>
      </c>
      <c r="CJ105" s="399">
        <v>112.19620000000032</v>
      </c>
      <c r="CK105" s="399"/>
      <c r="CL105" s="399"/>
      <c r="CM105" s="399"/>
      <c r="CN105" s="399"/>
      <c r="CO105" s="399">
        <v>-208.7664000000002</v>
      </c>
      <c r="CP105" s="399">
        <v>320.99259999999987</v>
      </c>
      <c r="CQ105" s="399">
        <v>30</v>
      </c>
      <c r="CR105" s="399">
        <v>385.5180974624227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34.250520430210145</v>
      </c>
      <c r="DA105" s="399">
        <v>0</v>
      </c>
      <c r="DB105" s="399">
        <v>0</v>
      </c>
      <c r="DC105" s="399">
        <v>321.06884323535996</v>
      </c>
      <c r="DD105" s="399">
        <v>0</v>
      </c>
      <c r="DE105" s="399">
        <v>0</v>
      </c>
      <c r="DF105" s="399">
        <v>0</v>
      </c>
      <c r="DG105" s="399">
        <v>31.082740604816053</v>
      </c>
      <c r="DH105" s="399">
        <v>0</v>
      </c>
      <c r="DI105" s="399">
        <v>0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0</v>
      </c>
      <c r="DP105" s="399">
        <v>-0.88400680796354081</v>
      </c>
      <c r="DQ105" s="399">
        <v>0</v>
      </c>
      <c r="DR105" s="399">
        <v>0</v>
      </c>
      <c r="DS105" s="399"/>
      <c r="DT105" s="399"/>
      <c r="DU105" s="399"/>
      <c r="DV105" s="399">
        <v>1263.6459962952522</v>
      </c>
      <c r="DW105" s="399">
        <v>0</v>
      </c>
      <c r="DX105" s="399">
        <v>0</v>
      </c>
      <c r="DY105" s="399">
        <v>-208.76639999999998</v>
      </c>
      <c r="DZ105" s="399">
        <v>320.99260000000004</v>
      </c>
      <c r="EA105" s="399">
        <v>0</v>
      </c>
      <c r="EB105" s="399">
        <v>0</v>
      </c>
      <c r="EC105" s="399">
        <v>-273.19344629390207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215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21" customFormat="1">
      <c r="A106" s="399">
        <v>104</v>
      </c>
      <c r="B106" s="399" t="s">
        <v>956</v>
      </c>
      <c r="C106" s="399" t="s">
        <v>2343</v>
      </c>
      <c r="D106" s="399" t="s">
        <v>1826</v>
      </c>
      <c r="E106" s="399" t="s">
        <v>890</v>
      </c>
      <c r="F106" s="399" t="s">
        <v>1239</v>
      </c>
      <c r="G106" s="399" t="s">
        <v>1239</v>
      </c>
      <c r="H106" s="399" t="s">
        <v>1239</v>
      </c>
      <c r="I106" s="399" t="s">
        <v>1239</v>
      </c>
      <c r="J106" s="399" t="s">
        <v>2344</v>
      </c>
      <c r="K106" s="791">
        <v>44501</v>
      </c>
      <c r="L106" s="399">
        <v>0</v>
      </c>
      <c r="M106" s="399">
        <v>0</v>
      </c>
      <c r="N106" s="399">
        <v>241.899</v>
      </c>
      <c r="O106" s="399">
        <v>241.899</v>
      </c>
      <c r="P106" s="399">
        <v>241.899</v>
      </c>
      <c r="Q106" s="399">
        <v>241.899</v>
      </c>
      <c r="R106" s="399"/>
      <c r="S106" s="399">
        <v>239.69</v>
      </c>
      <c r="T106" s="399">
        <v>171.61</v>
      </c>
      <c r="U106" s="399"/>
      <c r="V106" s="399">
        <v>99493.058699999994</v>
      </c>
      <c r="W106" s="399">
        <v>99493.058699999994</v>
      </c>
      <c r="X106" s="399">
        <v>99127.791209999996</v>
      </c>
      <c r="Y106" s="399">
        <v>0</v>
      </c>
      <c r="Z106" s="399">
        <v>14624.560246716888</v>
      </c>
      <c r="AA106" s="399">
        <v>0</v>
      </c>
      <c r="AB106" s="399">
        <v>0</v>
      </c>
      <c r="AC106" s="399">
        <v>0</v>
      </c>
      <c r="AD106" s="399">
        <v>12901.923377538929</v>
      </c>
      <c r="AE106" s="399">
        <v>21435.813664644123</v>
      </c>
      <c r="AF106" s="399">
        <v>40003.860306820789</v>
      </c>
      <c r="AG106" s="399">
        <v>1508.3266100342437</v>
      </c>
      <c r="AH106" s="399">
        <v>0</v>
      </c>
      <c r="AI106" s="399">
        <v>0</v>
      </c>
      <c r="AJ106" s="399">
        <v>0</v>
      </c>
      <c r="AK106" s="399">
        <v>0</v>
      </c>
      <c r="AL106" s="399">
        <v>2261.2986489448299</v>
      </c>
      <c r="AM106" s="399"/>
      <c r="AN106" s="399">
        <v>95.804497216830782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3872.7819260765718</v>
      </c>
      <c r="BH106" s="399">
        <v>0</v>
      </c>
      <c r="BI106" s="399">
        <v>0</v>
      </c>
      <c r="BJ106" s="399">
        <v>0</v>
      </c>
      <c r="BK106" s="399">
        <v>44491.72</v>
      </c>
      <c r="BL106" s="399">
        <v>79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>
        <v>43876.642232897357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99128.201000000001</v>
      </c>
      <c r="CJ106" s="399">
        <v>-364.88770000000659</v>
      </c>
      <c r="CK106" s="399"/>
      <c r="CL106" s="399"/>
      <c r="CM106" s="399"/>
      <c r="CN106" s="399"/>
      <c r="CO106" s="399">
        <v>-5810.4139800000021</v>
      </c>
      <c r="CP106" s="399">
        <v>5445.1464899999983</v>
      </c>
      <c r="CQ106" s="399">
        <v>30</v>
      </c>
      <c r="CR106" s="399">
        <v>4270.3986170530552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581.00747836938353</v>
      </c>
      <c r="DA106" s="399">
        <v>0</v>
      </c>
      <c r="DB106" s="399">
        <v>0</v>
      </c>
      <c r="DC106" s="399">
        <v>5446.4398393962329</v>
      </c>
      <c r="DD106" s="399">
        <v>0</v>
      </c>
      <c r="DE106" s="399">
        <v>0</v>
      </c>
      <c r="DF106" s="399">
        <v>0</v>
      </c>
      <c r="DG106" s="399">
        <v>527.27095859497877</v>
      </c>
      <c r="DH106" s="399">
        <v>0</v>
      </c>
      <c r="DI106" s="399">
        <v>-2008.7236189574687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-260.60022247913071</v>
      </c>
      <c r="DP106" s="399">
        <v>-14.995817870937771</v>
      </c>
      <c r="DQ106" s="399">
        <v>0</v>
      </c>
      <c r="DR106" s="399">
        <v>0</v>
      </c>
      <c r="DS106" s="399"/>
      <c r="DT106" s="399"/>
      <c r="DU106" s="399"/>
      <c r="DV106" s="399">
        <v>21435.813664644123</v>
      </c>
      <c r="DW106" s="399">
        <v>0</v>
      </c>
      <c r="DX106" s="399">
        <v>0</v>
      </c>
      <c r="DY106" s="399">
        <v>-5810.4139799999975</v>
      </c>
      <c r="DZ106" s="399">
        <v>5445.1464899999992</v>
      </c>
      <c r="EA106" s="399">
        <v>0</v>
      </c>
      <c r="EB106" s="399">
        <v>0</v>
      </c>
      <c r="EC106" s="399">
        <v>-4634.3072556135048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2788.8527476795784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215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21" customFormat="1">
      <c r="A107" s="399">
        <v>105</v>
      </c>
      <c r="B107" s="399" t="s">
        <v>2346</v>
      </c>
      <c r="C107" s="399" t="s">
        <v>2343</v>
      </c>
      <c r="D107" s="399" t="s">
        <v>1826</v>
      </c>
      <c r="E107" s="399" t="s">
        <v>890</v>
      </c>
      <c r="F107" s="399" t="s">
        <v>1239</v>
      </c>
      <c r="G107" s="399" t="s">
        <v>1239</v>
      </c>
      <c r="H107" s="399" t="s">
        <v>1239</v>
      </c>
      <c r="I107" s="399" t="s">
        <v>1239</v>
      </c>
      <c r="J107" s="399" t="s">
        <v>2344</v>
      </c>
      <c r="K107" s="791">
        <v>44501</v>
      </c>
      <c r="L107" s="399">
        <v>0</v>
      </c>
      <c r="M107" s="399">
        <v>0</v>
      </c>
      <c r="N107" s="399">
        <v>7.5039999999999996</v>
      </c>
      <c r="O107" s="399">
        <v>7.5039999999999996</v>
      </c>
      <c r="P107" s="399">
        <v>7.5039999999999996</v>
      </c>
      <c r="Q107" s="399">
        <v>7.5039999999999996</v>
      </c>
      <c r="R107" s="399"/>
      <c r="S107" s="399">
        <v>239.69</v>
      </c>
      <c r="T107" s="399">
        <v>171.61</v>
      </c>
      <c r="U107" s="399"/>
      <c r="V107" s="399">
        <v>3086.3951999999999</v>
      </c>
      <c r="W107" s="399">
        <v>3086.3951999999999</v>
      </c>
      <c r="X107" s="399">
        <v>3075.0641599999999</v>
      </c>
      <c r="Y107" s="399">
        <v>0</v>
      </c>
      <c r="Z107" s="399">
        <v>453.67157405100278</v>
      </c>
      <c r="AA107" s="399">
        <v>0</v>
      </c>
      <c r="AB107" s="399">
        <v>0</v>
      </c>
      <c r="AC107" s="399">
        <v>0</v>
      </c>
      <c r="AD107" s="399">
        <v>400.23329168393474</v>
      </c>
      <c r="AE107" s="399">
        <v>664.96490576434576</v>
      </c>
      <c r="AF107" s="399">
        <v>1240.9682046737819</v>
      </c>
      <c r="AG107" s="399">
        <v>46.790118527554746</v>
      </c>
      <c r="AH107" s="399">
        <v>0</v>
      </c>
      <c r="AI107" s="399">
        <v>0</v>
      </c>
      <c r="AJ107" s="399">
        <v>0</v>
      </c>
      <c r="AK107" s="399">
        <v>0</v>
      </c>
      <c r="AL107" s="399">
        <v>70.148223273688615</v>
      </c>
      <c r="AM107" s="399"/>
      <c r="AN107" s="399">
        <v>2.971971554719524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120.13838657157984</v>
      </c>
      <c r="BH107" s="399">
        <v>0</v>
      </c>
      <c r="BI107" s="399">
        <v>0</v>
      </c>
      <c r="BJ107" s="399">
        <v>0</v>
      </c>
      <c r="BK107" s="399">
        <v>1449.58</v>
      </c>
      <c r="BL107" s="399">
        <v>5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1361.1065912453616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3073.4250000000002</v>
      </c>
      <c r="CJ107" s="399">
        <v>-13.00019999999995</v>
      </c>
      <c r="CK107" s="399"/>
      <c r="CL107" s="399"/>
      <c r="CM107" s="399"/>
      <c r="CN107" s="399"/>
      <c r="CO107" s="399">
        <v>-180.24608000000006</v>
      </c>
      <c r="CP107" s="399">
        <v>168.91503999999992</v>
      </c>
      <c r="CQ107" s="399">
        <v>30</v>
      </c>
      <c r="CR107" s="399">
        <v>132.47293797149314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18.023555771970337</v>
      </c>
      <c r="DA107" s="399">
        <v>0</v>
      </c>
      <c r="DB107" s="399">
        <v>0</v>
      </c>
      <c r="DC107" s="399">
        <v>168.95516126494681</v>
      </c>
      <c r="DD107" s="399">
        <v>0</v>
      </c>
      <c r="DE107" s="399">
        <v>0</v>
      </c>
      <c r="DF107" s="399">
        <v>0</v>
      </c>
      <c r="DG107" s="399">
        <v>16.356583835802212</v>
      </c>
      <c r="DH107" s="399">
        <v>0</v>
      </c>
      <c r="DI107" s="399">
        <v>-62.313039891263884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-8.0841345746919018</v>
      </c>
      <c r="DP107" s="399">
        <v>-0.46518843527057596</v>
      </c>
      <c r="DQ107" s="399">
        <v>0</v>
      </c>
      <c r="DR107" s="399">
        <v>0</v>
      </c>
      <c r="DS107" s="399"/>
      <c r="DT107" s="399"/>
      <c r="DU107" s="399"/>
      <c r="DV107" s="399">
        <v>664.96490576434576</v>
      </c>
      <c r="DW107" s="399">
        <v>0</v>
      </c>
      <c r="DX107" s="399">
        <v>0</v>
      </c>
      <c r="DY107" s="399">
        <v>-180.24608000000012</v>
      </c>
      <c r="DZ107" s="399">
        <v>168.91503999999986</v>
      </c>
      <c r="EA107" s="399">
        <v>0</v>
      </c>
      <c r="EB107" s="399">
        <v>0</v>
      </c>
      <c r="EC107" s="399">
        <v>-143.76182475381768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86.513590459603208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215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21" customFormat="1">
      <c r="A108" s="399">
        <v>106</v>
      </c>
      <c r="B108" s="399" t="s">
        <v>956</v>
      </c>
      <c r="C108" s="399" t="s">
        <v>2351</v>
      </c>
      <c r="D108" s="399" t="s">
        <v>533</v>
      </c>
      <c r="E108" s="399" t="s">
        <v>890</v>
      </c>
      <c r="F108" s="399" t="s">
        <v>1239</v>
      </c>
      <c r="G108" s="399" t="s">
        <v>1239</v>
      </c>
      <c r="H108" s="399" t="s">
        <v>1239</v>
      </c>
      <c r="I108" s="399" t="s">
        <v>893</v>
      </c>
      <c r="J108" s="399" t="s">
        <v>2344</v>
      </c>
      <c r="K108" s="791">
        <v>44501</v>
      </c>
      <c r="L108" s="399">
        <v>19432</v>
      </c>
      <c r="M108" s="399">
        <v>19432</v>
      </c>
      <c r="N108" s="399">
        <v>907.28399999999999</v>
      </c>
      <c r="O108" s="399">
        <v>907.28399999999999</v>
      </c>
      <c r="P108" s="399">
        <v>907.28399999999999</v>
      </c>
      <c r="Q108" s="399">
        <v>907.28399999999999</v>
      </c>
      <c r="R108" s="399">
        <v>37.64</v>
      </c>
      <c r="S108" s="399">
        <v>78.42</v>
      </c>
      <c r="T108" s="399">
        <v>171.61</v>
      </c>
      <c r="U108" s="399">
        <v>731420.48</v>
      </c>
      <c r="V108" s="399">
        <v>226848.21851999999</v>
      </c>
      <c r="W108" s="399">
        <v>958268.69852000009</v>
      </c>
      <c r="X108" s="399">
        <v>896685.19136000006</v>
      </c>
      <c r="Y108" s="399">
        <v>0</v>
      </c>
      <c r="Z108" s="399">
        <v>47721.188105066933</v>
      </c>
      <c r="AA108" s="399">
        <v>0</v>
      </c>
      <c r="AB108" s="399">
        <v>0</v>
      </c>
      <c r="AC108" s="399">
        <v>0</v>
      </c>
      <c r="AD108" s="399">
        <v>317598.84762950923</v>
      </c>
      <c r="AE108" s="399">
        <v>413755.46030691906</v>
      </c>
      <c r="AF108" s="399">
        <v>150041.39080613642</v>
      </c>
      <c r="AG108" s="399">
        <v>5657.2395919714791</v>
      </c>
      <c r="AH108" s="399">
        <v>0</v>
      </c>
      <c r="AI108" s="399">
        <v>0</v>
      </c>
      <c r="AJ108" s="399">
        <v>0</v>
      </c>
      <c r="AK108" s="399">
        <v>0</v>
      </c>
      <c r="AL108" s="399">
        <v>8481.3913385721353</v>
      </c>
      <c r="AM108" s="399"/>
      <c r="AN108" s="399">
        <v>239.57784387981641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5608.1843959698135</v>
      </c>
      <c r="BH108" s="399">
        <v>0</v>
      </c>
      <c r="BI108" s="399">
        <v>0</v>
      </c>
      <c r="BJ108" s="399">
        <v>0</v>
      </c>
      <c r="BK108" s="399">
        <v>0</v>
      </c>
      <c r="BL108" s="399">
        <v>0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155649.57520210624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896684.13120000006</v>
      </c>
      <c r="CJ108" s="399">
        <v>-61584.597320000059</v>
      </c>
      <c r="CK108" s="399"/>
      <c r="CL108" s="399"/>
      <c r="CM108" s="399"/>
      <c r="CN108" s="399"/>
      <c r="CO108" s="399">
        <v>-82006.469999999958</v>
      </c>
      <c r="CP108" s="399">
        <v>20422.962839999993</v>
      </c>
      <c r="CQ108" s="399">
        <v>30</v>
      </c>
      <c r="CR108" s="399">
        <v>27924.103165746084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14302.309833546751</v>
      </c>
      <c r="DA108" s="399">
        <v>0</v>
      </c>
      <c r="DB108" s="399">
        <v>0</v>
      </c>
      <c r="DC108" s="399">
        <v>20427.813770403212</v>
      </c>
      <c r="DD108" s="399">
        <v>0</v>
      </c>
      <c r="DE108" s="399">
        <v>0</v>
      </c>
      <c r="DF108" s="399">
        <v>0</v>
      </c>
      <c r="DG108" s="399">
        <v>763.54228533493733</v>
      </c>
      <c r="DH108" s="399">
        <v>0</v>
      </c>
      <c r="DI108" s="399">
        <v>-6554.6365876456985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-977.4261665064987</v>
      </c>
      <c r="DP108" s="399">
        <v>-37.499969386641339</v>
      </c>
      <c r="DQ108" s="399">
        <v>0</v>
      </c>
      <c r="DR108" s="399">
        <v>0</v>
      </c>
      <c r="DS108" s="399"/>
      <c r="DT108" s="399"/>
      <c r="DU108" s="399">
        <v>413755.46030691906</v>
      </c>
      <c r="DV108" s="399">
        <v>0</v>
      </c>
      <c r="DW108" s="399">
        <v>0</v>
      </c>
      <c r="DX108" s="399">
        <v>0</v>
      </c>
      <c r="DY108" s="399">
        <v>-82006.469999999972</v>
      </c>
      <c r="DZ108" s="399">
        <v>20422.962839999993</v>
      </c>
      <c r="EA108" s="399">
        <v>0</v>
      </c>
      <c r="EB108" s="399">
        <v>0</v>
      </c>
      <c r="EC108" s="399">
        <v>-89451.698066991288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9100.2645087551773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215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21" customFormat="1">
      <c r="A109" s="399">
        <v>107</v>
      </c>
      <c r="B109" s="399" t="s">
        <v>2346</v>
      </c>
      <c r="C109" s="399" t="s">
        <v>2351</v>
      </c>
      <c r="D109" s="399" t="s">
        <v>533</v>
      </c>
      <c r="E109" s="399" t="s">
        <v>890</v>
      </c>
      <c r="F109" s="399" t="s">
        <v>1239</v>
      </c>
      <c r="G109" s="399" t="s">
        <v>1239</v>
      </c>
      <c r="H109" s="399" t="s">
        <v>1239</v>
      </c>
      <c r="I109" s="399" t="s">
        <v>893</v>
      </c>
      <c r="J109" s="399" t="s">
        <v>2344</v>
      </c>
      <c r="K109" s="791">
        <v>44501</v>
      </c>
      <c r="L109" s="399">
        <v>1321</v>
      </c>
      <c r="M109" s="399">
        <v>1321</v>
      </c>
      <c r="N109" s="399">
        <v>67.569000000000003</v>
      </c>
      <c r="O109" s="399">
        <v>67.569000000000003</v>
      </c>
      <c r="P109" s="399">
        <v>67.569000000000003</v>
      </c>
      <c r="Q109" s="399">
        <v>67.569000000000003</v>
      </c>
      <c r="R109" s="399">
        <v>37.64</v>
      </c>
      <c r="S109" s="399">
        <v>78.42</v>
      </c>
      <c r="T109" s="399">
        <v>171.61</v>
      </c>
      <c r="U109" s="399">
        <v>49722.44</v>
      </c>
      <c r="V109" s="399">
        <v>16894.27707</v>
      </c>
      <c r="W109" s="399">
        <v>66616.717069999999</v>
      </c>
      <c r="X109" s="399">
        <v>62518.657760000002</v>
      </c>
      <c r="Y109" s="399">
        <v>0</v>
      </c>
      <c r="Z109" s="399">
        <v>3553.9841538826518</v>
      </c>
      <c r="AA109" s="399">
        <v>0</v>
      </c>
      <c r="AB109" s="399">
        <v>0</v>
      </c>
      <c r="AC109" s="399">
        <v>0</v>
      </c>
      <c r="AD109" s="399">
        <v>21590.576251470855</v>
      </c>
      <c r="AE109" s="399">
        <v>28127.36532860437</v>
      </c>
      <c r="AF109" s="399">
        <v>11174.171191578196</v>
      </c>
      <c r="AG109" s="399">
        <v>421.31683352723172</v>
      </c>
      <c r="AH109" s="399">
        <v>0</v>
      </c>
      <c r="AI109" s="399">
        <v>0</v>
      </c>
      <c r="AJ109" s="399">
        <v>0</v>
      </c>
      <c r="AK109" s="399">
        <v>0</v>
      </c>
      <c r="AL109" s="399">
        <v>631.64249711885213</v>
      </c>
      <c r="AM109" s="399"/>
      <c r="AN109" s="399">
        <v>17.842302226331906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417.66350057014603</v>
      </c>
      <c r="BH109" s="399">
        <v>0</v>
      </c>
      <c r="BI109" s="399">
        <v>0</v>
      </c>
      <c r="BJ109" s="399">
        <v>0</v>
      </c>
      <c r="BK109" s="399">
        <v>0</v>
      </c>
      <c r="BL109" s="399">
        <v>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11591.834692148343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62518.9228</v>
      </c>
      <c r="CJ109" s="399">
        <v>-4097.8242699999973</v>
      </c>
      <c r="CK109" s="399"/>
      <c r="CL109" s="399"/>
      <c r="CM109" s="399"/>
      <c r="CN109" s="399"/>
      <c r="CO109" s="399">
        <v>-5619.0374999999967</v>
      </c>
      <c r="CP109" s="399">
        <v>1520.9781899999994</v>
      </c>
      <c r="CQ109" s="399">
        <v>30</v>
      </c>
      <c r="CR109" s="399">
        <v>1986.7487321915978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972.28032575727048</v>
      </c>
      <c r="DA109" s="399">
        <v>0</v>
      </c>
      <c r="DB109" s="399">
        <v>0</v>
      </c>
      <c r="DC109" s="399">
        <v>1521.339457823984</v>
      </c>
      <c r="DD109" s="399">
        <v>0</v>
      </c>
      <c r="DE109" s="399">
        <v>0</v>
      </c>
      <c r="DF109" s="399">
        <v>0</v>
      </c>
      <c r="DG109" s="399">
        <v>56.863990412920714</v>
      </c>
      <c r="DH109" s="399">
        <v>0</v>
      </c>
      <c r="DI109" s="399">
        <v>-488.14950951480705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-72.792762403699044</v>
      </c>
      <c r="DP109" s="399">
        <v>-2.792769884056117</v>
      </c>
      <c r="DQ109" s="399">
        <v>0</v>
      </c>
      <c r="DR109" s="399">
        <v>0</v>
      </c>
      <c r="DS109" s="399"/>
      <c r="DT109" s="399"/>
      <c r="DU109" s="399">
        <v>28127.36532860437</v>
      </c>
      <c r="DV109" s="399">
        <v>0</v>
      </c>
      <c r="DW109" s="399">
        <v>0</v>
      </c>
      <c r="DX109" s="399">
        <v>0</v>
      </c>
      <c r="DY109" s="399">
        <v>-5619.0374999999985</v>
      </c>
      <c r="DZ109" s="399">
        <v>1520.9781899999998</v>
      </c>
      <c r="EA109" s="399">
        <v>0</v>
      </c>
      <c r="EB109" s="399">
        <v>0</v>
      </c>
      <c r="EC109" s="399">
        <v>-6080.9846205483482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677.73241079097465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215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21" customFormat="1">
      <c r="A110" s="399">
        <v>108</v>
      </c>
      <c r="B110" s="399" t="s">
        <v>956</v>
      </c>
      <c r="C110" s="399" t="s">
        <v>2351</v>
      </c>
      <c r="D110" s="399" t="s">
        <v>533</v>
      </c>
      <c r="E110" s="399" t="s">
        <v>890</v>
      </c>
      <c r="F110" s="399" t="s">
        <v>1239</v>
      </c>
      <c r="G110" s="399" t="s">
        <v>1239</v>
      </c>
      <c r="H110" s="399" t="s">
        <v>1239</v>
      </c>
      <c r="I110" s="399" t="s">
        <v>2326</v>
      </c>
      <c r="J110" s="399" t="s">
        <v>2344</v>
      </c>
      <c r="K110" s="791">
        <v>44501</v>
      </c>
      <c r="L110" s="399">
        <v>21998</v>
      </c>
      <c r="M110" s="399">
        <v>21998</v>
      </c>
      <c r="N110" s="399">
        <v>8541.3169999999991</v>
      </c>
      <c r="O110" s="399">
        <v>8541.3169999999991</v>
      </c>
      <c r="P110" s="399">
        <v>8541.3169999999991</v>
      </c>
      <c r="Q110" s="399">
        <v>8541.3169999999991</v>
      </c>
      <c r="R110" s="399">
        <v>12.58</v>
      </c>
      <c r="S110" s="399">
        <v>78.42</v>
      </c>
      <c r="T110" s="399">
        <v>171.61</v>
      </c>
      <c r="U110" s="399">
        <v>276734.84000000003</v>
      </c>
      <c r="V110" s="399">
        <v>2135585.4895099998</v>
      </c>
      <c r="W110" s="399">
        <v>2412320.3295099996</v>
      </c>
      <c r="X110" s="399">
        <v>2518747.4776799995</v>
      </c>
      <c r="Y110" s="399">
        <v>0</v>
      </c>
      <c r="Z110" s="399">
        <v>449254.91381089709</v>
      </c>
      <c r="AA110" s="399">
        <v>0</v>
      </c>
      <c r="AB110" s="399">
        <v>0</v>
      </c>
      <c r="AC110" s="399">
        <v>0</v>
      </c>
      <c r="AD110" s="399">
        <v>145790.41241596846</v>
      </c>
      <c r="AE110" s="399">
        <v>130881.69914092981</v>
      </c>
      <c r="AF110" s="399">
        <v>1412513.7024306573</v>
      </c>
      <c r="AG110" s="399">
        <v>53258.160289368105</v>
      </c>
      <c r="AH110" s="399">
        <v>0</v>
      </c>
      <c r="AI110" s="399">
        <v>0</v>
      </c>
      <c r="AJ110" s="399">
        <v>0</v>
      </c>
      <c r="AK110" s="399">
        <v>0</v>
      </c>
      <c r="AL110" s="399">
        <v>79845.177500979771</v>
      </c>
      <c r="AM110" s="399"/>
      <c r="AN110" s="399">
        <v>2255.424223015089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52796.346811397198</v>
      </c>
      <c r="BH110" s="399">
        <v>0</v>
      </c>
      <c r="BI110" s="399">
        <v>0</v>
      </c>
      <c r="BJ110" s="399">
        <v>0</v>
      </c>
      <c r="BK110" s="399">
        <v>0</v>
      </c>
      <c r="BL110" s="399">
        <v>0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1465310.0492420546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2518748.2727999999</v>
      </c>
      <c r="CJ110" s="399">
        <v>106427.91329000005</v>
      </c>
      <c r="CK110" s="399"/>
      <c r="CL110" s="399"/>
      <c r="CM110" s="399"/>
      <c r="CN110" s="399"/>
      <c r="CO110" s="399">
        <v>-85837.897499999992</v>
      </c>
      <c r="CP110" s="399">
        <v>192265.0456699999</v>
      </c>
      <c r="CQ110" s="399">
        <v>30</v>
      </c>
      <c r="CR110" s="399">
        <v>134803.07078192104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6565.3249836917967</v>
      </c>
      <c r="DA110" s="399">
        <v>0</v>
      </c>
      <c r="DB110" s="399">
        <v>0</v>
      </c>
      <c r="DC110" s="399">
        <v>192310.71310634725</v>
      </c>
      <c r="DD110" s="399">
        <v>0</v>
      </c>
      <c r="DE110" s="399">
        <v>0</v>
      </c>
      <c r="DF110" s="399">
        <v>0</v>
      </c>
      <c r="DG110" s="399">
        <v>7188.1094585048922</v>
      </c>
      <c r="DH110" s="399">
        <v>0</v>
      </c>
      <c r="DI110" s="399">
        <v>-61706.399445906922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-9201.6465982281079</v>
      </c>
      <c r="DP110" s="399">
        <v>-353.03072248777607</v>
      </c>
      <c r="DQ110" s="399">
        <v>0</v>
      </c>
      <c r="DR110" s="399">
        <v>0</v>
      </c>
      <c r="DS110" s="399"/>
      <c r="DT110" s="399"/>
      <c r="DU110" s="399">
        <v>130881.69914092981</v>
      </c>
      <c r="DV110" s="399">
        <v>0</v>
      </c>
      <c r="DW110" s="399">
        <v>0</v>
      </c>
      <c r="DX110" s="399">
        <v>0</v>
      </c>
      <c r="DY110" s="399">
        <v>-85837.897499999963</v>
      </c>
      <c r="DZ110" s="399">
        <v>192265.0456699999</v>
      </c>
      <c r="EA110" s="399">
        <v>0</v>
      </c>
      <c r="EB110" s="399">
        <v>0</v>
      </c>
      <c r="EC110" s="399">
        <v>-28295.917171376699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85671.348721158138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215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21" customFormat="1">
      <c r="A111" s="399">
        <v>109</v>
      </c>
      <c r="B111" s="399" t="s">
        <v>2346</v>
      </c>
      <c r="C111" s="399" t="s">
        <v>2351</v>
      </c>
      <c r="D111" s="399" t="s">
        <v>533</v>
      </c>
      <c r="E111" s="399" t="s">
        <v>890</v>
      </c>
      <c r="F111" s="399" t="s">
        <v>1239</v>
      </c>
      <c r="G111" s="399" t="s">
        <v>1239</v>
      </c>
      <c r="H111" s="399" t="s">
        <v>1239</v>
      </c>
      <c r="I111" s="399" t="s">
        <v>2326</v>
      </c>
      <c r="J111" s="399" t="s">
        <v>2344</v>
      </c>
      <c r="K111" s="791">
        <v>44501</v>
      </c>
      <c r="L111" s="399">
        <v>1326</v>
      </c>
      <c r="M111" s="399">
        <v>1326</v>
      </c>
      <c r="N111" s="399">
        <v>622.34699999999998</v>
      </c>
      <c r="O111" s="399">
        <v>622.34699999999998</v>
      </c>
      <c r="P111" s="399">
        <v>622.34699999999998</v>
      </c>
      <c r="Q111" s="399">
        <v>622.34699999999998</v>
      </c>
      <c r="R111" s="399">
        <v>12.58</v>
      </c>
      <c r="S111" s="399">
        <v>78.42</v>
      </c>
      <c r="T111" s="399">
        <v>171.61</v>
      </c>
      <c r="U111" s="399">
        <v>16681.080000000002</v>
      </c>
      <c r="V111" s="399">
        <v>155605.42040999999</v>
      </c>
      <c r="W111" s="399">
        <v>172286.50041000001</v>
      </c>
      <c r="X111" s="399">
        <v>180315.18888</v>
      </c>
      <c r="Y111" s="399">
        <v>0</v>
      </c>
      <c r="Z111" s="399">
        <v>32734.114404777436</v>
      </c>
      <c r="AA111" s="399">
        <v>0</v>
      </c>
      <c r="AB111" s="399">
        <v>0</v>
      </c>
      <c r="AC111" s="399">
        <v>0</v>
      </c>
      <c r="AD111" s="399">
        <v>8787.9846742237551</v>
      </c>
      <c r="AE111" s="399">
        <v>7889.3141676912865</v>
      </c>
      <c r="AF111" s="399">
        <v>102920.15448748856</v>
      </c>
      <c r="AG111" s="399">
        <v>3880.5556896679254</v>
      </c>
      <c r="AH111" s="399">
        <v>0</v>
      </c>
      <c r="AI111" s="399">
        <v>0</v>
      </c>
      <c r="AJ111" s="399">
        <v>0</v>
      </c>
      <c r="AK111" s="399">
        <v>0</v>
      </c>
      <c r="AL111" s="399">
        <v>5817.7686979891114</v>
      </c>
      <c r="AM111" s="399"/>
      <c r="AN111" s="399">
        <v>164.33724435245426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3846.906519103859</v>
      </c>
      <c r="BH111" s="399">
        <v>0</v>
      </c>
      <c r="BI111" s="399">
        <v>0</v>
      </c>
      <c r="BJ111" s="399">
        <v>0</v>
      </c>
      <c r="BK111" s="399">
        <v>0</v>
      </c>
      <c r="BL111" s="399">
        <v>0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106767.06100659241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180315.984</v>
      </c>
      <c r="CJ111" s="399">
        <v>8029.4535899999901</v>
      </c>
      <c r="CK111" s="399"/>
      <c r="CL111" s="399"/>
      <c r="CM111" s="399"/>
      <c r="CN111" s="399"/>
      <c r="CO111" s="399">
        <v>-5980.3425000000007</v>
      </c>
      <c r="CP111" s="399">
        <v>14009.030969999994</v>
      </c>
      <c r="CQ111" s="399">
        <v>30</v>
      </c>
      <c r="CR111" s="399">
        <v>9739.5481967236265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395.74601910970523</v>
      </c>
      <c r="DA111" s="399">
        <v>0</v>
      </c>
      <c r="DB111" s="399">
        <v>0</v>
      </c>
      <c r="DC111" s="399">
        <v>14012.358441865115</v>
      </c>
      <c r="DD111" s="399">
        <v>0</v>
      </c>
      <c r="DE111" s="399">
        <v>0</v>
      </c>
      <c r="DF111" s="399">
        <v>0</v>
      </c>
      <c r="DG111" s="399">
        <v>523.74807739510652</v>
      </c>
      <c r="DH111" s="399">
        <v>0</v>
      </c>
      <c r="DI111" s="399">
        <v>-4496.1207476507225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-670.46067432779637</v>
      </c>
      <c r="DP111" s="399">
        <v>-25.722919667786584</v>
      </c>
      <c r="DQ111" s="399">
        <v>0</v>
      </c>
      <c r="DR111" s="399">
        <v>0</v>
      </c>
      <c r="DS111" s="399"/>
      <c r="DT111" s="399"/>
      <c r="DU111" s="399">
        <v>7889.3141676912865</v>
      </c>
      <c r="DV111" s="399">
        <v>0</v>
      </c>
      <c r="DW111" s="399">
        <v>0</v>
      </c>
      <c r="DX111" s="399">
        <v>0</v>
      </c>
      <c r="DY111" s="399">
        <v>-5980.3424999999916</v>
      </c>
      <c r="DZ111" s="399">
        <v>14009.030969999993</v>
      </c>
      <c r="EA111" s="399">
        <v>0</v>
      </c>
      <c r="EB111" s="399">
        <v>0</v>
      </c>
      <c r="EC111" s="399">
        <v>-1705.6271556162155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6242.2817069740659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215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21" customFormat="1">
      <c r="A112" s="399">
        <v>110</v>
      </c>
      <c r="B112" s="399" t="s">
        <v>956</v>
      </c>
      <c r="C112" s="399" t="s">
        <v>2351</v>
      </c>
      <c r="D112" s="399" t="s">
        <v>533</v>
      </c>
      <c r="E112" s="399" t="s">
        <v>890</v>
      </c>
      <c r="F112" s="399" t="s">
        <v>1239</v>
      </c>
      <c r="G112" s="399" t="s">
        <v>1239</v>
      </c>
      <c r="H112" s="399" t="s">
        <v>1239</v>
      </c>
      <c r="I112" s="399" t="s">
        <v>1239</v>
      </c>
      <c r="J112" s="399" t="s">
        <v>2344</v>
      </c>
      <c r="K112" s="791">
        <v>44501</v>
      </c>
      <c r="L112" s="399">
        <v>0</v>
      </c>
      <c r="M112" s="399">
        <v>0</v>
      </c>
      <c r="N112" s="399">
        <v>0</v>
      </c>
      <c r="O112" s="399">
        <v>0</v>
      </c>
      <c r="P112" s="399">
        <v>0</v>
      </c>
      <c r="Q112" s="399">
        <v>0</v>
      </c>
      <c r="R112" s="399"/>
      <c r="S112" s="399"/>
      <c r="T112" s="399"/>
      <c r="U112" s="399"/>
      <c r="V112" s="399"/>
      <c r="W112" s="399"/>
      <c r="X112" s="399"/>
      <c r="Y112" s="399"/>
      <c r="Z112" s="399"/>
      <c r="AA112" s="399">
        <v>0</v>
      </c>
      <c r="AB112" s="399"/>
      <c r="AC112" s="399"/>
      <c r="AD112" s="399"/>
      <c r="AE112" s="399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  <c r="AR112" s="399"/>
      <c r="AS112" s="399"/>
      <c r="AT112" s="399"/>
      <c r="AU112" s="399"/>
      <c r="AV112" s="399"/>
      <c r="AW112" s="399"/>
      <c r="AX112" s="399"/>
      <c r="AY112" s="399"/>
      <c r="AZ112" s="399">
        <v>0</v>
      </c>
      <c r="BA112" s="399"/>
      <c r="BB112" s="399"/>
      <c r="BC112" s="399"/>
      <c r="BD112" s="399"/>
      <c r="BE112" s="399"/>
      <c r="BF112" s="399"/>
      <c r="BG112" s="399"/>
      <c r="BH112" s="399"/>
      <c r="BI112" s="399">
        <v>0</v>
      </c>
      <c r="BJ112" s="399">
        <v>0</v>
      </c>
      <c r="BK112" s="399">
        <v>1572919.49</v>
      </c>
      <c r="BL112" s="399">
        <v>22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/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/>
      <c r="CJ112" s="399">
        <v>-0.03</v>
      </c>
      <c r="CK112" s="399"/>
      <c r="CL112" s="399"/>
      <c r="CM112" s="399"/>
      <c r="CN112" s="399"/>
      <c r="CO112" s="399">
        <v>0</v>
      </c>
      <c r="CP112" s="399">
        <v>0</v>
      </c>
      <c r="CQ112" s="399">
        <v>30</v>
      </c>
      <c r="CR112" s="399"/>
      <c r="CS112" s="399"/>
      <c r="CT112" s="399"/>
      <c r="CU112" s="399"/>
      <c r="CV112" s="399"/>
      <c r="CW112" s="399"/>
      <c r="CX112" s="399"/>
      <c r="CY112" s="399"/>
      <c r="CZ112" s="399"/>
      <c r="DA112" s="399"/>
      <c r="DB112" s="399"/>
      <c r="DC112" s="399"/>
      <c r="DD112" s="399"/>
      <c r="DE112" s="399"/>
      <c r="DF112" s="399"/>
      <c r="DG112" s="399"/>
      <c r="DH112" s="399"/>
      <c r="DI112" s="399"/>
      <c r="DJ112" s="399"/>
      <c r="DK112" s="399">
        <v>0</v>
      </c>
      <c r="DL112" s="399"/>
      <c r="DM112" s="399"/>
      <c r="DN112" s="399"/>
      <c r="DO112" s="399"/>
      <c r="DP112" s="399"/>
      <c r="DQ112" s="399"/>
      <c r="DR112" s="399"/>
      <c r="DS112" s="399"/>
      <c r="DT112" s="399"/>
      <c r="DU112" s="399"/>
      <c r="DV112" s="399"/>
      <c r="DW112" s="399"/>
      <c r="DX112" s="399"/>
      <c r="DY112" s="399"/>
      <c r="DZ112" s="399"/>
      <c r="EA112" s="399"/>
      <c r="EB112" s="399"/>
      <c r="EC112" s="399"/>
      <c r="ED112" s="399"/>
      <c r="EE112" s="399"/>
      <c r="EF112" s="399"/>
      <c r="EG112" s="399"/>
      <c r="EH112" s="399"/>
      <c r="EI112" s="399"/>
      <c r="EJ112" s="399"/>
      <c r="EK112" s="399"/>
      <c r="EL112" s="399"/>
      <c r="EM112" s="399"/>
      <c r="EN112" s="399"/>
      <c r="EO112" s="399"/>
      <c r="EP112" s="399"/>
      <c r="EQ112" s="399"/>
      <c r="ER112" s="399"/>
      <c r="ES112" s="399"/>
      <c r="ET112" s="399"/>
      <c r="EU112" s="399"/>
      <c r="EV112" s="399">
        <v>215</v>
      </c>
      <c r="EW112" s="399"/>
      <c r="EX112" s="399"/>
      <c r="EY112" s="399"/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21" customFormat="1">
      <c r="A113" s="399">
        <v>111</v>
      </c>
      <c r="B113" s="399" t="s">
        <v>2346</v>
      </c>
      <c r="C113" s="399" t="s">
        <v>2351</v>
      </c>
      <c r="D113" s="399" t="s">
        <v>533</v>
      </c>
      <c r="E113" s="399" t="s">
        <v>890</v>
      </c>
      <c r="F113" s="399" t="s">
        <v>1239</v>
      </c>
      <c r="G113" s="399" t="s">
        <v>1239</v>
      </c>
      <c r="H113" s="399" t="s">
        <v>1239</v>
      </c>
      <c r="I113" s="399" t="s">
        <v>1239</v>
      </c>
      <c r="J113" s="399" t="s">
        <v>2344</v>
      </c>
      <c r="K113" s="791">
        <v>44501</v>
      </c>
      <c r="L113" s="399">
        <v>0</v>
      </c>
      <c r="M113" s="399">
        <v>0</v>
      </c>
      <c r="N113" s="399">
        <v>0</v>
      </c>
      <c r="O113" s="399">
        <v>0</v>
      </c>
      <c r="P113" s="399">
        <v>0</v>
      </c>
      <c r="Q113" s="399">
        <v>0</v>
      </c>
      <c r="R113" s="399"/>
      <c r="S113" s="399"/>
      <c r="T113" s="399"/>
      <c r="U113" s="399"/>
      <c r="V113" s="399"/>
      <c r="W113" s="399"/>
      <c r="X113" s="399"/>
      <c r="Y113" s="399"/>
      <c r="Z113" s="399"/>
      <c r="AA113" s="399">
        <v>0</v>
      </c>
      <c r="AB113" s="399"/>
      <c r="AC113" s="399"/>
      <c r="AD113" s="399"/>
      <c r="AE113" s="399"/>
      <c r="AF113" s="399"/>
      <c r="AG113" s="399"/>
      <c r="AH113" s="399"/>
      <c r="AI113" s="399"/>
      <c r="AJ113" s="399"/>
      <c r="AK113" s="399"/>
      <c r="AL113" s="399"/>
      <c r="AM113" s="399"/>
      <c r="AN113" s="399"/>
      <c r="AO113" s="399"/>
      <c r="AP113" s="399"/>
      <c r="AQ113" s="399"/>
      <c r="AR113" s="399"/>
      <c r="AS113" s="399"/>
      <c r="AT113" s="399"/>
      <c r="AU113" s="399"/>
      <c r="AV113" s="399"/>
      <c r="AW113" s="399"/>
      <c r="AX113" s="399"/>
      <c r="AY113" s="399"/>
      <c r="AZ113" s="399">
        <v>0</v>
      </c>
      <c r="BA113" s="399"/>
      <c r="BB113" s="399"/>
      <c r="BC113" s="399"/>
      <c r="BD113" s="399"/>
      <c r="BE113" s="399"/>
      <c r="BF113" s="399"/>
      <c r="BG113" s="399"/>
      <c r="BH113" s="399"/>
      <c r="BI113" s="399">
        <v>0</v>
      </c>
      <c r="BJ113" s="399">
        <v>0</v>
      </c>
      <c r="BK113" s="399">
        <v>113673.17</v>
      </c>
      <c r="BL113" s="399">
        <v>2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/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/>
      <c r="CJ113" s="399">
        <v>-0.03</v>
      </c>
      <c r="CK113" s="399"/>
      <c r="CL113" s="399"/>
      <c r="CM113" s="399"/>
      <c r="CN113" s="399"/>
      <c r="CO113" s="399">
        <v>0</v>
      </c>
      <c r="CP113" s="399">
        <v>0</v>
      </c>
      <c r="CQ113" s="399">
        <v>30</v>
      </c>
      <c r="CR113" s="399"/>
      <c r="CS113" s="399"/>
      <c r="CT113" s="399"/>
      <c r="CU113" s="399"/>
      <c r="CV113" s="399"/>
      <c r="CW113" s="399"/>
      <c r="CX113" s="399"/>
      <c r="CY113" s="399"/>
      <c r="CZ113" s="399"/>
      <c r="DA113" s="399"/>
      <c r="DB113" s="399"/>
      <c r="DC113" s="399"/>
      <c r="DD113" s="399"/>
      <c r="DE113" s="399"/>
      <c r="DF113" s="399"/>
      <c r="DG113" s="399"/>
      <c r="DH113" s="399"/>
      <c r="DI113" s="399"/>
      <c r="DJ113" s="399"/>
      <c r="DK113" s="399">
        <v>0</v>
      </c>
      <c r="DL113" s="399"/>
      <c r="DM113" s="399"/>
      <c r="DN113" s="399"/>
      <c r="DO113" s="399"/>
      <c r="DP113" s="399"/>
      <c r="DQ113" s="399"/>
      <c r="DR113" s="399"/>
      <c r="DS113" s="399"/>
      <c r="DT113" s="399"/>
      <c r="DU113" s="399"/>
      <c r="DV113" s="399"/>
      <c r="DW113" s="399"/>
      <c r="DX113" s="399"/>
      <c r="DY113" s="399"/>
      <c r="DZ113" s="399"/>
      <c r="EA113" s="399"/>
      <c r="EB113" s="399"/>
      <c r="EC113" s="399"/>
      <c r="ED113" s="399"/>
      <c r="EE113" s="399"/>
      <c r="EF113" s="399"/>
      <c r="EG113" s="399"/>
      <c r="EH113" s="399"/>
      <c r="EI113" s="399"/>
      <c r="EJ113" s="399"/>
      <c r="EK113" s="399"/>
      <c r="EL113" s="399"/>
      <c r="EM113" s="399"/>
      <c r="EN113" s="399"/>
      <c r="EO113" s="399"/>
      <c r="EP113" s="399"/>
      <c r="EQ113" s="399"/>
      <c r="ER113" s="399"/>
      <c r="ES113" s="399"/>
      <c r="ET113" s="399"/>
      <c r="EU113" s="399"/>
      <c r="EV113" s="399">
        <v>215</v>
      </c>
      <c r="EW113" s="399"/>
      <c r="EX113" s="399"/>
      <c r="EY113" s="399"/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21" customFormat="1">
      <c r="A114" s="399">
        <v>112</v>
      </c>
      <c r="B114" s="399" t="s">
        <v>956</v>
      </c>
      <c r="C114" s="399" t="s">
        <v>2352</v>
      </c>
      <c r="D114" s="399" t="s">
        <v>533</v>
      </c>
      <c r="E114" s="399" t="s">
        <v>890</v>
      </c>
      <c r="F114" s="399" t="s">
        <v>1239</v>
      </c>
      <c r="G114" s="399" t="s">
        <v>1239</v>
      </c>
      <c r="H114" s="399" t="s">
        <v>1239</v>
      </c>
      <c r="I114" s="399" t="s">
        <v>893</v>
      </c>
      <c r="J114" s="399" t="s">
        <v>2344</v>
      </c>
      <c r="K114" s="791">
        <v>44501</v>
      </c>
      <c r="L114" s="399">
        <v>0</v>
      </c>
      <c r="M114" s="399">
        <v>0</v>
      </c>
      <c r="N114" s="399">
        <v>167.90100000000001</v>
      </c>
      <c r="O114" s="399">
        <v>167.90100000000001</v>
      </c>
      <c r="P114" s="399">
        <v>167.90100000000001</v>
      </c>
      <c r="Q114" s="399">
        <v>167.90100000000001</v>
      </c>
      <c r="R114" s="399"/>
      <c r="S114" s="399">
        <v>984.21</v>
      </c>
      <c r="T114" s="399">
        <v>171.61</v>
      </c>
      <c r="U114" s="399"/>
      <c r="V114" s="399">
        <v>194063.33382000003</v>
      </c>
      <c r="W114" s="399">
        <v>194063.33382000003</v>
      </c>
      <c r="X114" s="399">
        <v>180972.09285000002</v>
      </c>
      <c r="Y114" s="399">
        <v>0</v>
      </c>
      <c r="Z114" s="399">
        <v>8831.2316805199298</v>
      </c>
      <c r="AA114" s="399">
        <v>0</v>
      </c>
      <c r="AB114" s="399">
        <v>0</v>
      </c>
      <c r="AC114" s="399">
        <v>0</v>
      </c>
      <c r="AD114" s="399">
        <v>66104.078629299722</v>
      </c>
      <c r="AE114" s="399">
        <v>85979.100165796772</v>
      </c>
      <c r="AF114" s="399">
        <v>27766.498205348173</v>
      </c>
      <c r="AG114" s="399">
        <v>1046.9226666970908</v>
      </c>
      <c r="AH114" s="399">
        <v>0</v>
      </c>
      <c r="AI114" s="399">
        <v>0</v>
      </c>
      <c r="AJ114" s="399">
        <v>0</v>
      </c>
      <c r="AK114" s="399">
        <v>0</v>
      </c>
      <c r="AL114" s="399">
        <v>1569.5571476380055</v>
      </c>
      <c r="AM114" s="399"/>
      <c r="AN114" s="399">
        <v>44.336017790752464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1037.8445649517987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28804.342770299972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180971.01500000001</v>
      </c>
      <c r="CJ114" s="399">
        <v>-13092.348820000043</v>
      </c>
      <c r="CK114" s="399"/>
      <c r="CL114" s="399"/>
      <c r="CM114" s="399"/>
      <c r="CN114" s="399"/>
      <c r="CO114" s="399">
        <v>-16870.692480000005</v>
      </c>
      <c r="CP114" s="399">
        <v>3779.4515099999985</v>
      </c>
      <c r="CQ114" s="399">
        <v>30</v>
      </c>
      <c r="CR114" s="399">
        <v>5497.6745946330775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2976.8401896731957</v>
      </c>
      <c r="DA114" s="399">
        <v>0</v>
      </c>
      <c r="DB114" s="399">
        <v>0</v>
      </c>
      <c r="DC114" s="399">
        <v>3780.3492179565328</v>
      </c>
      <c r="DD114" s="399">
        <v>0</v>
      </c>
      <c r="DE114" s="399">
        <v>0</v>
      </c>
      <c r="DF114" s="399">
        <v>0</v>
      </c>
      <c r="DG114" s="399">
        <v>141.30031307729587</v>
      </c>
      <c r="DH114" s="399">
        <v>0</v>
      </c>
      <c r="DI114" s="399">
        <v>-1212.993988323723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-180.88143379868666</v>
      </c>
      <c r="DP114" s="399">
        <v>-6.9397039515592311</v>
      </c>
      <c r="DQ114" s="399">
        <v>0</v>
      </c>
      <c r="DR114" s="399">
        <v>0</v>
      </c>
      <c r="DS114" s="399"/>
      <c r="DT114" s="399"/>
      <c r="DU114" s="399"/>
      <c r="DV114" s="399">
        <v>85979.100165796772</v>
      </c>
      <c r="DW114" s="399">
        <v>0</v>
      </c>
      <c r="DX114" s="399">
        <v>0</v>
      </c>
      <c r="DY114" s="399">
        <v>-16870.692479999998</v>
      </c>
      <c r="DZ114" s="399">
        <v>3779.451509999999</v>
      </c>
      <c r="EA114" s="399">
        <v>0</v>
      </c>
      <c r="EB114" s="399">
        <v>0</v>
      </c>
      <c r="EC114" s="399">
        <v>-18588.217548591347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1684.0851500572073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215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21" customFormat="1">
      <c r="A115" s="399">
        <v>113</v>
      </c>
      <c r="B115" s="399" t="s">
        <v>2346</v>
      </c>
      <c r="C115" s="399" t="s">
        <v>2352</v>
      </c>
      <c r="D115" s="399" t="s">
        <v>533</v>
      </c>
      <c r="E115" s="399" t="s">
        <v>890</v>
      </c>
      <c r="F115" s="399" t="s">
        <v>1239</v>
      </c>
      <c r="G115" s="399" t="s">
        <v>1239</v>
      </c>
      <c r="H115" s="399" t="s">
        <v>1239</v>
      </c>
      <c r="I115" s="399" t="s">
        <v>893</v>
      </c>
      <c r="J115" s="399" t="s">
        <v>2344</v>
      </c>
      <c r="K115" s="791">
        <v>44501</v>
      </c>
      <c r="L115" s="399">
        <v>0</v>
      </c>
      <c r="M115" s="399">
        <v>0</v>
      </c>
      <c r="N115" s="399">
        <v>1.131</v>
      </c>
      <c r="O115" s="399">
        <v>1.131</v>
      </c>
      <c r="P115" s="399">
        <v>1.131</v>
      </c>
      <c r="Q115" s="399">
        <v>1.131</v>
      </c>
      <c r="R115" s="399"/>
      <c r="S115" s="399">
        <v>984.21</v>
      </c>
      <c r="T115" s="399">
        <v>171.61</v>
      </c>
      <c r="U115" s="399"/>
      <c r="V115" s="399">
        <v>1307.2324200000003</v>
      </c>
      <c r="W115" s="399">
        <v>1307.2324200000003</v>
      </c>
      <c r="X115" s="399">
        <v>1219.04835</v>
      </c>
      <c r="Y115" s="399">
        <v>0</v>
      </c>
      <c r="Z115" s="399">
        <v>59.488168805832245</v>
      </c>
      <c r="AA115" s="399">
        <v>0</v>
      </c>
      <c r="AB115" s="399">
        <v>0</v>
      </c>
      <c r="AC115" s="399">
        <v>0</v>
      </c>
      <c r="AD115" s="399">
        <v>445.28450056722698</v>
      </c>
      <c r="AE115" s="399">
        <v>579.16487863393388</v>
      </c>
      <c r="AF115" s="399">
        <v>187.03825153065665</v>
      </c>
      <c r="AG115" s="399">
        <v>7.0521887066450448</v>
      </c>
      <c r="AH115" s="399">
        <v>0</v>
      </c>
      <c r="AI115" s="399">
        <v>0</v>
      </c>
      <c r="AJ115" s="399">
        <v>0</v>
      </c>
      <c r="AK115" s="399">
        <v>0</v>
      </c>
      <c r="AL115" s="399">
        <v>10.572713289251311</v>
      </c>
      <c r="AM115" s="399"/>
      <c r="AN115" s="399">
        <v>0.2986523970753065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6.9910375933465811</v>
      </c>
      <c r="BH115" s="399">
        <v>0</v>
      </c>
      <c r="BI115" s="399">
        <v>0</v>
      </c>
      <c r="BJ115" s="399">
        <v>0</v>
      </c>
      <c r="BK115" s="399">
        <v>0</v>
      </c>
      <c r="BL115" s="399">
        <v>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194.02928912400324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1217.9704999999999</v>
      </c>
      <c r="CJ115" s="399">
        <v>-89.291920000000346</v>
      </c>
      <c r="CK115" s="399"/>
      <c r="CL115" s="399"/>
      <c r="CM115" s="399"/>
      <c r="CN115" s="399"/>
      <c r="CO115" s="399">
        <v>-113.64288000000002</v>
      </c>
      <c r="CP115" s="399">
        <v>25.458809999999989</v>
      </c>
      <c r="CQ115" s="399">
        <v>30</v>
      </c>
      <c r="CR115" s="399">
        <v>37.032953743753751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20.052329971354482</v>
      </c>
      <c r="DA115" s="399">
        <v>0</v>
      </c>
      <c r="DB115" s="399">
        <v>0</v>
      </c>
      <c r="DC115" s="399">
        <v>25.464857061654413</v>
      </c>
      <c r="DD115" s="399">
        <v>0</v>
      </c>
      <c r="DE115" s="399">
        <v>0</v>
      </c>
      <c r="DF115" s="399">
        <v>0</v>
      </c>
      <c r="DG115" s="399">
        <v>0.95181478425037103</v>
      </c>
      <c r="DH115" s="399">
        <v>0</v>
      </c>
      <c r="DI115" s="399">
        <v>-8.1708637875541541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-1.2184376604446374</v>
      </c>
      <c r="DP115" s="399">
        <v>-4.6746625506777773E-2</v>
      </c>
      <c r="DQ115" s="399">
        <v>0</v>
      </c>
      <c r="DR115" s="399">
        <v>0</v>
      </c>
      <c r="DS115" s="399"/>
      <c r="DT115" s="399"/>
      <c r="DU115" s="399"/>
      <c r="DV115" s="399">
        <v>579.16487863393388</v>
      </c>
      <c r="DW115" s="399">
        <v>0</v>
      </c>
      <c r="DX115" s="399">
        <v>0</v>
      </c>
      <c r="DY115" s="399">
        <v>-113.6428800000001</v>
      </c>
      <c r="DZ115" s="399">
        <v>25.45881</v>
      </c>
      <c r="EA115" s="399">
        <v>0</v>
      </c>
      <c r="EB115" s="399">
        <v>0</v>
      </c>
      <c r="EC115" s="399">
        <v>-125.21232182927321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11.34418678098821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215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21" customFormat="1">
      <c r="A116" s="399">
        <v>114</v>
      </c>
      <c r="B116" s="399" t="s">
        <v>956</v>
      </c>
      <c r="C116" s="399" t="s">
        <v>2352</v>
      </c>
      <c r="D116" s="399" t="s">
        <v>533</v>
      </c>
      <c r="E116" s="399" t="s">
        <v>890</v>
      </c>
      <c r="F116" s="399" t="s">
        <v>1239</v>
      </c>
      <c r="G116" s="399" t="s">
        <v>1239</v>
      </c>
      <c r="H116" s="399" t="s">
        <v>1239</v>
      </c>
      <c r="I116" s="399" t="s">
        <v>2326</v>
      </c>
      <c r="J116" s="399" t="s">
        <v>2344</v>
      </c>
      <c r="K116" s="791">
        <v>44501</v>
      </c>
      <c r="L116" s="399">
        <v>0</v>
      </c>
      <c r="M116" s="399">
        <v>0</v>
      </c>
      <c r="N116" s="399">
        <v>2013.1569999999999</v>
      </c>
      <c r="O116" s="399">
        <v>2013.1569999999999</v>
      </c>
      <c r="P116" s="399">
        <v>2013.1569999999999</v>
      </c>
      <c r="Q116" s="399">
        <v>2013.1569999999999</v>
      </c>
      <c r="R116" s="399"/>
      <c r="S116" s="399">
        <v>78.42</v>
      </c>
      <c r="T116" s="399">
        <v>171.61</v>
      </c>
      <c r="U116" s="399"/>
      <c r="V116" s="399">
        <v>503349.64471000002</v>
      </c>
      <c r="W116" s="399">
        <v>503349.64471000002</v>
      </c>
      <c r="X116" s="399">
        <v>533567.13127999997</v>
      </c>
      <c r="Y116" s="399">
        <v>0</v>
      </c>
      <c r="Z116" s="399">
        <v>105887.73072382213</v>
      </c>
      <c r="AA116" s="399">
        <v>0</v>
      </c>
      <c r="AB116" s="399">
        <v>0</v>
      </c>
      <c r="AC116" s="399">
        <v>0</v>
      </c>
      <c r="AD116" s="399">
        <v>0</v>
      </c>
      <c r="AE116" s="399">
        <v>0</v>
      </c>
      <c r="AF116" s="399">
        <v>332924.28411733167</v>
      </c>
      <c r="AG116" s="399">
        <v>12552.752484618406</v>
      </c>
      <c r="AH116" s="399">
        <v>0</v>
      </c>
      <c r="AI116" s="399">
        <v>0</v>
      </c>
      <c r="AJ116" s="399">
        <v>0</v>
      </c>
      <c r="AK116" s="399">
        <v>0</v>
      </c>
      <c r="AL116" s="399">
        <v>18819.214648319452</v>
      </c>
      <c r="AM116" s="399"/>
      <c r="AN116" s="399">
        <v>531.59519340312363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12443.904746515316</v>
      </c>
      <c r="BH116" s="399">
        <v>0</v>
      </c>
      <c r="BI116" s="399">
        <v>0</v>
      </c>
      <c r="BJ116" s="399">
        <v>0</v>
      </c>
      <c r="BK116" s="399">
        <v>0</v>
      </c>
      <c r="BL116" s="399">
        <v>0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345368.188863847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533567.9264</v>
      </c>
      <c r="CJ116" s="399">
        <v>30218.251689999946</v>
      </c>
      <c r="CK116" s="399"/>
      <c r="CL116" s="399"/>
      <c r="CM116" s="399"/>
      <c r="CN116" s="399"/>
      <c r="CO116" s="399">
        <v>-15098.6775</v>
      </c>
      <c r="CP116" s="399">
        <v>45316.164069999977</v>
      </c>
      <c r="CQ116" s="399">
        <v>30</v>
      </c>
      <c r="CR116" s="399">
        <v>30225.164997145708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0</v>
      </c>
      <c r="DA116" s="399">
        <v>0</v>
      </c>
      <c r="DB116" s="399">
        <v>0</v>
      </c>
      <c r="DC116" s="399">
        <v>45326.927716771897</v>
      </c>
      <c r="DD116" s="399">
        <v>0</v>
      </c>
      <c r="DE116" s="399">
        <v>0</v>
      </c>
      <c r="DF116" s="399">
        <v>0</v>
      </c>
      <c r="DG116" s="399">
        <v>1694.2109598736733</v>
      </c>
      <c r="DH116" s="399">
        <v>0</v>
      </c>
      <c r="DI116" s="399">
        <v>-14543.971379276001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-2168.7942574604276</v>
      </c>
      <c r="DP116" s="399">
        <v>-83.208042763349454</v>
      </c>
      <c r="DQ116" s="399">
        <v>0</v>
      </c>
      <c r="DR116" s="399">
        <v>0</v>
      </c>
      <c r="DS116" s="399"/>
      <c r="DT116" s="399"/>
      <c r="DU116" s="399"/>
      <c r="DV116" s="399">
        <v>0</v>
      </c>
      <c r="DW116" s="399">
        <v>0</v>
      </c>
      <c r="DX116" s="399">
        <v>0</v>
      </c>
      <c r="DY116" s="399">
        <v>-15098.67750000002</v>
      </c>
      <c r="DZ116" s="399">
        <v>45316.164069999999</v>
      </c>
      <c r="EA116" s="399">
        <v>0</v>
      </c>
      <c r="EB116" s="399">
        <v>0</v>
      </c>
      <c r="EC116" s="399">
        <v>0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20192.421774937116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215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21" customFormat="1">
      <c r="A117" s="399">
        <v>115</v>
      </c>
      <c r="B117" s="399" t="s">
        <v>2346</v>
      </c>
      <c r="C117" s="399" t="s">
        <v>2352</v>
      </c>
      <c r="D117" s="399" t="s">
        <v>533</v>
      </c>
      <c r="E117" s="399" t="s">
        <v>890</v>
      </c>
      <c r="F117" s="399" t="s">
        <v>1239</v>
      </c>
      <c r="G117" s="399" t="s">
        <v>1239</v>
      </c>
      <c r="H117" s="399" t="s">
        <v>1239</v>
      </c>
      <c r="I117" s="399" t="s">
        <v>2326</v>
      </c>
      <c r="J117" s="399" t="s">
        <v>2344</v>
      </c>
      <c r="K117" s="791">
        <v>44501</v>
      </c>
      <c r="L117" s="399">
        <v>0</v>
      </c>
      <c r="M117" s="399">
        <v>0</v>
      </c>
      <c r="N117" s="399">
        <v>16.120999999999999</v>
      </c>
      <c r="O117" s="399">
        <v>16.120999999999999</v>
      </c>
      <c r="P117" s="399">
        <v>16.120999999999999</v>
      </c>
      <c r="Q117" s="399">
        <v>16.120999999999999</v>
      </c>
      <c r="R117" s="399"/>
      <c r="S117" s="399">
        <v>78.42</v>
      </c>
      <c r="T117" s="399">
        <v>171.61</v>
      </c>
      <c r="U117" s="399"/>
      <c r="V117" s="399">
        <v>4030.7336299999997</v>
      </c>
      <c r="W117" s="399">
        <v>4030.7336299999997</v>
      </c>
      <c r="X117" s="399">
        <v>4272.7098399999995</v>
      </c>
      <c r="Y117" s="399">
        <v>0</v>
      </c>
      <c r="Z117" s="399">
        <v>847.92994634732236</v>
      </c>
      <c r="AA117" s="399">
        <v>0</v>
      </c>
      <c r="AB117" s="399">
        <v>0</v>
      </c>
      <c r="AC117" s="399">
        <v>0</v>
      </c>
      <c r="AD117" s="399">
        <v>0</v>
      </c>
      <c r="AE117" s="399">
        <v>0</v>
      </c>
      <c r="AF117" s="399">
        <v>2665.9979247795891</v>
      </c>
      <c r="AG117" s="399">
        <v>100.52018933671508</v>
      </c>
      <c r="AH117" s="399">
        <v>0</v>
      </c>
      <c r="AI117" s="399">
        <v>0</v>
      </c>
      <c r="AJ117" s="399">
        <v>0</v>
      </c>
      <c r="AK117" s="399">
        <v>0</v>
      </c>
      <c r="AL117" s="399">
        <v>150.70089384263517</v>
      </c>
      <c r="AM117" s="399"/>
      <c r="AN117" s="399">
        <v>4.2569189153413047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99.648556182440515</v>
      </c>
      <c r="BH117" s="399">
        <v>0</v>
      </c>
      <c r="BI117" s="399">
        <v>0</v>
      </c>
      <c r="BJ117" s="399">
        <v>0</v>
      </c>
      <c r="BK117" s="399">
        <v>0</v>
      </c>
      <c r="BL117" s="399">
        <v>0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2765.6464809620297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4272.4448000000002</v>
      </c>
      <c r="CJ117" s="399">
        <v>241.68117000000029</v>
      </c>
      <c r="CK117" s="399"/>
      <c r="CL117" s="399"/>
      <c r="CM117" s="399"/>
      <c r="CN117" s="399"/>
      <c r="CO117" s="399">
        <v>-120.90749999999998</v>
      </c>
      <c r="CP117" s="399">
        <v>362.88370999999984</v>
      </c>
      <c r="CQ117" s="399">
        <v>30</v>
      </c>
      <c r="CR117" s="399">
        <v>242.03769746670923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0</v>
      </c>
      <c r="DA117" s="399">
        <v>0</v>
      </c>
      <c r="DB117" s="399">
        <v>0</v>
      </c>
      <c r="DC117" s="399">
        <v>362.96990335184</v>
      </c>
      <c r="DD117" s="399">
        <v>0</v>
      </c>
      <c r="DE117" s="399">
        <v>0</v>
      </c>
      <c r="DF117" s="399">
        <v>0</v>
      </c>
      <c r="DG117" s="399">
        <v>13.566937344739372</v>
      </c>
      <c r="DH117" s="399">
        <v>0</v>
      </c>
      <c r="DI117" s="399">
        <v>-116.46551292587139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-17.367315229025621</v>
      </c>
      <c r="DP117" s="399">
        <v>-0.6663150749732667</v>
      </c>
      <c r="DQ117" s="399">
        <v>0</v>
      </c>
      <c r="DR117" s="399">
        <v>0</v>
      </c>
      <c r="DS117" s="399"/>
      <c r="DT117" s="399"/>
      <c r="DU117" s="399"/>
      <c r="DV117" s="399">
        <v>0</v>
      </c>
      <c r="DW117" s="399">
        <v>0</v>
      </c>
      <c r="DX117" s="399">
        <v>0</v>
      </c>
      <c r="DY117" s="399">
        <v>-120.9074999999998</v>
      </c>
      <c r="DZ117" s="399">
        <v>362.88371000000006</v>
      </c>
      <c r="EA117" s="399">
        <v>0</v>
      </c>
      <c r="EB117" s="399">
        <v>0</v>
      </c>
      <c r="EC117" s="399">
        <v>0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161.69729009399725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215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21" customFormat="1">
      <c r="A118" s="399">
        <v>116</v>
      </c>
      <c r="B118" s="399" t="s">
        <v>956</v>
      </c>
      <c r="C118" s="399" t="s">
        <v>2352</v>
      </c>
      <c r="D118" s="399" t="s">
        <v>533</v>
      </c>
      <c r="E118" s="399" t="s">
        <v>890</v>
      </c>
      <c r="F118" s="399" t="s">
        <v>1239</v>
      </c>
      <c r="G118" s="399" t="s">
        <v>1239</v>
      </c>
      <c r="H118" s="399" t="s">
        <v>1239</v>
      </c>
      <c r="I118" s="399" t="s">
        <v>1239</v>
      </c>
      <c r="J118" s="399" t="s">
        <v>2344</v>
      </c>
      <c r="K118" s="791">
        <v>44501</v>
      </c>
      <c r="L118" s="399">
        <v>9582</v>
      </c>
      <c r="M118" s="399">
        <v>9582</v>
      </c>
      <c r="N118" s="399">
        <v>0</v>
      </c>
      <c r="O118" s="399">
        <v>0</v>
      </c>
      <c r="P118" s="399">
        <v>0</v>
      </c>
      <c r="Q118" s="399">
        <v>0</v>
      </c>
      <c r="R118" s="399">
        <v>12.58</v>
      </c>
      <c r="S118" s="399"/>
      <c r="T118" s="399"/>
      <c r="U118" s="399">
        <v>120541.56</v>
      </c>
      <c r="V118" s="399"/>
      <c r="W118" s="399">
        <v>120541.56</v>
      </c>
      <c r="X118" s="399">
        <v>111055.38</v>
      </c>
      <c r="Y118" s="399">
        <v>0</v>
      </c>
      <c r="Z118" s="399">
        <v>0</v>
      </c>
      <c r="AA118" s="399">
        <v>0</v>
      </c>
      <c r="AB118" s="399">
        <v>0</v>
      </c>
      <c r="AC118" s="399">
        <v>0</v>
      </c>
      <c r="AD118" s="399">
        <v>63504.124546313746</v>
      </c>
      <c r="AE118" s="399">
        <v>57010.111881461467</v>
      </c>
      <c r="AF118" s="399"/>
      <c r="AG118" s="399"/>
      <c r="AH118" s="399"/>
      <c r="AI118" s="399">
        <v>0</v>
      </c>
      <c r="AJ118" s="399">
        <v>0</v>
      </c>
      <c r="AK118" s="399">
        <v>0</v>
      </c>
      <c r="AL118" s="399">
        <v>0</v>
      </c>
      <c r="AM118" s="399"/>
      <c r="AN118" s="399">
        <v>0</v>
      </c>
      <c r="AO118" s="399">
        <v>0</v>
      </c>
      <c r="AP118" s="399">
        <v>0</v>
      </c>
      <c r="AQ118" s="399">
        <v>0</v>
      </c>
      <c r="AR118" s="399">
        <v>0</v>
      </c>
      <c r="AS118" s="399"/>
      <c r="AT118" s="399"/>
      <c r="AU118" s="399">
        <v>0</v>
      </c>
      <c r="AV118" s="399">
        <v>0</v>
      </c>
      <c r="AW118" s="399">
        <v>0</v>
      </c>
      <c r="AX118" s="399"/>
      <c r="AY118" s="399"/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/>
      <c r="BG118" s="399">
        <v>0</v>
      </c>
      <c r="BH118" s="399">
        <v>0</v>
      </c>
      <c r="BI118" s="399">
        <v>0</v>
      </c>
      <c r="BJ118" s="399">
        <v>0</v>
      </c>
      <c r="BK118" s="399">
        <v>377228.9</v>
      </c>
      <c r="BL118" s="399">
        <v>49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0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111055.38</v>
      </c>
      <c r="CJ118" s="399">
        <v>-9486.2099999999773</v>
      </c>
      <c r="CK118" s="399"/>
      <c r="CL118" s="399"/>
      <c r="CM118" s="399"/>
      <c r="CN118" s="399"/>
      <c r="CO118" s="399">
        <v>-9486.1800000000021</v>
      </c>
      <c r="CP118" s="399">
        <v>0</v>
      </c>
      <c r="CQ118" s="399">
        <v>30</v>
      </c>
      <c r="CR118" s="399">
        <v>2859.7574322090513</v>
      </c>
      <c r="CS118" s="399">
        <v>0</v>
      </c>
      <c r="CT118" s="399">
        <v>0</v>
      </c>
      <c r="CU118" s="399">
        <v>0</v>
      </c>
      <c r="CV118" s="399">
        <v>0</v>
      </c>
      <c r="CW118" s="399"/>
      <c r="CX118" s="399"/>
      <c r="CY118" s="399"/>
      <c r="CZ118" s="399">
        <v>2859.7574322090513</v>
      </c>
      <c r="DA118" s="399">
        <v>0</v>
      </c>
      <c r="DB118" s="399">
        <v>0</v>
      </c>
      <c r="DC118" s="399"/>
      <c r="DD118" s="399"/>
      <c r="DE118" s="399">
        <v>0</v>
      </c>
      <c r="DF118" s="399">
        <v>0</v>
      </c>
      <c r="DG118" s="399">
        <v>0</v>
      </c>
      <c r="DH118" s="399">
        <v>0</v>
      </c>
      <c r="DI118" s="399">
        <v>0</v>
      </c>
      <c r="DJ118" s="399"/>
      <c r="DK118" s="399">
        <v>0</v>
      </c>
      <c r="DL118" s="399">
        <v>0</v>
      </c>
      <c r="DM118" s="399"/>
      <c r="DN118" s="399">
        <v>0</v>
      </c>
      <c r="DO118" s="399">
        <v>0</v>
      </c>
      <c r="DP118" s="399">
        <v>0</v>
      </c>
      <c r="DQ118" s="399">
        <v>0</v>
      </c>
      <c r="DR118" s="399">
        <v>0</v>
      </c>
      <c r="DS118" s="399"/>
      <c r="DT118" s="399"/>
      <c r="DU118" s="399">
        <v>57010.111881461467</v>
      </c>
      <c r="DV118" s="399"/>
      <c r="DW118" s="399">
        <v>0</v>
      </c>
      <c r="DX118" s="399">
        <v>0</v>
      </c>
      <c r="DY118" s="399">
        <v>-9486.179999999993</v>
      </c>
      <c r="DZ118" s="399"/>
      <c r="EA118" s="399">
        <v>0</v>
      </c>
      <c r="EB118" s="399"/>
      <c r="EC118" s="399">
        <v>-12325.278586059256</v>
      </c>
      <c r="ED118" s="399"/>
      <c r="EE118" s="399">
        <v>0</v>
      </c>
      <c r="EF118" s="399">
        <v>0</v>
      </c>
      <c r="EG118" s="399"/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/>
      <c r="EN118" s="399"/>
      <c r="EO118" s="399">
        <v>0</v>
      </c>
      <c r="EP118" s="399">
        <v>0</v>
      </c>
      <c r="EQ118" s="399"/>
      <c r="ER118" s="399">
        <v>0</v>
      </c>
      <c r="ES118" s="399"/>
      <c r="ET118" s="399">
        <v>0</v>
      </c>
      <c r="EU118" s="399"/>
      <c r="EV118" s="399">
        <v>215</v>
      </c>
      <c r="EW118" s="399"/>
      <c r="EX118" s="399"/>
      <c r="EY118" s="399"/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21" customFormat="1">
      <c r="A119" s="399">
        <v>117</v>
      </c>
      <c r="B119" s="399" t="s">
        <v>2346</v>
      </c>
      <c r="C119" s="399" t="s">
        <v>2352</v>
      </c>
      <c r="D119" s="399" t="s">
        <v>533</v>
      </c>
      <c r="E119" s="399" t="s">
        <v>890</v>
      </c>
      <c r="F119" s="399" t="s">
        <v>1239</v>
      </c>
      <c r="G119" s="399" t="s">
        <v>1239</v>
      </c>
      <c r="H119" s="399" t="s">
        <v>1239</v>
      </c>
      <c r="I119" s="399" t="s">
        <v>1239</v>
      </c>
      <c r="J119" s="399" t="s">
        <v>2344</v>
      </c>
      <c r="K119" s="791">
        <v>44501</v>
      </c>
      <c r="L119" s="399">
        <v>840</v>
      </c>
      <c r="M119" s="399">
        <v>840</v>
      </c>
      <c r="N119" s="399">
        <v>0</v>
      </c>
      <c r="O119" s="399">
        <v>0</v>
      </c>
      <c r="P119" s="399">
        <v>0</v>
      </c>
      <c r="Q119" s="399">
        <v>0</v>
      </c>
      <c r="R119" s="399">
        <v>12.58</v>
      </c>
      <c r="S119" s="399"/>
      <c r="T119" s="399"/>
      <c r="U119" s="399">
        <v>10567.2</v>
      </c>
      <c r="V119" s="399"/>
      <c r="W119" s="399">
        <v>10567.2</v>
      </c>
      <c r="X119" s="399">
        <v>9735.6</v>
      </c>
      <c r="Y119" s="399">
        <v>0</v>
      </c>
      <c r="Z119" s="399">
        <v>0</v>
      </c>
      <c r="AA119" s="399">
        <v>0</v>
      </c>
      <c r="AB119" s="399">
        <v>0</v>
      </c>
      <c r="AC119" s="399">
        <v>0</v>
      </c>
      <c r="AD119" s="399">
        <v>5567.0491148928768</v>
      </c>
      <c r="AE119" s="399">
        <v>4997.7555813428962</v>
      </c>
      <c r="AF119" s="399"/>
      <c r="AG119" s="399"/>
      <c r="AH119" s="399"/>
      <c r="AI119" s="399">
        <v>0</v>
      </c>
      <c r="AJ119" s="399">
        <v>0</v>
      </c>
      <c r="AK119" s="399">
        <v>0</v>
      </c>
      <c r="AL119" s="399">
        <v>0</v>
      </c>
      <c r="AM119" s="399"/>
      <c r="AN119" s="399">
        <v>0</v>
      </c>
      <c r="AO119" s="399">
        <v>0</v>
      </c>
      <c r="AP119" s="399">
        <v>0</v>
      </c>
      <c r="AQ119" s="399">
        <v>0</v>
      </c>
      <c r="AR119" s="399">
        <v>0</v>
      </c>
      <c r="AS119" s="399"/>
      <c r="AT119" s="399"/>
      <c r="AU119" s="399">
        <v>0</v>
      </c>
      <c r="AV119" s="399">
        <v>0</v>
      </c>
      <c r="AW119" s="399">
        <v>0</v>
      </c>
      <c r="AX119" s="399"/>
      <c r="AY119" s="399"/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/>
      <c r="BG119" s="399">
        <v>0</v>
      </c>
      <c r="BH119" s="399">
        <v>0</v>
      </c>
      <c r="BI119" s="399">
        <v>0</v>
      </c>
      <c r="BJ119" s="399">
        <v>0</v>
      </c>
      <c r="BK119" s="399">
        <v>6547.88</v>
      </c>
      <c r="BL119" s="399">
        <v>3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0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9735.6</v>
      </c>
      <c r="CJ119" s="399">
        <v>-831.63000000000102</v>
      </c>
      <c r="CK119" s="399"/>
      <c r="CL119" s="399"/>
      <c r="CM119" s="399"/>
      <c r="CN119" s="399"/>
      <c r="CO119" s="399">
        <v>-831.60000000000014</v>
      </c>
      <c r="CP119" s="399">
        <v>0</v>
      </c>
      <c r="CQ119" s="399">
        <v>30</v>
      </c>
      <c r="CR119" s="399">
        <v>250.69883563510757</v>
      </c>
      <c r="CS119" s="399">
        <v>0</v>
      </c>
      <c r="CT119" s="399">
        <v>0</v>
      </c>
      <c r="CU119" s="399">
        <v>0</v>
      </c>
      <c r="CV119" s="399">
        <v>0</v>
      </c>
      <c r="CW119" s="399"/>
      <c r="CX119" s="399"/>
      <c r="CY119" s="399"/>
      <c r="CZ119" s="399">
        <v>250.69883563510757</v>
      </c>
      <c r="DA119" s="399">
        <v>0</v>
      </c>
      <c r="DB119" s="399">
        <v>0</v>
      </c>
      <c r="DC119" s="399"/>
      <c r="DD119" s="399"/>
      <c r="DE119" s="399">
        <v>0</v>
      </c>
      <c r="DF119" s="399">
        <v>0</v>
      </c>
      <c r="DG119" s="399">
        <v>0</v>
      </c>
      <c r="DH119" s="399">
        <v>0</v>
      </c>
      <c r="DI119" s="399">
        <v>0</v>
      </c>
      <c r="DJ119" s="399"/>
      <c r="DK119" s="399">
        <v>0</v>
      </c>
      <c r="DL119" s="399">
        <v>0</v>
      </c>
      <c r="DM119" s="399"/>
      <c r="DN119" s="399">
        <v>0</v>
      </c>
      <c r="DO119" s="399">
        <v>0</v>
      </c>
      <c r="DP119" s="399">
        <v>0</v>
      </c>
      <c r="DQ119" s="399">
        <v>0</v>
      </c>
      <c r="DR119" s="399">
        <v>0</v>
      </c>
      <c r="DS119" s="399"/>
      <c r="DT119" s="399"/>
      <c r="DU119" s="399">
        <v>4997.7555813428962</v>
      </c>
      <c r="DV119" s="399"/>
      <c r="DW119" s="399">
        <v>0</v>
      </c>
      <c r="DX119" s="399">
        <v>0</v>
      </c>
      <c r="DY119" s="399">
        <v>-831.60000000000036</v>
      </c>
      <c r="DZ119" s="399"/>
      <c r="EA119" s="399">
        <v>0</v>
      </c>
      <c r="EB119" s="399"/>
      <c r="EC119" s="399">
        <v>-1080.4877908880999</v>
      </c>
      <c r="ED119" s="399"/>
      <c r="EE119" s="399">
        <v>0</v>
      </c>
      <c r="EF119" s="399">
        <v>0</v>
      </c>
      <c r="EG119" s="399"/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/>
      <c r="EN119" s="399"/>
      <c r="EO119" s="399">
        <v>0</v>
      </c>
      <c r="EP119" s="399">
        <v>0</v>
      </c>
      <c r="EQ119" s="399"/>
      <c r="ER119" s="399">
        <v>0</v>
      </c>
      <c r="ES119" s="399"/>
      <c r="ET119" s="399">
        <v>0</v>
      </c>
      <c r="EU119" s="399"/>
      <c r="EV119" s="399">
        <v>215</v>
      </c>
      <c r="EW119" s="399"/>
      <c r="EX119" s="399"/>
      <c r="EY119" s="399"/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21" customFormat="1">
      <c r="A120" s="399">
        <v>118</v>
      </c>
      <c r="B120" s="399" t="s">
        <v>956</v>
      </c>
      <c r="C120" s="399" t="s">
        <v>2343</v>
      </c>
      <c r="D120" s="399" t="s">
        <v>1826</v>
      </c>
      <c r="E120" s="399" t="s">
        <v>918</v>
      </c>
      <c r="F120" s="399" t="s">
        <v>1239</v>
      </c>
      <c r="G120" s="399" t="s">
        <v>1239</v>
      </c>
      <c r="H120" s="399" t="s">
        <v>1239</v>
      </c>
      <c r="I120" s="399" t="s">
        <v>1239</v>
      </c>
      <c r="J120" s="399" t="s">
        <v>2344</v>
      </c>
      <c r="K120" s="791">
        <v>44501</v>
      </c>
      <c r="L120" s="399">
        <v>0</v>
      </c>
      <c r="M120" s="399">
        <v>0</v>
      </c>
      <c r="N120" s="399">
        <v>559.09900000000005</v>
      </c>
      <c r="O120" s="399">
        <v>559.09900000000005</v>
      </c>
      <c r="P120" s="399">
        <v>559.09900000000005</v>
      </c>
      <c r="Q120" s="399">
        <v>559.09900000000005</v>
      </c>
      <c r="R120" s="399"/>
      <c r="S120" s="399">
        <v>239.69</v>
      </c>
      <c r="T120" s="399">
        <v>171.61</v>
      </c>
      <c r="U120" s="399"/>
      <c r="V120" s="399">
        <v>229957.41870000004</v>
      </c>
      <c r="W120" s="399">
        <v>229957.41870000004</v>
      </c>
      <c r="X120" s="399">
        <v>229113.17921000003</v>
      </c>
      <c r="Y120" s="399">
        <v>0</v>
      </c>
      <c r="Z120" s="399">
        <v>33801.615589064721</v>
      </c>
      <c r="AA120" s="399">
        <v>0</v>
      </c>
      <c r="AB120" s="399">
        <v>0</v>
      </c>
      <c r="AC120" s="399">
        <v>0</v>
      </c>
      <c r="AD120" s="399">
        <v>29820.10036609758</v>
      </c>
      <c r="AE120" s="399">
        <v>49544.404830482417</v>
      </c>
      <c r="AF120" s="399">
        <v>92460.565333809558</v>
      </c>
      <c r="AG120" s="399">
        <v>3486.1818335071071</v>
      </c>
      <c r="AH120" s="399">
        <v>0</v>
      </c>
      <c r="AI120" s="399">
        <v>0</v>
      </c>
      <c r="AJ120" s="399">
        <v>0</v>
      </c>
      <c r="AK120" s="399">
        <v>0</v>
      </c>
      <c r="AL120" s="399">
        <v>5226.5193875394507</v>
      </c>
      <c r="AM120" s="399"/>
      <c r="AN120" s="399">
        <v>221.43207946057186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8951.1263051417554</v>
      </c>
      <c r="BH120" s="399">
        <v>0</v>
      </c>
      <c r="BI120" s="399">
        <v>0</v>
      </c>
      <c r="BJ120" s="399">
        <v>0</v>
      </c>
      <c r="BK120" s="399">
        <v>102719.54</v>
      </c>
      <c r="BL120" s="399">
        <v>551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101411.69163895131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229113.58900000001</v>
      </c>
      <c r="CJ120" s="399">
        <v>-843.85970000005909</v>
      </c>
      <c r="CK120" s="399"/>
      <c r="CL120" s="399"/>
      <c r="CM120" s="399"/>
      <c r="CN120" s="399"/>
      <c r="CO120" s="399">
        <v>-13429.557980000007</v>
      </c>
      <c r="CP120" s="399">
        <v>12585.318489999996</v>
      </c>
      <c r="CQ120" s="399">
        <v>30</v>
      </c>
      <c r="CR120" s="399">
        <v>9870.134214675345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1342.8773998604556</v>
      </c>
      <c r="DA120" s="399">
        <v>0</v>
      </c>
      <c r="DB120" s="399">
        <v>0</v>
      </c>
      <c r="DC120" s="399">
        <v>12588.307796917696</v>
      </c>
      <c r="DD120" s="399">
        <v>0</v>
      </c>
      <c r="DE120" s="399">
        <v>0</v>
      </c>
      <c r="DF120" s="399">
        <v>0</v>
      </c>
      <c r="DG120" s="399">
        <v>1218.6766612490919</v>
      </c>
      <c r="DH120" s="399">
        <v>0</v>
      </c>
      <c r="DI120" s="399">
        <v>-4642.744974702262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-602.32296862682233</v>
      </c>
      <c r="DP120" s="399">
        <v>-34.659700022833647</v>
      </c>
      <c r="DQ120" s="399">
        <v>0</v>
      </c>
      <c r="DR120" s="399">
        <v>0</v>
      </c>
      <c r="DS120" s="399"/>
      <c r="DT120" s="399"/>
      <c r="DU120" s="399"/>
      <c r="DV120" s="399">
        <v>49544.404830482417</v>
      </c>
      <c r="DW120" s="399">
        <v>0</v>
      </c>
      <c r="DX120" s="399">
        <v>0</v>
      </c>
      <c r="DY120" s="399">
        <v>-13429.557980000012</v>
      </c>
      <c r="DZ120" s="399">
        <v>12585.318489999991</v>
      </c>
      <c r="EA120" s="399">
        <v>0</v>
      </c>
      <c r="EB120" s="399">
        <v>0</v>
      </c>
      <c r="EC120" s="399">
        <v>-10711.233003469453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6445.8504680668575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215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21" customFormat="1">
      <c r="A121" s="399">
        <v>119</v>
      </c>
      <c r="B121" s="399" t="s">
        <v>2346</v>
      </c>
      <c r="C121" s="399" t="s">
        <v>2343</v>
      </c>
      <c r="D121" s="399" t="s">
        <v>1826</v>
      </c>
      <c r="E121" s="399" t="s">
        <v>918</v>
      </c>
      <c r="F121" s="399" t="s">
        <v>1239</v>
      </c>
      <c r="G121" s="399" t="s">
        <v>1239</v>
      </c>
      <c r="H121" s="399" t="s">
        <v>1239</v>
      </c>
      <c r="I121" s="399" t="s">
        <v>1239</v>
      </c>
      <c r="J121" s="399" t="s">
        <v>2344</v>
      </c>
      <c r="K121" s="791">
        <v>44501</v>
      </c>
      <c r="L121" s="399">
        <v>0</v>
      </c>
      <c r="M121" s="399">
        <v>0</v>
      </c>
      <c r="N121" s="399">
        <v>6.7460000000000004</v>
      </c>
      <c r="O121" s="399">
        <v>6.7460000000000004</v>
      </c>
      <c r="P121" s="399">
        <v>6.7460000000000004</v>
      </c>
      <c r="Q121" s="399">
        <v>6.7460000000000004</v>
      </c>
      <c r="R121" s="399"/>
      <c r="S121" s="399">
        <v>239.69</v>
      </c>
      <c r="T121" s="399">
        <v>171.61</v>
      </c>
      <c r="U121" s="399"/>
      <c r="V121" s="399">
        <v>2774.6298000000002</v>
      </c>
      <c r="W121" s="399">
        <v>2774.6298000000002</v>
      </c>
      <c r="X121" s="399">
        <v>2764.4433400000003</v>
      </c>
      <c r="Y121" s="399">
        <v>0</v>
      </c>
      <c r="Z121" s="399">
        <v>407.84494117111745</v>
      </c>
      <c r="AA121" s="399">
        <v>0</v>
      </c>
      <c r="AB121" s="399">
        <v>0</v>
      </c>
      <c r="AC121" s="399">
        <v>0</v>
      </c>
      <c r="AD121" s="399">
        <v>359.80460896852662</v>
      </c>
      <c r="AE121" s="399">
        <v>597.79494326842712</v>
      </c>
      <c r="AF121" s="399">
        <v>1115.6145400758708</v>
      </c>
      <c r="AG121" s="399">
        <v>42.063717962004844</v>
      </c>
      <c r="AH121" s="399">
        <v>0</v>
      </c>
      <c r="AI121" s="399">
        <v>0</v>
      </c>
      <c r="AJ121" s="399">
        <v>0</v>
      </c>
      <c r="AK121" s="399">
        <v>0</v>
      </c>
      <c r="AL121" s="399">
        <v>63.062355304411447</v>
      </c>
      <c r="AM121" s="399"/>
      <c r="AN121" s="399">
        <v>2.6717644067347961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108.00287257620973</v>
      </c>
      <c r="BH121" s="399">
        <v>0</v>
      </c>
      <c r="BI121" s="399">
        <v>0</v>
      </c>
      <c r="BJ121" s="399">
        <v>0</v>
      </c>
      <c r="BK121" s="399">
        <v>2339.4499999999998</v>
      </c>
      <c r="BL121" s="399">
        <v>7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1223.6174126520805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2766.0824999999995</v>
      </c>
      <c r="CJ121" s="399">
        <v>-8.5773000000008324</v>
      </c>
      <c r="CK121" s="399"/>
      <c r="CL121" s="399"/>
      <c r="CM121" s="399"/>
      <c r="CN121" s="399"/>
      <c r="CO121" s="399">
        <v>-162.03892000000008</v>
      </c>
      <c r="CP121" s="399">
        <v>151.85245999999995</v>
      </c>
      <c r="CQ121" s="399">
        <v>30</v>
      </c>
      <c r="CR121" s="399">
        <v>119.09147648663293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16.202946060462693</v>
      </c>
      <c r="DA121" s="399">
        <v>0</v>
      </c>
      <c r="DB121" s="399">
        <v>0</v>
      </c>
      <c r="DC121" s="399">
        <v>151.88852850390867</v>
      </c>
      <c r="DD121" s="399">
        <v>0</v>
      </c>
      <c r="DE121" s="399">
        <v>0</v>
      </c>
      <c r="DF121" s="399">
        <v>0</v>
      </c>
      <c r="DG121" s="399">
        <v>14.704359615714523</v>
      </c>
      <c r="DH121" s="399">
        <v>0</v>
      </c>
      <c r="DI121" s="399">
        <v>-56.018625680499269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-7.2675335608837486</v>
      </c>
      <c r="DP121" s="399">
        <v>-0.41819845207026995</v>
      </c>
      <c r="DQ121" s="399">
        <v>0</v>
      </c>
      <c r="DR121" s="399">
        <v>0</v>
      </c>
      <c r="DS121" s="399"/>
      <c r="DT121" s="399"/>
      <c r="DU121" s="399"/>
      <c r="DV121" s="399">
        <v>597.79494326842712</v>
      </c>
      <c r="DW121" s="399">
        <v>0</v>
      </c>
      <c r="DX121" s="399">
        <v>0</v>
      </c>
      <c r="DY121" s="399">
        <v>-162.03891999999996</v>
      </c>
      <c r="DZ121" s="399">
        <v>151.85246000000006</v>
      </c>
      <c r="EA121" s="399">
        <v>0</v>
      </c>
      <c r="EB121" s="399">
        <v>0</v>
      </c>
      <c r="EC121" s="399">
        <v>-129.24004128321616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77.774611039510035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215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21" customFormat="1">
      <c r="A122" s="399">
        <v>120</v>
      </c>
      <c r="B122" s="399" t="s">
        <v>956</v>
      </c>
      <c r="C122" s="399" t="s">
        <v>2352</v>
      </c>
      <c r="D122" s="399" t="s">
        <v>533</v>
      </c>
      <c r="E122" s="399" t="s">
        <v>918</v>
      </c>
      <c r="F122" s="399" t="s">
        <v>1239</v>
      </c>
      <c r="G122" s="399" t="s">
        <v>1239</v>
      </c>
      <c r="H122" s="399" t="s">
        <v>1239</v>
      </c>
      <c r="I122" s="399" t="s">
        <v>893</v>
      </c>
      <c r="J122" s="399" t="s">
        <v>2344</v>
      </c>
      <c r="K122" s="791">
        <v>44501</v>
      </c>
      <c r="L122" s="399">
        <v>0</v>
      </c>
      <c r="M122" s="399">
        <v>0</v>
      </c>
      <c r="N122" s="399">
        <v>7.6749999999999998</v>
      </c>
      <c r="O122" s="399">
        <v>7.6749999999999998</v>
      </c>
      <c r="P122" s="399">
        <v>7.6749999999999998</v>
      </c>
      <c r="Q122" s="399">
        <v>7.6749999999999998</v>
      </c>
      <c r="R122" s="399"/>
      <c r="S122" s="399">
        <v>984.21</v>
      </c>
      <c r="T122" s="399">
        <v>171.61</v>
      </c>
      <c r="U122" s="399"/>
      <c r="V122" s="399">
        <v>8870.9184999999998</v>
      </c>
      <c r="W122" s="399">
        <v>8870.9184999999998</v>
      </c>
      <c r="X122" s="399">
        <v>8272.4987499999988</v>
      </c>
      <c r="Y122" s="399">
        <v>0</v>
      </c>
      <c r="Z122" s="399">
        <v>403.68850184329131</v>
      </c>
      <c r="AA122" s="399">
        <v>0</v>
      </c>
      <c r="AB122" s="399">
        <v>0</v>
      </c>
      <c r="AC122" s="399">
        <v>0</v>
      </c>
      <c r="AD122" s="399">
        <v>3021.7140069438256</v>
      </c>
      <c r="AE122" s="399">
        <v>3930.230277201983</v>
      </c>
      <c r="AF122" s="399">
        <v>1269.2471976107777</v>
      </c>
      <c r="AG122" s="399">
        <v>47.856364565429459</v>
      </c>
      <c r="AH122" s="399">
        <v>0</v>
      </c>
      <c r="AI122" s="399">
        <v>0</v>
      </c>
      <c r="AJ122" s="399">
        <v>0</v>
      </c>
      <c r="AK122" s="399">
        <v>0</v>
      </c>
      <c r="AL122" s="399">
        <v>71.746750216625827</v>
      </c>
      <c r="AM122" s="399"/>
      <c r="AN122" s="399">
        <v>2.0266641446091755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47.441391272267914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1316.6885888830457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8277.8880000000008</v>
      </c>
      <c r="CJ122" s="399">
        <v>-593.06049999999959</v>
      </c>
      <c r="CK122" s="399"/>
      <c r="CL122" s="399"/>
      <c r="CM122" s="399"/>
      <c r="CN122" s="399"/>
      <c r="CO122" s="399">
        <v>-771.18400000000008</v>
      </c>
      <c r="CP122" s="399">
        <v>172.76424999999992</v>
      </c>
      <c r="CQ122" s="399">
        <v>30</v>
      </c>
      <c r="CR122" s="399">
        <v>251.3067373857748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136.07571399659219</v>
      </c>
      <c r="DA122" s="399">
        <v>0</v>
      </c>
      <c r="DB122" s="399">
        <v>0</v>
      </c>
      <c r="DC122" s="399">
        <v>172.80528554217312</v>
      </c>
      <c r="DD122" s="399">
        <v>0</v>
      </c>
      <c r="DE122" s="399">
        <v>0</v>
      </c>
      <c r="DF122" s="399">
        <v>0</v>
      </c>
      <c r="DG122" s="399">
        <v>6.4590437392763889</v>
      </c>
      <c r="DH122" s="399">
        <v>0</v>
      </c>
      <c r="DI122" s="399">
        <v>-55.447727293968285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-8.268354592318822</v>
      </c>
      <c r="DP122" s="399">
        <v>-0.31722400598100764</v>
      </c>
      <c r="DQ122" s="399">
        <v>0</v>
      </c>
      <c r="DR122" s="399">
        <v>0</v>
      </c>
      <c r="DS122" s="399"/>
      <c r="DT122" s="399"/>
      <c r="DU122" s="399"/>
      <c r="DV122" s="399">
        <v>3930.230277201983</v>
      </c>
      <c r="DW122" s="399">
        <v>0</v>
      </c>
      <c r="DX122" s="399">
        <v>0</v>
      </c>
      <c r="DY122" s="399">
        <v>-771.1840000000002</v>
      </c>
      <c r="DZ122" s="399">
        <v>172.76424999999995</v>
      </c>
      <c r="EA122" s="399">
        <v>0</v>
      </c>
      <c r="EB122" s="399">
        <v>0</v>
      </c>
      <c r="EC122" s="399">
        <v>-849.69458005276056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76.981992523505312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215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21" customFormat="1">
      <c r="A123" s="399">
        <v>121</v>
      </c>
      <c r="B123" s="399" t="s">
        <v>956</v>
      </c>
      <c r="C123" s="399" t="s">
        <v>2352</v>
      </c>
      <c r="D123" s="399" t="s">
        <v>533</v>
      </c>
      <c r="E123" s="399" t="s">
        <v>918</v>
      </c>
      <c r="F123" s="399" t="s">
        <v>1239</v>
      </c>
      <c r="G123" s="399" t="s">
        <v>1239</v>
      </c>
      <c r="H123" s="399" t="s">
        <v>1239</v>
      </c>
      <c r="I123" s="399" t="s">
        <v>2326</v>
      </c>
      <c r="J123" s="399" t="s">
        <v>2344</v>
      </c>
      <c r="K123" s="791">
        <v>44501</v>
      </c>
      <c r="L123" s="399">
        <v>0</v>
      </c>
      <c r="M123" s="399">
        <v>0</v>
      </c>
      <c r="N123" s="399">
        <v>72.671999999999997</v>
      </c>
      <c r="O123" s="399">
        <v>72.671999999999997</v>
      </c>
      <c r="P123" s="399">
        <v>72.671999999999997</v>
      </c>
      <c r="Q123" s="399">
        <v>72.671999999999997</v>
      </c>
      <c r="R123" s="399"/>
      <c r="S123" s="399">
        <v>78.42</v>
      </c>
      <c r="T123" s="399">
        <v>171.61</v>
      </c>
      <c r="U123" s="399"/>
      <c r="V123" s="399">
        <v>18170.18016</v>
      </c>
      <c r="W123" s="399">
        <v>18170.18016</v>
      </c>
      <c r="X123" s="399">
        <v>19260.98688</v>
      </c>
      <c r="Y123" s="399">
        <v>0</v>
      </c>
      <c r="Z123" s="399">
        <v>3822.3909844893374</v>
      </c>
      <c r="AA123" s="399">
        <v>0</v>
      </c>
      <c r="AB123" s="399">
        <v>0</v>
      </c>
      <c r="AC123" s="399">
        <v>0</v>
      </c>
      <c r="AD123" s="399">
        <v>0</v>
      </c>
      <c r="AE123" s="399">
        <v>0</v>
      </c>
      <c r="AF123" s="399">
        <v>12018.075875540122</v>
      </c>
      <c r="AG123" s="399">
        <v>453.13586002591398</v>
      </c>
      <c r="AH123" s="399">
        <v>0</v>
      </c>
      <c r="AI123" s="399">
        <v>0</v>
      </c>
      <c r="AJ123" s="399">
        <v>0</v>
      </c>
      <c r="AK123" s="399">
        <v>0</v>
      </c>
      <c r="AL123" s="399">
        <v>679.34590641597811</v>
      </c>
      <c r="AM123" s="399"/>
      <c r="AN123" s="399">
        <v>19.189802829581495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449.20661713853468</v>
      </c>
      <c r="BH123" s="399">
        <v>0</v>
      </c>
      <c r="BI123" s="399">
        <v>0</v>
      </c>
      <c r="BJ123" s="399">
        <v>0</v>
      </c>
      <c r="BK123" s="399">
        <v>0</v>
      </c>
      <c r="BL123" s="399">
        <v>0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12467.282492678656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19260.4568</v>
      </c>
      <c r="CJ123" s="399">
        <v>1090.2466400000012</v>
      </c>
      <c r="CK123" s="399"/>
      <c r="CL123" s="399"/>
      <c r="CM123" s="399"/>
      <c r="CN123" s="399"/>
      <c r="CO123" s="399">
        <v>-545.04</v>
      </c>
      <c r="CP123" s="399">
        <v>1635.8467199999993</v>
      </c>
      <c r="CQ123" s="399">
        <v>30</v>
      </c>
      <c r="CR123" s="399">
        <v>1091.0838999007974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0</v>
      </c>
      <c r="DA123" s="399">
        <v>0</v>
      </c>
      <c r="DB123" s="399">
        <v>0</v>
      </c>
      <c r="DC123" s="399">
        <v>1636.2352717812118</v>
      </c>
      <c r="DD123" s="399">
        <v>0</v>
      </c>
      <c r="DE123" s="399">
        <v>0</v>
      </c>
      <c r="DF123" s="399">
        <v>0</v>
      </c>
      <c r="DG123" s="399">
        <v>61.158518126474803</v>
      </c>
      <c r="DH123" s="399">
        <v>0</v>
      </c>
      <c r="DI123" s="399">
        <v>-525.01592676316113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-78.29027556130211</v>
      </c>
      <c r="DP123" s="399">
        <v>-3.003687682430197</v>
      </c>
      <c r="DQ123" s="399">
        <v>0</v>
      </c>
      <c r="DR123" s="399">
        <v>0</v>
      </c>
      <c r="DS123" s="399"/>
      <c r="DT123" s="399"/>
      <c r="DU123" s="399"/>
      <c r="DV123" s="399">
        <v>0</v>
      </c>
      <c r="DW123" s="399">
        <v>0</v>
      </c>
      <c r="DX123" s="399">
        <v>0</v>
      </c>
      <c r="DY123" s="399">
        <v>-545.04</v>
      </c>
      <c r="DZ123" s="399">
        <v>1635.8467199999996</v>
      </c>
      <c r="EA123" s="399">
        <v>0</v>
      </c>
      <c r="EB123" s="399">
        <v>0</v>
      </c>
      <c r="EC123" s="399">
        <v>0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728.91665937044661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215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21" customFormat="1">
      <c r="A124" s="399">
        <v>122</v>
      </c>
      <c r="B124" s="399" t="s">
        <v>956</v>
      </c>
      <c r="C124" s="399" t="s">
        <v>2352</v>
      </c>
      <c r="D124" s="399" t="s">
        <v>533</v>
      </c>
      <c r="E124" s="399" t="s">
        <v>918</v>
      </c>
      <c r="F124" s="399" t="s">
        <v>1239</v>
      </c>
      <c r="G124" s="399" t="s">
        <v>1239</v>
      </c>
      <c r="H124" s="399" t="s">
        <v>1239</v>
      </c>
      <c r="I124" s="399" t="s">
        <v>1239</v>
      </c>
      <c r="J124" s="399" t="s">
        <v>2344</v>
      </c>
      <c r="K124" s="791">
        <v>44501</v>
      </c>
      <c r="L124" s="399">
        <v>419</v>
      </c>
      <c r="M124" s="399">
        <v>419</v>
      </c>
      <c r="N124" s="399">
        <v>0</v>
      </c>
      <c r="O124" s="399">
        <v>0</v>
      </c>
      <c r="P124" s="399">
        <v>0</v>
      </c>
      <c r="Q124" s="399">
        <v>0</v>
      </c>
      <c r="R124" s="399">
        <v>12.58</v>
      </c>
      <c r="S124" s="399"/>
      <c r="T124" s="399"/>
      <c r="U124" s="399">
        <v>5271.02</v>
      </c>
      <c r="V124" s="399"/>
      <c r="W124" s="399">
        <v>5271.02</v>
      </c>
      <c r="X124" s="399">
        <v>4856.21</v>
      </c>
      <c r="Y124" s="399">
        <v>0</v>
      </c>
      <c r="Z124" s="399">
        <v>0</v>
      </c>
      <c r="AA124" s="399">
        <v>0</v>
      </c>
      <c r="AB124" s="399">
        <v>0</v>
      </c>
      <c r="AC124" s="399">
        <v>0</v>
      </c>
      <c r="AD124" s="399">
        <v>2776.8971180239469</v>
      </c>
      <c r="AE124" s="399">
        <v>2492.92808164604</v>
      </c>
      <c r="AF124" s="399"/>
      <c r="AG124" s="399"/>
      <c r="AH124" s="399"/>
      <c r="AI124" s="399">
        <v>0</v>
      </c>
      <c r="AJ124" s="399">
        <v>0</v>
      </c>
      <c r="AK124" s="399">
        <v>0</v>
      </c>
      <c r="AL124" s="399">
        <v>0</v>
      </c>
      <c r="AM124" s="399"/>
      <c r="AN124" s="399">
        <v>0</v>
      </c>
      <c r="AO124" s="399">
        <v>0</v>
      </c>
      <c r="AP124" s="399">
        <v>0</v>
      </c>
      <c r="AQ124" s="399">
        <v>0</v>
      </c>
      <c r="AR124" s="399">
        <v>0</v>
      </c>
      <c r="AS124" s="399"/>
      <c r="AT124" s="399"/>
      <c r="AU124" s="399">
        <v>0</v>
      </c>
      <c r="AV124" s="399">
        <v>0</v>
      </c>
      <c r="AW124" s="399">
        <v>0</v>
      </c>
      <c r="AX124" s="399"/>
      <c r="AY124" s="399"/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/>
      <c r="BG124" s="399">
        <v>0</v>
      </c>
      <c r="BH124" s="399">
        <v>0</v>
      </c>
      <c r="BI124" s="399">
        <v>0</v>
      </c>
      <c r="BJ124" s="399">
        <v>0</v>
      </c>
      <c r="BK124" s="399">
        <v>14850.71</v>
      </c>
      <c r="BL124" s="399">
        <v>5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0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4856.21</v>
      </c>
      <c r="CJ124" s="399">
        <v>-414.84000000000106</v>
      </c>
      <c r="CK124" s="399"/>
      <c r="CL124" s="399"/>
      <c r="CM124" s="399"/>
      <c r="CN124" s="399"/>
      <c r="CO124" s="399">
        <v>-414.81000000000012</v>
      </c>
      <c r="CP124" s="399">
        <v>0</v>
      </c>
      <c r="CQ124" s="399">
        <v>30</v>
      </c>
      <c r="CR124" s="399">
        <v>125.05096682275007</v>
      </c>
      <c r="CS124" s="399">
        <v>0</v>
      </c>
      <c r="CT124" s="399">
        <v>0</v>
      </c>
      <c r="CU124" s="399">
        <v>0</v>
      </c>
      <c r="CV124" s="399">
        <v>0</v>
      </c>
      <c r="CW124" s="399"/>
      <c r="CX124" s="399"/>
      <c r="CY124" s="399"/>
      <c r="CZ124" s="399">
        <v>125.05096682275007</v>
      </c>
      <c r="DA124" s="399">
        <v>0</v>
      </c>
      <c r="DB124" s="399">
        <v>0</v>
      </c>
      <c r="DC124" s="399"/>
      <c r="DD124" s="399"/>
      <c r="DE124" s="399">
        <v>0</v>
      </c>
      <c r="DF124" s="399">
        <v>0</v>
      </c>
      <c r="DG124" s="399">
        <v>0</v>
      </c>
      <c r="DH124" s="399">
        <v>0</v>
      </c>
      <c r="DI124" s="399">
        <v>0</v>
      </c>
      <c r="DJ124" s="399"/>
      <c r="DK124" s="399">
        <v>0</v>
      </c>
      <c r="DL124" s="399">
        <v>0</v>
      </c>
      <c r="DM124" s="399"/>
      <c r="DN124" s="399">
        <v>0</v>
      </c>
      <c r="DO124" s="399">
        <v>0</v>
      </c>
      <c r="DP124" s="399">
        <v>0</v>
      </c>
      <c r="DQ124" s="399">
        <v>0</v>
      </c>
      <c r="DR124" s="399">
        <v>0</v>
      </c>
      <c r="DS124" s="399"/>
      <c r="DT124" s="399"/>
      <c r="DU124" s="399">
        <v>2492.92808164604</v>
      </c>
      <c r="DV124" s="399"/>
      <c r="DW124" s="399">
        <v>0</v>
      </c>
      <c r="DX124" s="399">
        <v>0</v>
      </c>
      <c r="DY124" s="399">
        <v>-414.8100000000004</v>
      </c>
      <c r="DZ124" s="399"/>
      <c r="EA124" s="399">
        <v>0</v>
      </c>
      <c r="EB124" s="399"/>
      <c r="EC124" s="399">
        <v>-538.9576004548976</v>
      </c>
      <c r="ED124" s="399"/>
      <c r="EE124" s="399">
        <v>0</v>
      </c>
      <c r="EF124" s="399">
        <v>0</v>
      </c>
      <c r="EG124" s="399"/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/>
      <c r="EN124" s="399"/>
      <c r="EO124" s="399">
        <v>0</v>
      </c>
      <c r="EP124" s="399">
        <v>0</v>
      </c>
      <c r="EQ124" s="399"/>
      <c r="ER124" s="399">
        <v>0</v>
      </c>
      <c r="ES124" s="399"/>
      <c r="ET124" s="399">
        <v>0</v>
      </c>
      <c r="EU124" s="399"/>
      <c r="EV124" s="399">
        <v>215</v>
      </c>
      <c r="EW124" s="399"/>
      <c r="EX124" s="399"/>
      <c r="EY124" s="399"/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21" customFormat="1">
      <c r="A125" s="399">
        <v>123</v>
      </c>
      <c r="B125" s="399" t="s">
        <v>956</v>
      </c>
      <c r="C125" s="399" t="s">
        <v>2343</v>
      </c>
      <c r="D125" s="399" t="s">
        <v>2353</v>
      </c>
      <c r="E125" s="399" t="s">
        <v>894</v>
      </c>
      <c r="F125" s="399" t="s">
        <v>1239</v>
      </c>
      <c r="G125" s="399" t="s">
        <v>1239</v>
      </c>
      <c r="H125" s="399" t="s">
        <v>1239</v>
      </c>
      <c r="I125" s="399" t="s">
        <v>1239</v>
      </c>
      <c r="J125" s="399" t="s">
        <v>2344</v>
      </c>
      <c r="K125" s="791">
        <v>44501</v>
      </c>
      <c r="L125" s="399">
        <v>0</v>
      </c>
      <c r="M125" s="399">
        <v>0</v>
      </c>
      <c r="N125" s="399">
        <v>674.35</v>
      </c>
      <c r="O125" s="399">
        <v>674.35</v>
      </c>
      <c r="P125" s="399">
        <v>674.35</v>
      </c>
      <c r="Q125" s="399">
        <v>674.35</v>
      </c>
      <c r="R125" s="399"/>
      <c r="S125" s="399">
        <v>239.69</v>
      </c>
      <c r="T125" s="399">
        <v>171.61</v>
      </c>
      <c r="U125" s="399"/>
      <c r="V125" s="399">
        <v>277360.15500000003</v>
      </c>
      <c r="W125" s="399">
        <v>277360.15500000003</v>
      </c>
      <c r="X125" s="399">
        <v>276341.88650000002</v>
      </c>
      <c r="Y125" s="399">
        <v>0</v>
      </c>
      <c r="Z125" s="399">
        <v>40769.379792283282</v>
      </c>
      <c r="AA125" s="399">
        <v>0</v>
      </c>
      <c r="AB125" s="399">
        <v>0</v>
      </c>
      <c r="AC125" s="399">
        <v>0</v>
      </c>
      <c r="AD125" s="399">
        <v>35967.126898595605</v>
      </c>
      <c r="AE125" s="399">
        <v>59757.340645280739</v>
      </c>
      <c r="AF125" s="399">
        <v>111520.11045066164</v>
      </c>
      <c r="AG125" s="399">
        <v>4204.8129569638249</v>
      </c>
      <c r="AH125" s="399">
        <v>0</v>
      </c>
      <c r="AI125" s="399">
        <v>0</v>
      </c>
      <c r="AJ125" s="399">
        <v>0</v>
      </c>
      <c r="AK125" s="399">
        <v>0</v>
      </c>
      <c r="AL125" s="399">
        <v>6303.8985027467916</v>
      </c>
      <c r="AM125" s="399"/>
      <c r="AN125" s="399">
        <v>267.07742776187513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10796.284779390309</v>
      </c>
      <c r="BH125" s="399">
        <v>0</v>
      </c>
      <c r="BI125" s="399">
        <v>0</v>
      </c>
      <c r="BJ125" s="399">
        <v>0</v>
      </c>
      <c r="BK125" s="399">
        <v>93808.38</v>
      </c>
      <c r="BL125" s="399">
        <v>737</v>
      </c>
      <c r="BM125" s="399"/>
      <c r="BN125" s="399"/>
      <c r="BO125" s="399"/>
      <c r="BP125" s="399"/>
      <c r="BQ125" s="399"/>
      <c r="BR125" s="399">
        <v>33157.789499999992</v>
      </c>
      <c r="BS125" s="399"/>
      <c r="BT125" s="399"/>
      <c r="BU125" s="399"/>
      <c r="BV125" s="399">
        <v>122316.39523005194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243184.09700000001</v>
      </c>
      <c r="CJ125" s="399">
        <v>-896.915500000061</v>
      </c>
      <c r="CK125" s="399"/>
      <c r="CL125" s="399"/>
      <c r="CM125" s="399"/>
      <c r="CN125" s="399"/>
      <c r="CO125" s="399">
        <v>-16197.887000000008</v>
      </c>
      <c r="CP125" s="399">
        <v>15179.618499999995</v>
      </c>
      <c r="CQ125" s="399">
        <v>30</v>
      </c>
      <c r="CR125" s="399">
        <v>11904.734237883327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1619.6941411018342</v>
      </c>
      <c r="DA125" s="399">
        <v>0</v>
      </c>
      <c r="DB125" s="399">
        <v>0</v>
      </c>
      <c r="DC125" s="399">
        <v>15183.22401372825</v>
      </c>
      <c r="DD125" s="399">
        <v>0</v>
      </c>
      <c r="DE125" s="399">
        <v>0</v>
      </c>
      <c r="DF125" s="399">
        <v>0</v>
      </c>
      <c r="DG125" s="399">
        <v>1469.8910327389694</v>
      </c>
      <c r="DH125" s="399">
        <v>0</v>
      </c>
      <c r="DI125" s="399">
        <v>-5599.7865739170884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-726.48402857722431</v>
      </c>
      <c r="DP125" s="399">
        <v>-41.804347191459584</v>
      </c>
      <c r="DQ125" s="399">
        <v>0</v>
      </c>
      <c r="DR125" s="399">
        <v>0</v>
      </c>
      <c r="DS125" s="399"/>
      <c r="DT125" s="399"/>
      <c r="DU125" s="399"/>
      <c r="DV125" s="399">
        <v>59757.340645280739</v>
      </c>
      <c r="DW125" s="399">
        <v>0</v>
      </c>
      <c r="DX125" s="399">
        <v>0</v>
      </c>
      <c r="DY125" s="399">
        <v>-16197.886999999988</v>
      </c>
      <c r="DZ125" s="399">
        <v>15179.618499999997</v>
      </c>
      <c r="EA125" s="399">
        <v>0</v>
      </c>
      <c r="EB125" s="399">
        <v>0</v>
      </c>
      <c r="EC125" s="399">
        <v>-12919.214621899919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7774.5788548018963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215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21" customFormat="1">
      <c r="A126" s="399">
        <v>124</v>
      </c>
      <c r="B126" s="399" t="s">
        <v>2345</v>
      </c>
      <c r="C126" s="399" t="s">
        <v>2343</v>
      </c>
      <c r="D126" s="399" t="s">
        <v>2353</v>
      </c>
      <c r="E126" s="399" t="s">
        <v>894</v>
      </c>
      <c r="F126" s="399" t="s">
        <v>1239</v>
      </c>
      <c r="G126" s="399" t="s">
        <v>1239</v>
      </c>
      <c r="H126" s="399" t="s">
        <v>1239</v>
      </c>
      <c r="I126" s="399" t="s">
        <v>1239</v>
      </c>
      <c r="J126" s="399" t="s">
        <v>2344</v>
      </c>
      <c r="K126" s="791">
        <v>44501</v>
      </c>
      <c r="L126" s="399">
        <v>0</v>
      </c>
      <c r="M126" s="399">
        <v>0</v>
      </c>
      <c r="N126" s="399">
        <v>-0.97099999999999997</v>
      </c>
      <c r="O126" s="399">
        <v>-0.97099999999999997</v>
      </c>
      <c r="P126" s="399">
        <v>-0.97099999999999997</v>
      </c>
      <c r="Q126" s="399">
        <v>-0.97099999999999997</v>
      </c>
      <c r="R126" s="399"/>
      <c r="S126" s="399">
        <v>239.69</v>
      </c>
      <c r="T126" s="399">
        <v>171.61</v>
      </c>
      <c r="U126" s="399"/>
      <c r="V126" s="399">
        <v>-399.3723</v>
      </c>
      <c r="W126" s="399">
        <v>-399.3723</v>
      </c>
      <c r="X126" s="399">
        <v>-397.90608999999995</v>
      </c>
      <c r="Y126" s="399">
        <v>0</v>
      </c>
      <c r="Z126" s="399">
        <v>-58.704037633731836</v>
      </c>
      <c r="AA126" s="399">
        <v>0</v>
      </c>
      <c r="AB126" s="399">
        <v>0</v>
      </c>
      <c r="AC126" s="399">
        <v>0</v>
      </c>
      <c r="AD126" s="399">
        <v>-51.789249230423856</v>
      </c>
      <c r="AE126" s="399">
        <v>-86.044899186724393</v>
      </c>
      <c r="AF126" s="399">
        <v>-160.57837509837984</v>
      </c>
      <c r="AG126" s="399">
        <v>-6.054531595183323</v>
      </c>
      <c r="AH126" s="399">
        <v>0</v>
      </c>
      <c r="AI126" s="399">
        <v>0</v>
      </c>
      <c r="AJ126" s="399">
        <v>0</v>
      </c>
      <c r="AK126" s="399">
        <v>0</v>
      </c>
      <c r="AL126" s="399">
        <v>-9.0770155648656257</v>
      </c>
      <c r="AM126" s="399"/>
      <c r="AN126" s="399">
        <v>-0.38456614867172945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-15.545625447894993</v>
      </c>
      <c r="BH126" s="399">
        <v>0</v>
      </c>
      <c r="BI126" s="399">
        <v>0</v>
      </c>
      <c r="BJ126" s="399">
        <v>0</v>
      </c>
      <c r="BK126" s="399">
        <v>-139.72</v>
      </c>
      <c r="BL126" s="399">
        <v>0</v>
      </c>
      <c r="BM126" s="399"/>
      <c r="BN126" s="399"/>
      <c r="BO126" s="399"/>
      <c r="BP126" s="399"/>
      <c r="BQ126" s="399"/>
      <c r="BR126" s="399">
        <v>-47.744069999999986</v>
      </c>
      <c r="BS126" s="399"/>
      <c r="BT126" s="399"/>
      <c r="BU126" s="399"/>
      <c r="BV126" s="399">
        <v>-176.12400054627483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-349.8014</v>
      </c>
      <c r="CJ126" s="399">
        <v>1.6220500000000015</v>
      </c>
      <c r="CK126" s="399"/>
      <c r="CL126" s="399"/>
      <c r="CM126" s="399"/>
      <c r="CN126" s="399"/>
      <c r="CO126" s="399">
        <v>23.323420000000009</v>
      </c>
      <c r="CP126" s="399">
        <v>-21.857209999999991</v>
      </c>
      <c r="CQ126" s="399">
        <v>30</v>
      </c>
      <c r="CR126" s="399">
        <v>-17.141687469392195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-2.3322058441608746</v>
      </c>
      <c r="DA126" s="399">
        <v>0</v>
      </c>
      <c r="DB126" s="399">
        <v>0</v>
      </c>
      <c r="DC126" s="399">
        <v>-21.862401597583045</v>
      </c>
      <c r="DD126" s="399">
        <v>0</v>
      </c>
      <c r="DE126" s="399">
        <v>0</v>
      </c>
      <c r="DF126" s="399">
        <v>0</v>
      </c>
      <c r="DG126" s="399">
        <v>-2.1165035853630005</v>
      </c>
      <c r="DH126" s="399">
        <v>0</v>
      </c>
      <c r="DI126" s="399">
        <v>8.0631612119425924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1.046068053308348</v>
      </c>
      <c r="DP126" s="399">
        <v>6.0194292463716548E-2</v>
      </c>
      <c r="DQ126" s="399">
        <v>0</v>
      </c>
      <c r="DR126" s="399">
        <v>0</v>
      </c>
      <c r="DS126" s="399"/>
      <c r="DT126" s="399"/>
      <c r="DU126" s="399"/>
      <c r="DV126" s="399">
        <v>-86.044899186724393</v>
      </c>
      <c r="DW126" s="399">
        <v>0</v>
      </c>
      <c r="DX126" s="399">
        <v>0</v>
      </c>
      <c r="DY126" s="399">
        <v>23.323420000000027</v>
      </c>
      <c r="DZ126" s="399">
        <v>-21.857209999999981</v>
      </c>
      <c r="EA126" s="399">
        <v>0</v>
      </c>
      <c r="EB126" s="399">
        <v>0</v>
      </c>
      <c r="EC126" s="399">
        <v>18.602442941891923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-11.194655695132559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215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21" customFormat="1">
      <c r="A127" s="399">
        <v>125</v>
      </c>
      <c r="B127" s="399" t="s">
        <v>2346</v>
      </c>
      <c r="C127" s="399" t="s">
        <v>2343</v>
      </c>
      <c r="D127" s="399" t="s">
        <v>2353</v>
      </c>
      <c r="E127" s="399" t="s">
        <v>894</v>
      </c>
      <c r="F127" s="399" t="s">
        <v>1239</v>
      </c>
      <c r="G127" s="399" t="s">
        <v>1239</v>
      </c>
      <c r="H127" s="399" t="s">
        <v>1239</v>
      </c>
      <c r="I127" s="399" t="s">
        <v>1239</v>
      </c>
      <c r="J127" s="399" t="s">
        <v>2344</v>
      </c>
      <c r="K127" s="791">
        <v>44501</v>
      </c>
      <c r="L127" s="399">
        <v>0</v>
      </c>
      <c r="M127" s="399">
        <v>0</v>
      </c>
      <c r="N127" s="399">
        <v>6.46</v>
      </c>
      <c r="O127" s="399">
        <v>6.46</v>
      </c>
      <c r="P127" s="399">
        <v>6.46</v>
      </c>
      <c r="Q127" s="399">
        <v>6.46</v>
      </c>
      <c r="R127" s="399"/>
      <c r="S127" s="399">
        <v>239.69</v>
      </c>
      <c r="T127" s="399">
        <v>171.61</v>
      </c>
      <c r="U127" s="399"/>
      <c r="V127" s="399">
        <v>2656.998</v>
      </c>
      <c r="W127" s="399">
        <v>2656.998</v>
      </c>
      <c r="X127" s="399">
        <v>2647.2434000000003</v>
      </c>
      <c r="Y127" s="399">
        <v>0</v>
      </c>
      <c r="Z127" s="399">
        <v>390.55415356736114</v>
      </c>
      <c r="AA127" s="399">
        <v>0</v>
      </c>
      <c r="AB127" s="399">
        <v>0</v>
      </c>
      <c r="AC127" s="399">
        <v>0</v>
      </c>
      <c r="AD127" s="399">
        <v>344.55051496244914</v>
      </c>
      <c r="AE127" s="399">
        <v>572.45113156152377</v>
      </c>
      <c r="AF127" s="399">
        <v>1068.3175109531758</v>
      </c>
      <c r="AG127" s="399">
        <v>40.280405875267014</v>
      </c>
      <c r="AH127" s="399">
        <v>0</v>
      </c>
      <c r="AI127" s="399">
        <v>0</v>
      </c>
      <c r="AJ127" s="399">
        <v>0</v>
      </c>
      <c r="AK127" s="399">
        <v>0</v>
      </c>
      <c r="AL127" s="399">
        <v>60.388795622072031</v>
      </c>
      <c r="AM127" s="399"/>
      <c r="AN127" s="399">
        <v>2.5584936358592918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103.42403748033126</v>
      </c>
      <c r="BH127" s="399">
        <v>0</v>
      </c>
      <c r="BI127" s="399">
        <v>0</v>
      </c>
      <c r="BJ127" s="399">
        <v>0</v>
      </c>
      <c r="BK127" s="399">
        <v>1879.82</v>
      </c>
      <c r="BL127" s="399">
        <v>6</v>
      </c>
      <c r="BM127" s="399"/>
      <c r="BN127" s="399"/>
      <c r="BO127" s="399"/>
      <c r="BP127" s="399"/>
      <c r="BQ127" s="399"/>
      <c r="BR127" s="399">
        <v>317.63819999999993</v>
      </c>
      <c r="BS127" s="399"/>
      <c r="BT127" s="399"/>
      <c r="BU127" s="399"/>
      <c r="BV127" s="399">
        <v>1171.741548433507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2329.6052</v>
      </c>
      <c r="CJ127" s="399">
        <v>-8.6218000000003485</v>
      </c>
      <c r="CK127" s="399"/>
      <c r="CL127" s="399"/>
      <c r="CM127" s="399"/>
      <c r="CN127" s="399"/>
      <c r="CO127" s="399">
        <v>-155.16920000000007</v>
      </c>
      <c r="CP127" s="399">
        <v>145.41459999999995</v>
      </c>
      <c r="CQ127" s="399">
        <v>30</v>
      </c>
      <c r="CR127" s="399">
        <v>114.04253455435082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15.516014164036335</v>
      </c>
      <c r="DA127" s="399">
        <v>0</v>
      </c>
      <c r="DB127" s="399">
        <v>0</v>
      </c>
      <c r="DC127" s="399">
        <v>145.44913936188118</v>
      </c>
      <c r="DD127" s="399">
        <v>0</v>
      </c>
      <c r="DE127" s="399">
        <v>0</v>
      </c>
      <c r="DF127" s="399">
        <v>0</v>
      </c>
      <c r="DG127" s="399">
        <v>14.080961031354263</v>
      </c>
      <c r="DH127" s="399">
        <v>0</v>
      </c>
      <c r="DI127" s="399">
        <v>-53.643688392532624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-6.9594228881276337</v>
      </c>
      <c r="DP127" s="399">
        <v>-0.40046872226118335</v>
      </c>
      <c r="DQ127" s="399">
        <v>0</v>
      </c>
      <c r="DR127" s="399">
        <v>0</v>
      </c>
      <c r="DS127" s="399"/>
      <c r="DT127" s="399"/>
      <c r="DU127" s="399"/>
      <c r="DV127" s="399">
        <v>572.45113156152377</v>
      </c>
      <c r="DW127" s="399">
        <v>0</v>
      </c>
      <c r="DX127" s="399">
        <v>0</v>
      </c>
      <c r="DY127" s="399">
        <v>-155.16920000000005</v>
      </c>
      <c r="DZ127" s="399">
        <v>145.41460000000006</v>
      </c>
      <c r="EA127" s="399">
        <v>0</v>
      </c>
      <c r="EB127" s="399">
        <v>0</v>
      </c>
      <c r="EC127" s="399">
        <v>-123.76084593678871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74.477318012931335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215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21" customFormat="1">
      <c r="A128" s="399">
        <v>126</v>
      </c>
      <c r="B128" s="399" t="s">
        <v>956</v>
      </c>
      <c r="C128" s="399" t="s">
        <v>2352</v>
      </c>
      <c r="D128" s="399" t="s">
        <v>533</v>
      </c>
      <c r="E128" s="399" t="s">
        <v>894</v>
      </c>
      <c r="F128" s="399" t="s">
        <v>1239</v>
      </c>
      <c r="G128" s="399" t="s">
        <v>1239</v>
      </c>
      <c r="H128" s="399" t="s">
        <v>1239</v>
      </c>
      <c r="I128" s="399" t="s">
        <v>893</v>
      </c>
      <c r="J128" s="399" t="s">
        <v>2344</v>
      </c>
      <c r="K128" s="791">
        <v>44501</v>
      </c>
      <c r="L128" s="399">
        <v>0</v>
      </c>
      <c r="M128" s="399">
        <v>0</v>
      </c>
      <c r="N128" s="399">
        <v>13.2</v>
      </c>
      <c r="O128" s="399">
        <v>12.672000000000001</v>
      </c>
      <c r="P128" s="399">
        <v>13.2</v>
      </c>
      <c r="Q128" s="399">
        <v>12.672000000000001</v>
      </c>
      <c r="R128" s="399"/>
      <c r="S128" s="399">
        <v>984.21</v>
      </c>
      <c r="T128" s="399">
        <v>171.61</v>
      </c>
      <c r="U128" s="399"/>
      <c r="V128" s="399">
        <v>15256.824000000001</v>
      </c>
      <c r="W128" s="399">
        <v>15256.824000000001</v>
      </c>
      <c r="X128" s="399">
        <v>14227.619999999999</v>
      </c>
      <c r="Y128" s="399">
        <v>0</v>
      </c>
      <c r="Z128" s="399">
        <v>694.29162532005796</v>
      </c>
      <c r="AA128" s="399">
        <v>0</v>
      </c>
      <c r="AB128" s="399">
        <v>0</v>
      </c>
      <c r="AC128" s="399">
        <v>0</v>
      </c>
      <c r="AD128" s="399">
        <v>5196.95438327798</v>
      </c>
      <c r="AE128" s="399">
        <v>6759.4839946666025</v>
      </c>
      <c r="AF128" s="399">
        <v>2182.9398056628361</v>
      </c>
      <c r="AG128" s="399">
        <v>82.306711695592028</v>
      </c>
      <c r="AH128" s="399">
        <v>0</v>
      </c>
      <c r="AI128" s="399">
        <v>0</v>
      </c>
      <c r="AJ128" s="399">
        <v>0</v>
      </c>
      <c r="AK128" s="399">
        <v>0</v>
      </c>
      <c r="AL128" s="399">
        <v>123.39506226181899</v>
      </c>
      <c r="AM128" s="399"/>
      <c r="AN128" s="399">
        <v>3.4855982682529136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81.593011699535694</v>
      </c>
      <c r="BH128" s="399">
        <v>0</v>
      </c>
      <c r="BI128" s="399">
        <v>0</v>
      </c>
      <c r="BJ128" s="399">
        <v>0</v>
      </c>
      <c r="BK128" s="399">
        <v>0</v>
      </c>
      <c r="BL128" s="399">
        <v>0</v>
      </c>
      <c r="BM128" s="399"/>
      <c r="BN128" s="399"/>
      <c r="BO128" s="399"/>
      <c r="BP128" s="399"/>
      <c r="BQ128" s="399"/>
      <c r="BR128" s="399">
        <v>569.10479999999859</v>
      </c>
      <c r="BS128" s="399"/>
      <c r="BT128" s="399"/>
      <c r="BU128" s="399"/>
      <c r="BV128" s="399">
        <v>2264.5328173623716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13656.359499999999</v>
      </c>
      <c r="CJ128" s="399">
        <v>-990.22154000000228</v>
      </c>
      <c r="CK128" s="399"/>
      <c r="CL128" s="399"/>
      <c r="CM128" s="399"/>
      <c r="CN128" s="399"/>
      <c r="CO128" s="399">
        <v>-1326.3360000000002</v>
      </c>
      <c r="CP128" s="399">
        <v>297.13199999999989</v>
      </c>
      <c r="CQ128" s="399">
        <v>30</v>
      </c>
      <c r="CR128" s="399">
        <v>432.21484475468424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234.03249833941572</v>
      </c>
      <c r="DA128" s="399">
        <v>0</v>
      </c>
      <c r="DB128" s="399">
        <v>0</v>
      </c>
      <c r="DC128" s="399">
        <v>297.20257578588689</v>
      </c>
      <c r="DD128" s="399">
        <v>0</v>
      </c>
      <c r="DE128" s="399">
        <v>0</v>
      </c>
      <c r="DF128" s="399">
        <v>0</v>
      </c>
      <c r="DG128" s="399">
        <v>11.108713662338545</v>
      </c>
      <c r="DH128" s="399">
        <v>0</v>
      </c>
      <c r="DI128" s="399">
        <v>-95.362866486043117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-14.220492588743753</v>
      </c>
      <c r="DP128" s="399">
        <v>-0.5455839581692894</v>
      </c>
      <c r="DQ128" s="399">
        <v>0</v>
      </c>
      <c r="DR128" s="399">
        <v>0</v>
      </c>
      <c r="DS128" s="399"/>
      <c r="DT128" s="399"/>
      <c r="DU128" s="399"/>
      <c r="DV128" s="399">
        <v>6759.4839946666025</v>
      </c>
      <c r="DW128" s="399">
        <v>0</v>
      </c>
      <c r="DX128" s="399">
        <v>0</v>
      </c>
      <c r="DY128" s="399">
        <v>-1326.3360000000011</v>
      </c>
      <c r="DZ128" s="399">
        <v>297.13200000000006</v>
      </c>
      <c r="EA128" s="399">
        <v>0</v>
      </c>
      <c r="EB128" s="399">
        <v>0</v>
      </c>
      <c r="EC128" s="399">
        <v>-1461.3639682992098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132.39899691339022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215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21" customFormat="1">
      <c r="A129" s="399">
        <v>127</v>
      </c>
      <c r="B129" s="399" t="s">
        <v>956</v>
      </c>
      <c r="C129" s="399" t="s">
        <v>2352</v>
      </c>
      <c r="D129" s="399" t="s">
        <v>533</v>
      </c>
      <c r="E129" s="399" t="s">
        <v>894</v>
      </c>
      <c r="F129" s="399" t="s">
        <v>1239</v>
      </c>
      <c r="G129" s="399" t="s">
        <v>1239</v>
      </c>
      <c r="H129" s="399" t="s">
        <v>1239</v>
      </c>
      <c r="I129" s="399" t="s">
        <v>2326</v>
      </c>
      <c r="J129" s="399" t="s">
        <v>2344</v>
      </c>
      <c r="K129" s="791">
        <v>44501</v>
      </c>
      <c r="L129" s="399">
        <v>0</v>
      </c>
      <c r="M129" s="399">
        <v>0</v>
      </c>
      <c r="N129" s="399">
        <v>221.334</v>
      </c>
      <c r="O129" s="399">
        <v>212.48063999999999</v>
      </c>
      <c r="P129" s="399">
        <v>221.334</v>
      </c>
      <c r="Q129" s="399">
        <v>212.48063999999999</v>
      </c>
      <c r="R129" s="399"/>
      <c r="S129" s="399">
        <v>78.42</v>
      </c>
      <c r="T129" s="399">
        <v>171.61</v>
      </c>
      <c r="U129" s="399"/>
      <c r="V129" s="399">
        <v>55340.140020000006</v>
      </c>
      <c r="W129" s="399">
        <v>55340.140020000006</v>
      </c>
      <c r="X129" s="399">
        <v>58662.363360000003</v>
      </c>
      <c r="Y129" s="399">
        <v>0</v>
      </c>
      <c r="Z129" s="399">
        <v>11641.692621105281</v>
      </c>
      <c r="AA129" s="399">
        <v>0</v>
      </c>
      <c r="AB129" s="399">
        <v>0</v>
      </c>
      <c r="AC129" s="399">
        <v>0</v>
      </c>
      <c r="AD129" s="399">
        <v>0</v>
      </c>
      <c r="AE129" s="399">
        <v>0</v>
      </c>
      <c r="AF129" s="399">
        <v>36602.93931413471</v>
      </c>
      <c r="AG129" s="399">
        <v>1380.0964944266793</v>
      </c>
      <c r="AH129" s="399">
        <v>0</v>
      </c>
      <c r="AI129" s="399">
        <v>0</v>
      </c>
      <c r="AJ129" s="399">
        <v>0</v>
      </c>
      <c r="AK129" s="399">
        <v>0</v>
      </c>
      <c r="AL129" s="399">
        <v>2069.0547508073823</v>
      </c>
      <c r="AM129" s="399"/>
      <c r="AN129" s="399">
        <v>58.445561144355338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1368.1293675382601</v>
      </c>
      <c r="BH129" s="399">
        <v>0</v>
      </c>
      <c r="BI129" s="399">
        <v>0</v>
      </c>
      <c r="BJ129" s="399">
        <v>0</v>
      </c>
      <c r="BK129" s="399">
        <v>0</v>
      </c>
      <c r="BL129" s="399">
        <v>0</v>
      </c>
      <c r="BM129" s="399"/>
      <c r="BN129" s="399"/>
      <c r="BO129" s="399"/>
      <c r="BP129" s="399"/>
      <c r="BQ129" s="399"/>
      <c r="BR129" s="399">
        <v>2346.4945344000025</v>
      </c>
      <c r="BS129" s="399"/>
      <c r="BT129" s="399"/>
      <c r="BU129" s="399"/>
      <c r="BV129" s="399">
        <v>37971.068681672972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56315.699199999995</v>
      </c>
      <c r="CJ129" s="399">
        <v>3189.1347807999991</v>
      </c>
      <c r="CK129" s="399"/>
      <c r="CL129" s="399"/>
      <c r="CM129" s="399"/>
      <c r="CN129" s="399"/>
      <c r="CO129" s="399">
        <v>-1660.0050000000001</v>
      </c>
      <c r="CP129" s="399">
        <v>4982.2283399999978</v>
      </c>
      <c r="CQ129" s="399">
        <v>30</v>
      </c>
      <c r="CR129" s="399">
        <v>3323.0675349604062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0</v>
      </c>
      <c r="DA129" s="399">
        <v>0</v>
      </c>
      <c r="DB129" s="399">
        <v>0</v>
      </c>
      <c r="DC129" s="399">
        <v>4983.4117355298149</v>
      </c>
      <c r="DD129" s="399">
        <v>0</v>
      </c>
      <c r="DE129" s="399">
        <v>0</v>
      </c>
      <c r="DF129" s="399">
        <v>0</v>
      </c>
      <c r="DG129" s="399">
        <v>186.26788104091224</v>
      </c>
      <c r="DH129" s="399">
        <v>0</v>
      </c>
      <c r="DI129" s="399">
        <v>-1599.0185371834759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-238.44534141189479</v>
      </c>
      <c r="DP129" s="399">
        <v>-9.1482030149576943</v>
      </c>
      <c r="DQ129" s="399">
        <v>0</v>
      </c>
      <c r="DR129" s="399">
        <v>0</v>
      </c>
      <c r="DS129" s="399"/>
      <c r="DT129" s="399"/>
      <c r="DU129" s="399"/>
      <c r="DV129" s="399">
        <v>0</v>
      </c>
      <c r="DW129" s="399">
        <v>0</v>
      </c>
      <c r="DX129" s="399">
        <v>0</v>
      </c>
      <c r="DY129" s="399">
        <v>-1660.0049999999992</v>
      </c>
      <c r="DZ129" s="399">
        <v>4982.2283400000015</v>
      </c>
      <c r="EA129" s="399">
        <v>0</v>
      </c>
      <c r="EB129" s="399">
        <v>0</v>
      </c>
      <c r="EC129" s="399">
        <v>0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2220.0302714263876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215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21" customFormat="1">
      <c r="A130" s="399">
        <v>128</v>
      </c>
      <c r="B130" s="399" t="s">
        <v>956</v>
      </c>
      <c r="C130" s="399" t="s">
        <v>2352</v>
      </c>
      <c r="D130" s="399" t="s">
        <v>533</v>
      </c>
      <c r="E130" s="399" t="s">
        <v>894</v>
      </c>
      <c r="F130" s="399" t="s">
        <v>1239</v>
      </c>
      <c r="G130" s="399" t="s">
        <v>1239</v>
      </c>
      <c r="H130" s="399" t="s">
        <v>1239</v>
      </c>
      <c r="I130" s="399" t="s">
        <v>1239</v>
      </c>
      <c r="J130" s="399" t="s">
        <v>2344</v>
      </c>
      <c r="K130" s="791">
        <v>44501</v>
      </c>
      <c r="L130" s="399">
        <v>1317</v>
      </c>
      <c r="M130" s="399">
        <v>1264.32</v>
      </c>
      <c r="N130" s="399">
        <v>0</v>
      </c>
      <c r="O130" s="399">
        <v>0</v>
      </c>
      <c r="P130" s="399">
        <v>0</v>
      </c>
      <c r="Q130" s="399">
        <v>0</v>
      </c>
      <c r="R130" s="399">
        <v>12.58</v>
      </c>
      <c r="S130" s="399"/>
      <c r="T130" s="399"/>
      <c r="U130" s="399">
        <v>16567.86</v>
      </c>
      <c r="V130" s="399"/>
      <c r="W130" s="399">
        <v>16567.86</v>
      </c>
      <c r="X130" s="399">
        <v>15264.03</v>
      </c>
      <c r="Y130" s="399">
        <v>0</v>
      </c>
      <c r="Z130" s="399">
        <v>0</v>
      </c>
      <c r="AA130" s="399">
        <v>0</v>
      </c>
      <c r="AB130" s="399">
        <v>0</v>
      </c>
      <c r="AC130" s="399">
        <v>0</v>
      </c>
      <c r="AD130" s="399">
        <v>8728.3377194213317</v>
      </c>
      <c r="AE130" s="399">
        <v>7835.7667864626128</v>
      </c>
      <c r="AF130" s="399"/>
      <c r="AG130" s="399"/>
      <c r="AH130" s="399"/>
      <c r="AI130" s="399">
        <v>0</v>
      </c>
      <c r="AJ130" s="399">
        <v>0</v>
      </c>
      <c r="AK130" s="399">
        <v>0</v>
      </c>
      <c r="AL130" s="399">
        <v>0</v>
      </c>
      <c r="AM130" s="399"/>
      <c r="AN130" s="399">
        <v>0</v>
      </c>
      <c r="AO130" s="399">
        <v>0</v>
      </c>
      <c r="AP130" s="399">
        <v>0</v>
      </c>
      <c r="AQ130" s="399">
        <v>0</v>
      </c>
      <c r="AR130" s="399">
        <v>0</v>
      </c>
      <c r="AS130" s="399"/>
      <c r="AT130" s="399"/>
      <c r="AU130" s="399">
        <v>0</v>
      </c>
      <c r="AV130" s="399">
        <v>0</v>
      </c>
      <c r="AW130" s="399">
        <v>0</v>
      </c>
      <c r="AX130" s="399"/>
      <c r="AY130" s="399"/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/>
      <c r="BG130" s="399">
        <v>0</v>
      </c>
      <c r="BH130" s="399">
        <v>0</v>
      </c>
      <c r="BI130" s="399">
        <v>0</v>
      </c>
      <c r="BJ130" s="399">
        <v>0</v>
      </c>
      <c r="BK130" s="399">
        <v>41227.019999999997</v>
      </c>
      <c r="BL130" s="399">
        <v>11</v>
      </c>
      <c r="BM130" s="399"/>
      <c r="BN130" s="399"/>
      <c r="BO130" s="399"/>
      <c r="BP130" s="399"/>
      <c r="BQ130" s="399"/>
      <c r="BR130" s="399">
        <v>610.56120000000078</v>
      </c>
      <c r="BS130" s="399"/>
      <c r="BT130" s="399"/>
      <c r="BU130" s="399"/>
      <c r="BV130" s="399">
        <v>0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14653.468799999999</v>
      </c>
      <c r="CJ130" s="399">
        <v>-1251.7068000000017</v>
      </c>
      <c r="CK130" s="399"/>
      <c r="CL130" s="399"/>
      <c r="CM130" s="399"/>
      <c r="CN130" s="399"/>
      <c r="CO130" s="399">
        <v>-1303.8300000000004</v>
      </c>
      <c r="CP130" s="399">
        <v>0</v>
      </c>
      <c r="CQ130" s="399">
        <v>30</v>
      </c>
      <c r="CR130" s="399">
        <v>393.05996015647179</v>
      </c>
      <c r="CS130" s="399">
        <v>0</v>
      </c>
      <c r="CT130" s="399">
        <v>0</v>
      </c>
      <c r="CU130" s="399">
        <v>0</v>
      </c>
      <c r="CV130" s="399">
        <v>0</v>
      </c>
      <c r="CW130" s="399"/>
      <c r="CX130" s="399"/>
      <c r="CY130" s="399"/>
      <c r="CZ130" s="399">
        <v>393.05996015647179</v>
      </c>
      <c r="DA130" s="399">
        <v>0</v>
      </c>
      <c r="DB130" s="399">
        <v>0</v>
      </c>
      <c r="DC130" s="399"/>
      <c r="DD130" s="399"/>
      <c r="DE130" s="399">
        <v>0</v>
      </c>
      <c r="DF130" s="399">
        <v>0</v>
      </c>
      <c r="DG130" s="399">
        <v>0</v>
      </c>
      <c r="DH130" s="399">
        <v>0</v>
      </c>
      <c r="DI130" s="399">
        <v>0</v>
      </c>
      <c r="DJ130" s="399"/>
      <c r="DK130" s="399">
        <v>0</v>
      </c>
      <c r="DL130" s="399">
        <v>0</v>
      </c>
      <c r="DM130" s="399"/>
      <c r="DN130" s="399">
        <v>0</v>
      </c>
      <c r="DO130" s="399">
        <v>0</v>
      </c>
      <c r="DP130" s="399">
        <v>0</v>
      </c>
      <c r="DQ130" s="399">
        <v>0</v>
      </c>
      <c r="DR130" s="399">
        <v>0</v>
      </c>
      <c r="DS130" s="399"/>
      <c r="DT130" s="399"/>
      <c r="DU130" s="399">
        <v>7835.7667864626128</v>
      </c>
      <c r="DV130" s="399"/>
      <c r="DW130" s="399">
        <v>0</v>
      </c>
      <c r="DX130" s="399">
        <v>0</v>
      </c>
      <c r="DY130" s="399">
        <v>-1303.83</v>
      </c>
      <c r="DZ130" s="399"/>
      <c r="EA130" s="399">
        <v>0</v>
      </c>
      <c r="EB130" s="399"/>
      <c r="EC130" s="399">
        <v>-1694.0505007138427</v>
      </c>
      <c r="ED130" s="399"/>
      <c r="EE130" s="399">
        <v>0</v>
      </c>
      <c r="EF130" s="399">
        <v>0</v>
      </c>
      <c r="EG130" s="399"/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/>
      <c r="EN130" s="399"/>
      <c r="EO130" s="399">
        <v>0</v>
      </c>
      <c r="EP130" s="399">
        <v>0</v>
      </c>
      <c r="EQ130" s="399"/>
      <c r="ER130" s="399">
        <v>0</v>
      </c>
      <c r="ES130" s="399"/>
      <c r="ET130" s="399">
        <v>0</v>
      </c>
      <c r="EU130" s="399"/>
      <c r="EV130" s="399">
        <v>215</v>
      </c>
      <c r="EW130" s="399"/>
      <c r="EX130" s="399"/>
      <c r="EY130" s="399"/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21" customFormat="1">
      <c r="A131" s="399">
        <v>129</v>
      </c>
      <c r="B131" s="399" t="s">
        <v>956</v>
      </c>
      <c r="C131" s="399" t="s">
        <v>2343</v>
      </c>
      <c r="D131" s="399" t="s">
        <v>1826</v>
      </c>
      <c r="E131" s="399" t="s">
        <v>2354</v>
      </c>
      <c r="F131" s="399" t="s">
        <v>1239</v>
      </c>
      <c r="G131" s="399" t="s">
        <v>1239</v>
      </c>
      <c r="H131" s="399" t="s">
        <v>1239</v>
      </c>
      <c r="I131" s="399" t="s">
        <v>1239</v>
      </c>
      <c r="J131" s="399" t="s">
        <v>2344</v>
      </c>
      <c r="K131" s="791">
        <v>44501</v>
      </c>
      <c r="L131" s="399">
        <v>0</v>
      </c>
      <c r="M131" s="399">
        <v>0</v>
      </c>
      <c r="N131" s="399">
        <v>46.548999999999999</v>
      </c>
      <c r="O131" s="399">
        <v>46.548999999999999</v>
      </c>
      <c r="P131" s="399">
        <v>46.548999999999999</v>
      </c>
      <c r="Q131" s="399">
        <v>46.548999999999999</v>
      </c>
      <c r="R131" s="399"/>
      <c r="S131" s="399">
        <v>239.69</v>
      </c>
      <c r="T131" s="399">
        <v>171.61</v>
      </c>
      <c r="U131" s="399"/>
      <c r="V131" s="399">
        <v>19145.6037</v>
      </c>
      <c r="W131" s="399">
        <v>19145.6037</v>
      </c>
      <c r="X131" s="399">
        <v>19075.314709999999</v>
      </c>
      <c r="Y131" s="399">
        <v>0</v>
      </c>
      <c r="Z131" s="399">
        <v>2814.226825759612</v>
      </c>
      <c r="AA131" s="399">
        <v>0</v>
      </c>
      <c r="AB131" s="399">
        <v>0</v>
      </c>
      <c r="AC131" s="399">
        <v>0</v>
      </c>
      <c r="AD131" s="399">
        <v>2482.7371394716788</v>
      </c>
      <c r="AE131" s="399">
        <v>4124.9268921141438</v>
      </c>
      <c r="AF131" s="399">
        <v>7698.0049252878298</v>
      </c>
      <c r="AG131" s="399">
        <v>290.24963050894803</v>
      </c>
      <c r="AH131" s="399">
        <v>0</v>
      </c>
      <c r="AI131" s="399">
        <v>0</v>
      </c>
      <c r="AJ131" s="399">
        <v>0</v>
      </c>
      <c r="AK131" s="399">
        <v>0</v>
      </c>
      <c r="AL131" s="399">
        <v>435.14520857768281</v>
      </c>
      <c r="AM131" s="399"/>
      <c r="AN131" s="399">
        <v>18.435808089104359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745.24543663652332</v>
      </c>
      <c r="BH131" s="399">
        <v>0</v>
      </c>
      <c r="BI131" s="399">
        <v>0</v>
      </c>
      <c r="BJ131" s="399">
        <v>0</v>
      </c>
      <c r="BK131" s="399">
        <v>7801.13</v>
      </c>
      <c r="BL131" s="399">
        <v>45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8443.2503619243525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19075.724499999997</v>
      </c>
      <c r="CJ131" s="399">
        <v>-69.909200000001874</v>
      </c>
      <c r="CK131" s="399"/>
      <c r="CL131" s="399"/>
      <c r="CM131" s="399"/>
      <c r="CN131" s="399"/>
      <c r="CO131" s="399">
        <v>-1118.1069800000005</v>
      </c>
      <c r="CP131" s="399">
        <v>1047.8179899999996</v>
      </c>
      <c r="CQ131" s="399">
        <v>30</v>
      </c>
      <c r="CR131" s="399">
        <v>821.75943358675431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111.80417079283689</v>
      </c>
      <c r="DA131" s="399">
        <v>0</v>
      </c>
      <c r="DB131" s="399">
        <v>0</v>
      </c>
      <c r="DC131" s="399">
        <v>1048.0668712316101</v>
      </c>
      <c r="DD131" s="399">
        <v>0</v>
      </c>
      <c r="DE131" s="399">
        <v>0</v>
      </c>
      <c r="DF131" s="399">
        <v>0</v>
      </c>
      <c r="DG131" s="399">
        <v>101.46356889295805</v>
      </c>
      <c r="DH131" s="399">
        <v>0</v>
      </c>
      <c r="DI131" s="399">
        <v>-386.54180355789458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-50.147705266169226</v>
      </c>
      <c r="DP131" s="399">
        <v>-2.8856685065844907</v>
      </c>
      <c r="DQ131" s="399">
        <v>0</v>
      </c>
      <c r="DR131" s="399">
        <v>0</v>
      </c>
      <c r="DS131" s="399"/>
      <c r="DT131" s="399"/>
      <c r="DU131" s="399"/>
      <c r="DV131" s="399">
        <v>4124.9268921141438</v>
      </c>
      <c r="DW131" s="399">
        <v>0</v>
      </c>
      <c r="DX131" s="399">
        <v>0</v>
      </c>
      <c r="DY131" s="399">
        <v>-1118.1069800000005</v>
      </c>
      <c r="DZ131" s="399">
        <v>1047.8179899999996</v>
      </c>
      <c r="EA131" s="399">
        <v>0</v>
      </c>
      <c r="EB131" s="399">
        <v>0</v>
      </c>
      <c r="EC131" s="399">
        <v>-891.78693769529036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536.66326256717355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215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21" customFormat="1">
      <c r="A132" s="399">
        <v>130</v>
      </c>
      <c r="B132" s="399" t="s">
        <v>2345</v>
      </c>
      <c r="C132" s="399" t="s">
        <v>2343</v>
      </c>
      <c r="D132" s="399" t="s">
        <v>1826</v>
      </c>
      <c r="E132" s="399" t="s">
        <v>2354</v>
      </c>
      <c r="F132" s="399" t="s">
        <v>1239</v>
      </c>
      <c r="G132" s="399" t="s">
        <v>1239</v>
      </c>
      <c r="H132" s="399" t="s">
        <v>1239</v>
      </c>
      <c r="I132" s="399" t="s">
        <v>1239</v>
      </c>
      <c r="J132" s="399" t="s">
        <v>2344</v>
      </c>
      <c r="K132" s="791">
        <v>44501</v>
      </c>
      <c r="L132" s="399">
        <v>0</v>
      </c>
      <c r="M132" s="399">
        <v>0</v>
      </c>
      <c r="N132" s="399">
        <v>0.16400000000000001</v>
      </c>
      <c r="O132" s="399">
        <v>0.16400000000000001</v>
      </c>
      <c r="P132" s="399">
        <v>0.16400000000000001</v>
      </c>
      <c r="Q132" s="399">
        <v>0.16400000000000001</v>
      </c>
      <c r="R132" s="399"/>
      <c r="S132" s="399">
        <v>239.69</v>
      </c>
      <c r="T132" s="399">
        <v>171.61</v>
      </c>
      <c r="U132" s="399"/>
      <c r="V132" s="399">
        <v>67.45320000000001</v>
      </c>
      <c r="W132" s="399">
        <v>67.45320000000001</v>
      </c>
      <c r="X132" s="399">
        <v>67.205560000000006</v>
      </c>
      <c r="Y132" s="399">
        <v>0</v>
      </c>
      <c r="Z132" s="399">
        <v>9.9149970874686115</v>
      </c>
      <c r="AA132" s="399">
        <v>0</v>
      </c>
      <c r="AB132" s="399">
        <v>0</v>
      </c>
      <c r="AC132" s="399">
        <v>0</v>
      </c>
      <c r="AD132" s="399">
        <v>8.7471028566318374</v>
      </c>
      <c r="AE132" s="399">
        <v>14.53281510465788</v>
      </c>
      <c r="AF132" s="399">
        <v>27.121373343083722</v>
      </c>
      <c r="AG132" s="399">
        <v>1.0225985392482648</v>
      </c>
      <c r="AH132" s="399">
        <v>0</v>
      </c>
      <c r="AI132" s="399">
        <v>0</v>
      </c>
      <c r="AJ132" s="399">
        <v>0</v>
      </c>
      <c r="AK132" s="399">
        <v>0</v>
      </c>
      <c r="AL132" s="399">
        <v>1.533090167495327</v>
      </c>
      <c r="AM132" s="399"/>
      <c r="AN132" s="399">
        <v>6.4952470012526908E-2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2.6256257193149115</v>
      </c>
      <c r="BH132" s="399">
        <v>0</v>
      </c>
      <c r="BI132" s="399">
        <v>0</v>
      </c>
      <c r="BJ132" s="399">
        <v>0</v>
      </c>
      <c r="BK132" s="399">
        <v>0</v>
      </c>
      <c r="BL132" s="399">
        <v>0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29.746999062398633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65.566400000000002</v>
      </c>
      <c r="CJ132" s="399">
        <v>-1.916799999999995</v>
      </c>
      <c r="CK132" s="399"/>
      <c r="CL132" s="399"/>
      <c r="CM132" s="399"/>
      <c r="CN132" s="399"/>
      <c r="CO132" s="399">
        <v>-3.9392800000000019</v>
      </c>
      <c r="CP132" s="399">
        <v>3.6916399999999987</v>
      </c>
      <c r="CQ132" s="399">
        <v>30</v>
      </c>
      <c r="CR132" s="399">
        <v>2.8951974716584346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0.39390500354519276</v>
      </c>
      <c r="DA132" s="399">
        <v>0</v>
      </c>
      <c r="DB132" s="399">
        <v>0</v>
      </c>
      <c r="DC132" s="399">
        <v>3.6925168506731438</v>
      </c>
      <c r="DD132" s="399">
        <v>0</v>
      </c>
      <c r="DE132" s="399">
        <v>0</v>
      </c>
      <c r="DF132" s="399">
        <v>0</v>
      </c>
      <c r="DG132" s="399">
        <v>0.3574733141086841</v>
      </c>
      <c r="DH132" s="399">
        <v>0</v>
      </c>
      <c r="DI132" s="399">
        <v>-1.3618521511416954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-0.17667884731469519</v>
      </c>
      <c r="DP132" s="399">
        <v>-1.0166698212203409E-2</v>
      </c>
      <c r="DQ132" s="399">
        <v>0</v>
      </c>
      <c r="DR132" s="399">
        <v>0</v>
      </c>
      <c r="DS132" s="399"/>
      <c r="DT132" s="399"/>
      <c r="DU132" s="399"/>
      <c r="DV132" s="399">
        <v>14.53281510465788</v>
      </c>
      <c r="DW132" s="399">
        <v>0</v>
      </c>
      <c r="DX132" s="399">
        <v>0</v>
      </c>
      <c r="DY132" s="399">
        <v>-3.9392799999999966</v>
      </c>
      <c r="DZ132" s="399">
        <v>3.6916399999999996</v>
      </c>
      <c r="EA132" s="399">
        <v>0</v>
      </c>
      <c r="EB132" s="399">
        <v>0</v>
      </c>
      <c r="EC132" s="399">
        <v>-3.1419162126367421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1.890755441814356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215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956</v>
      </c>
      <c r="C133" s="399" t="s">
        <v>2352</v>
      </c>
      <c r="D133" s="399" t="s">
        <v>533</v>
      </c>
      <c r="E133" s="399" t="s">
        <v>2354</v>
      </c>
      <c r="F133" s="399" t="s">
        <v>1239</v>
      </c>
      <c r="G133" s="399" t="s">
        <v>1239</v>
      </c>
      <c r="H133" s="399" t="s">
        <v>1239</v>
      </c>
      <c r="I133" s="399" t="s">
        <v>893</v>
      </c>
      <c r="J133" s="399" t="s">
        <v>2344</v>
      </c>
      <c r="K133" s="791">
        <v>44501</v>
      </c>
      <c r="L133" s="399">
        <v>0</v>
      </c>
      <c r="M133" s="399">
        <v>0</v>
      </c>
      <c r="N133" s="399">
        <v>1.8480000000000001</v>
      </c>
      <c r="O133" s="399">
        <v>1.8480000000000001</v>
      </c>
      <c r="P133" s="399">
        <v>1.8480000000000001</v>
      </c>
      <c r="Q133" s="399">
        <v>1.8480000000000001</v>
      </c>
      <c r="R133" s="399"/>
      <c r="S133" s="399">
        <v>984.21</v>
      </c>
      <c r="T133" s="399">
        <v>171.61</v>
      </c>
      <c r="U133" s="399"/>
      <c r="V133" s="399">
        <v>2135.9553600000004</v>
      </c>
      <c r="W133" s="399">
        <v>2135.9553600000004</v>
      </c>
      <c r="X133" s="399">
        <v>1991.8668000000002</v>
      </c>
      <c r="Y133" s="399">
        <v>0</v>
      </c>
      <c r="Z133" s="399">
        <v>97.200827544808121</v>
      </c>
      <c r="AA133" s="399">
        <v>0</v>
      </c>
      <c r="AB133" s="399">
        <v>0</v>
      </c>
      <c r="AC133" s="399">
        <v>0</v>
      </c>
      <c r="AD133" s="399">
        <v>727.57361365891734</v>
      </c>
      <c r="AE133" s="399">
        <v>946.32775925332442</v>
      </c>
      <c r="AF133" s="399">
        <v>305.61157279279706</v>
      </c>
      <c r="AG133" s="399">
        <v>11.522939637382885</v>
      </c>
      <c r="AH133" s="399">
        <v>0</v>
      </c>
      <c r="AI133" s="399">
        <v>0</v>
      </c>
      <c r="AJ133" s="399">
        <v>0</v>
      </c>
      <c r="AK133" s="399">
        <v>0</v>
      </c>
      <c r="AL133" s="399">
        <v>17.27530871665466</v>
      </c>
      <c r="AM133" s="399"/>
      <c r="AN133" s="399">
        <v>0.48798375755540796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11.423021637934998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317.03459443073206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1994.0225000000003</v>
      </c>
      <c r="CJ133" s="399">
        <v>-141.96286000000032</v>
      </c>
      <c r="CK133" s="399"/>
      <c r="CL133" s="399"/>
      <c r="CM133" s="399"/>
      <c r="CN133" s="399"/>
      <c r="CO133" s="399">
        <v>-185.68704000000005</v>
      </c>
      <c r="CP133" s="399">
        <v>41.598479999999988</v>
      </c>
      <c r="CQ133" s="399">
        <v>30</v>
      </c>
      <c r="CR133" s="399">
        <v>60.510078265655693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32.764549767518133</v>
      </c>
      <c r="DA133" s="399">
        <v>0</v>
      </c>
      <c r="DB133" s="399">
        <v>0</v>
      </c>
      <c r="DC133" s="399">
        <v>41.608360610024192</v>
      </c>
      <c r="DD133" s="399">
        <v>0</v>
      </c>
      <c r="DE133" s="399">
        <v>0</v>
      </c>
      <c r="DF133" s="399">
        <v>0</v>
      </c>
      <c r="DG133" s="399">
        <v>1.5552199127273969</v>
      </c>
      <c r="DH133" s="399">
        <v>0</v>
      </c>
      <c r="DI133" s="399">
        <v>-13.350801308046044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-1.9908689624241251</v>
      </c>
      <c r="DP133" s="399">
        <v>-7.638175414370052E-2</v>
      </c>
      <c r="DQ133" s="399">
        <v>0</v>
      </c>
      <c r="DR133" s="399">
        <v>0</v>
      </c>
      <c r="DS133" s="399"/>
      <c r="DT133" s="399"/>
      <c r="DU133" s="399"/>
      <c r="DV133" s="399">
        <v>946.32775925332442</v>
      </c>
      <c r="DW133" s="399">
        <v>0</v>
      </c>
      <c r="DX133" s="399">
        <v>0</v>
      </c>
      <c r="DY133" s="399">
        <v>-185.68704000000002</v>
      </c>
      <c r="DZ133" s="399">
        <v>41.598479999999995</v>
      </c>
      <c r="EA133" s="399">
        <v>0</v>
      </c>
      <c r="EB133" s="399">
        <v>0</v>
      </c>
      <c r="EC133" s="399">
        <v>-204.59095556188936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18.535859567874635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215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956</v>
      </c>
      <c r="C134" s="399" t="s">
        <v>2352</v>
      </c>
      <c r="D134" s="399" t="s">
        <v>533</v>
      </c>
      <c r="E134" s="399" t="s">
        <v>2354</v>
      </c>
      <c r="F134" s="399" t="s">
        <v>1239</v>
      </c>
      <c r="G134" s="399" t="s">
        <v>1239</v>
      </c>
      <c r="H134" s="399" t="s">
        <v>1239</v>
      </c>
      <c r="I134" s="399" t="s">
        <v>2326</v>
      </c>
      <c r="J134" s="399" t="s">
        <v>2344</v>
      </c>
      <c r="K134" s="791">
        <v>44501</v>
      </c>
      <c r="L134" s="399">
        <v>0</v>
      </c>
      <c r="M134" s="399">
        <v>0</v>
      </c>
      <c r="N134" s="399">
        <v>13.791</v>
      </c>
      <c r="O134" s="399">
        <v>13.791</v>
      </c>
      <c r="P134" s="399">
        <v>13.791</v>
      </c>
      <c r="Q134" s="399">
        <v>13.791</v>
      </c>
      <c r="R134" s="399"/>
      <c r="S134" s="399">
        <v>78.42</v>
      </c>
      <c r="T134" s="399">
        <v>171.61</v>
      </c>
      <c r="U134" s="399"/>
      <c r="V134" s="399">
        <v>3448.1637300000002</v>
      </c>
      <c r="W134" s="399">
        <v>3448.1637300000002</v>
      </c>
      <c r="X134" s="399">
        <v>3655.1666400000004</v>
      </c>
      <c r="Y134" s="399">
        <v>0</v>
      </c>
      <c r="Z134" s="399">
        <v>725.37695490825149</v>
      </c>
      <c r="AA134" s="399">
        <v>0</v>
      </c>
      <c r="AB134" s="399">
        <v>0</v>
      </c>
      <c r="AC134" s="399">
        <v>0</v>
      </c>
      <c r="AD134" s="399">
        <v>0</v>
      </c>
      <c r="AE134" s="399">
        <v>0</v>
      </c>
      <c r="AF134" s="399">
        <v>2280.6759742345585</v>
      </c>
      <c r="AG134" s="399">
        <v>85.991807651053776</v>
      </c>
      <c r="AH134" s="399">
        <v>0</v>
      </c>
      <c r="AI134" s="399">
        <v>0</v>
      </c>
      <c r="AJ134" s="399">
        <v>0</v>
      </c>
      <c r="AK134" s="399">
        <v>0</v>
      </c>
      <c r="AL134" s="399">
        <v>128.91979573126864</v>
      </c>
      <c r="AM134" s="399"/>
      <c r="AN134" s="399">
        <v>3.6416580088996922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85.246153359719457</v>
      </c>
      <c r="BH134" s="399">
        <v>0</v>
      </c>
      <c r="BI134" s="399">
        <v>0</v>
      </c>
      <c r="BJ134" s="399">
        <v>0</v>
      </c>
      <c r="BK134" s="399">
        <v>0</v>
      </c>
      <c r="BL134" s="399">
        <v>0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2365.9221275942778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3654.9016000000001</v>
      </c>
      <c r="CJ134" s="399">
        <v>206.70786999999973</v>
      </c>
      <c r="CK134" s="399"/>
      <c r="CL134" s="399"/>
      <c r="CM134" s="399"/>
      <c r="CN134" s="399"/>
      <c r="CO134" s="399">
        <v>-103.4325</v>
      </c>
      <c r="CP134" s="399">
        <v>310.43540999999988</v>
      </c>
      <c r="CQ134" s="399">
        <v>30</v>
      </c>
      <c r="CR134" s="399">
        <v>207.05551056158947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0</v>
      </c>
      <c r="DA134" s="399">
        <v>0</v>
      </c>
      <c r="DB134" s="399">
        <v>0</v>
      </c>
      <c r="DC134" s="399">
        <v>310.50914565630092</v>
      </c>
      <c r="DD134" s="399">
        <v>0</v>
      </c>
      <c r="DE134" s="399">
        <v>0</v>
      </c>
      <c r="DF134" s="399">
        <v>0</v>
      </c>
      <c r="DG134" s="399">
        <v>11.606081069493257</v>
      </c>
      <c r="DH134" s="399">
        <v>0</v>
      </c>
      <c r="DI134" s="399">
        <v>-99.632522099168227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-14.857182825103436</v>
      </c>
      <c r="DP134" s="399">
        <v>-0.57001123993277814</v>
      </c>
      <c r="DQ134" s="399">
        <v>0</v>
      </c>
      <c r="DR134" s="399">
        <v>0</v>
      </c>
      <c r="DS134" s="399"/>
      <c r="DT134" s="399"/>
      <c r="DU134" s="399"/>
      <c r="DV134" s="399">
        <v>0</v>
      </c>
      <c r="DW134" s="399">
        <v>0</v>
      </c>
      <c r="DX134" s="399">
        <v>0</v>
      </c>
      <c r="DY134" s="399">
        <v>-103.43250000000012</v>
      </c>
      <c r="DZ134" s="399">
        <v>310.43541000000005</v>
      </c>
      <c r="EA134" s="399">
        <v>0</v>
      </c>
      <c r="EB134" s="399">
        <v>0</v>
      </c>
      <c r="EC134" s="399">
        <v>0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138.32686109337612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215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956</v>
      </c>
      <c r="C135" s="399" t="s">
        <v>2352</v>
      </c>
      <c r="D135" s="399" t="s">
        <v>533</v>
      </c>
      <c r="E135" s="399" t="s">
        <v>2354</v>
      </c>
      <c r="F135" s="399" t="s">
        <v>1239</v>
      </c>
      <c r="G135" s="399" t="s">
        <v>1239</v>
      </c>
      <c r="H135" s="399" t="s">
        <v>1239</v>
      </c>
      <c r="I135" s="399" t="s">
        <v>1239</v>
      </c>
      <c r="J135" s="399" t="s">
        <v>2344</v>
      </c>
      <c r="K135" s="791">
        <v>44501</v>
      </c>
      <c r="L135" s="399">
        <v>165</v>
      </c>
      <c r="M135" s="399">
        <v>165</v>
      </c>
      <c r="N135" s="399">
        <v>0</v>
      </c>
      <c r="O135" s="399">
        <v>0</v>
      </c>
      <c r="P135" s="399">
        <v>0</v>
      </c>
      <c r="Q135" s="399">
        <v>0</v>
      </c>
      <c r="R135" s="399">
        <v>12.58</v>
      </c>
      <c r="S135" s="399"/>
      <c r="T135" s="399"/>
      <c r="U135" s="399">
        <v>2075.6999999999998</v>
      </c>
      <c r="V135" s="399"/>
      <c r="W135" s="399">
        <v>2075.6999999999998</v>
      </c>
      <c r="X135" s="399">
        <v>1912.35</v>
      </c>
      <c r="Y135" s="399">
        <v>0</v>
      </c>
      <c r="Z135" s="399">
        <v>0</v>
      </c>
      <c r="AA135" s="399">
        <v>0</v>
      </c>
      <c r="AB135" s="399">
        <v>0</v>
      </c>
      <c r="AC135" s="399">
        <v>0</v>
      </c>
      <c r="AD135" s="399">
        <v>1093.5275047111008</v>
      </c>
      <c r="AE135" s="399">
        <v>981.70198919235463</v>
      </c>
      <c r="AF135" s="399"/>
      <c r="AG135" s="399"/>
      <c r="AH135" s="399"/>
      <c r="AI135" s="399">
        <v>0</v>
      </c>
      <c r="AJ135" s="399">
        <v>0</v>
      </c>
      <c r="AK135" s="399">
        <v>0</v>
      </c>
      <c r="AL135" s="399">
        <v>0</v>
      </c>
      <c r="AM135" s="399"/>
      <c r="AN135" s="399">
        <v>0</v>
      </c>
      <c r="AO135" s="399">
        <v>0</v>
      </c>
      <c r="AP135" s="399">
        <v>0</v>
      </c>
      <c r="AQ135" s="399">
        <v>0</v>
      </c>
      <c r="AR135" s="399">
        <v>0</v>
      </c>
      <c r="AS135" s="399"/>
      <c r="AT135" s="399"/>
      <c r="AU135" s="399">
        <v>0</v>
      </c>
      <c r="AV135" s="399">
        <v>0</v>
      </c>
      <c r="AW135" s="399">
        <v>0</v>
      </c>
      <c r="AX135" s="399"/>
      <c r="AY135" s="399"/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/>
      <c r="BG135" s="399">
        <v>0</v>
      </c>
      <c r="BH135" s="399">
        <v>0</v>
      </c>
      <c r="BI135" s="399">
        <v>0</v>
      </c>
      <c r="BJ135" s="399">
        <v>0</v>
      </c>
      <c r="BK135" s="399">
        <v>1297.49</v>
      </c>
      <c r="BL135" s="399">
        <v>3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>
        <v>0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1912.35</v>
      </c>
      <c r="CJ135" s="399">
        <v>-163.38000000000056</v>
      </c>
      <c r="CK135" s="399"/>
      <c r="CL135" s="399"/>
      <c r="CM135" s="399"/>
      <c r="CN135" s="399"/>
      <c r="CO135" s="399">
        <v>-163.35000000000002</v>
      </c>
      <c r="CP135" s="399">
        <v>0</v>
      </c>
      <c r="CQ135" s="399">
        <v>30</v>
      </c>
      <c r="CR135" s="399">
        <v>49.244414142610367</v>
      </c>
      <c r="CS135" s="399">
        <v>0</v>
      </c>
      <c r="CT135" s="399">
        <v>0</v>
      </c>
      <c r="CU135" s="399">
        <v>0</v>
      </c>
      <c r="CV135" s="399">
        <v>0</v>
      </c>
      <c r="CW135" s="399"/>
      <c r="CX135" s="399"/>
      <c r="CY135" s="399"/>
      <c r="CZ135" s="399">
        <v>49.244414142610367</v>
      </c>
      <c r="DA135" s="399">
        <v>0</v>
      </c>
      <c r="DB135" s="399">
        <v>0</v>
      </c>
      <c r="DC135" s="399"/>
      <c r="DD135" s="399"/>
      <c r="DE135" s="399">
        <v>0</v>
      </c>
      <c r="DF135" s="399">
        <v>0</v>
      </c>
      <c r="DG135" s="399">
        <v>0</v>
      </c>
      <c r="DH135" s="399">
        <v>0</v>
      </c>
      <c r="DI135" s="399">
        <v>0</v>
      </c>
      <c r="DJ135" s="399"/>
      <c r="DK135" s="399">
        <v>0</v>
      </c>
      <c r="DL135" s="399">
        <v>0</v>
      </c>
      <c r="DM135" s="399"/>
      <c r="DN135" s="399">
        <v>0</v>
      </c>
      <c r="DO135" s="399">
        <v>0</v>
      </c>
      <c r="DP135" s="399">
        <v>0</v>
      </c>
      <c r="DQ135" s="399">
        <v>0</v>
      </c>
      <c r="DR135" s="399">
        <v>0</v>
      </c>
      <c r="DS135" s="399"/>
      <c r="DT135" s="399"/>
      <c r="DU135" s="399">
        <v>981.70198919235463</v>
      </c>
      <c r="DV135" s="399"/>
      <c r="DW135" s="399">
        <v>0</v>
      </c>
      <c r="DX135" s="399">
        <v>0</v>
      </c>
      <c r="DY135" s="399">
        <v>-163.34999999999991</v>
      </c>
      <c r="DZ135" s="399"/>
      <c r="EA135" s="399">
        <v>0</v>
      </c>
      <c r="EB135" s="399"/>
      <c r="EC135" s="399">
        <v>-212.23867321016246</v>
      </c>
      <c r="ED135" s="399"/>
      <c r="EE135" s="399">
        <v>0</v>
      </c>
      <c r="EF135" s="399">
        <v>0</v>
      </c>
      <c r="EG135" s="399"/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/>
      <c r="EN135" s="399"/>
      <c r="EO135" s="399">
        <v>0</v>
      </c>
      <c r="EP135" s="399">
        <v>0</v>
      </c>
      <c r="EQ135" s="399"/>
      <c r="ER135" s="399">
        <v>0</v>
      </c>
      <c r="ES135" s="399"/>
      <c r="ET135" s="399">
        <v>0</v>
      </c>
      <c r="EU135" s="399"/>
      <c r="EV135" s="399">
        <v>215</v>
      </c>
      <c r="EW135" s="399"/>
      <c r="EX135" s="399"/>
      <c r="EY135" s="399"/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956</v>
      </c>
      <c r="C136" s="399" t="s">
        <v>2343</v>
      </c>
      <c r="D136" s="399" t="s">
        <v>2355</v>
      </c>
      <c r="E136" s="399" t="s">
        <v>2356</v>
      </c>
      <c r="F136" s="399" t="s">
        <v>2357</v>
      </c>
      <c r="G136" s="399" t="s">
        <v>1239</v>
      </c>
      <c r="H136" s="399" t="s">
        <v>1239</v>
      </c>
      <c r="I136" s="399" t="s">
        <v>1239</v>
      </c>
      <c r="J136" s="399" t="s">
        <v>2344</v>
      </c>
      <c r="K136" s="791">
        <v>44501</v>
      </c>
      <c r="L136" s="399">
        <v>0</v>
      </c>
      <c r="M136" s="399">
        <v>0</v>
      </c>
      <c r="N136" s="399">
        <v>98.19</v>
      </c>
      <c r="O136" s="399">
        <v>98.19</v>
      </c>
      <c r="P136" s="399">
        <v>98.19</v>
      </c>
      <c r="Q136" s="399">
        <v>98.19</v>
      </c>
      <c r="R136" s="399"/>
      <c r="S136" s="399">
        <v>131.83000000000001</v>
      </c>
      <c r="T136" s="399">
        <v>94.39</v>
      </c>
      <c r="U136" s="399"/>
      <c r="V136" s="399">
        <v>22212.541799999999</v>
      </c>
      <c r="W136" s="399">
        <v>22212.541799999999</v>
      </c>
      <c r="X136" s="399">
        <v>22131.044099999999</v>
      </c>
      <c r="Y136" s="399">
        <v>0</v>
      </c>
      <c r="Z136" s="399">
        <v>3264.9662207938991</v>
      </c>
      <c r="AA136" s="399">
        <v>0</v>
      </c>
      <c r="AB136" s="399">
        <v>0</v>
      </c>
      <c r="AC136" s="399">
        <v>0</v>
      </c>
      <c r="AD136" s="399">
        <v>2880.3836354937439</v>
      </c>
      <c r="AE136" s="399">
        <v>4785.5939836554617</v>
      </c>
      <c r="AF136" s="399">
        <v>8930.9524799180872</v>
      </c>
      <c r="AG136" s="399">
        <v>336.73733422459111</v>
      </c>
      <c r="AH136" s="399">
        <v>0</v>
      </c>
      <c r="AI136" s="399">
        <v>0</v>
      </c>
      <c r="AJ136" s="399">
        <v>0</v>
      </c>
      <c r="AK136" s="399">
        <v>0</v>
      </c>
      <c r="AL136" s="399">
        <v>504.8400484786668</v>
      </c>
      <c r="AM136" s="399"/>
      <c r="AN136" s="399">
        <v>21.388571138972633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864.607342431353</v>
      </c>
      <c r="BH136" s="399">
        <v>0</v>
      </c>
      <c r="BI136" s="399">
        <v>0</v>
      </c>
      <c r="BJ136" s="399">
        <v>0</v>
      </c>
      <c r="BK136" s="399">
        <v>12024.6</v>
      </c>
      <c r="BL136" s="399">
        <v>7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9795.5598223494399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22131.044099999999</v>
      </c>
      <c r="CJ136" s="399">
        <v>-81.527700000002369</v>
      </c>
      <c r="CK136" s="399"/>
      <c r="CL136" s="399"/>
      <c r="CM136" s="399"/>
      <c r="CN136" s="399"/>
      <c r="CO136" s="399">
        <v>-1297.0899000000009</v>
      </c>
      <c r="CP136" s="399">
        <v>1215.5921999999996</v>
      </c>
      <c r="CQ136" s="399">
        <v>30</v>
      </c>
      <c r="CR136" s="399">
        <v>953.37616986694775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129.71123636558559</v>
      </c>
      <c r="DA136" s="399">
        <v>0</v>
      </c>
      <c r="DB136" s="399">
        <v>0</v>
      </c>
      <c r="DC136" s="399">
        <v>1215.9300381840221</v>
      </c>
      <c r="DD136" s="399">
        <v>0</v>
      </c>
      <c r="DE136" s="399">
        <v>0</v>
      </c>
      <c r="DF136" s="399">
        <v>0</v>
      </c>
      <c r="DG136" s="399">
        <v>117.71443653526069</v>
      </c>
      <c r="DH136" s="399">
        <v>0</v>
      </c>
      <c r="DI136" s="399">
        <v>-448.45210058738894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-58.179590303697864</v>
      </c>
      <c r="DP136" s="399">
        <v>-3.3478503268349797</v>
      </c>
      <c r="DQ136" s="399">
        <v>0</v>
      </c>
      <c r="DR136" s="399">
        <v>0</v>
      </c>
      <c r="DS136" s="399"/>
      <c r="DT136" s="399"/>
      <c r="DU136" s="399"/>
      <c r="DV136" s="399">
        <v>4785.5939836554617</v>
      </c>
      <c r="DW136" s="399">
        <v>0</v>
      </c>
      <c r="DX136" s="399">
        <v>0</v>
      </c>
      <c r="DY136" s="399">
        <v>-1297.0899000000009</v>
      </c>
      <c r="DZ136" s="399">
        <v>1215.5921999999991</v>
      </c>
      <c r="EA136" s="399">
        <v>0</v>
      </c>
      <c r="EB136" s="399">
        <v>0</v>
      </c>
      <c r="EC136" s="399">
        <v>-1034.6195982032914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622.61769669184798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215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956</v>
      </c>
      <c r="C137" s="399" t="s">
        <v>2343</v>
      </c>
      <c r="D137" s="399" t="s">
        <v>1826</v>
      </c>
      <c r="E137" s="399" t="s">
        <v>921</v>
      </c>
      <c r="F137" s="399" t="s">
        <v>2358</v>
      </c>
      <c r="G137" s="399" t="s">
        <v>1239</v>
      </c>
      <c r="H137" s="399" t="s">
        <v>1239</v>
      </c>
      <c r="I137" s="399" t="s">
        <v>1239</v>
      </c>
      <c r="J137" s="399" t="s">
        <v>2344</v>
      </c>
      <c r="K137" s="791">
        <v>44501</v>
      </c>
      <c r="L137" s="399">
        <v>0</v>
      </c>
      <c r="M137" s="399">
        <v>0</v>
      </c>
      <c r="N137" s="399">
        <v>41.895000000000003</v>
      </c>
      <c r="O137" s="399">
        <v>39.381300000000003</v>
      </c>
      <c r="P137" s="399">
        <v>41.895000000000003</v>
      </c>
      <c r="Q137" s="399">
        <v>39.381300000000003</v>
      </c>
      <c r="R137" s="399"/>
      <c r="S137" s="399">
        <v>239.69</v>
      </c>
      <c r="T137" s="399">
        <v>171.61</v>
      </c>
      <c r="U137" s="399"/>
      <c r="V137" s="399">
        <v>17231.413500000002</v>
      </c>
      <c r="W137" s="399">
        <v>17231.413500000002</v>
      </c>
      <c r="X137" s="399">
        <v>17168.152050000001</v>
      </c>
      <c r="Y137" s="399">
        <v>0</v>
      </c>
      <c r="Z137" s="399">
        <v>2532.8585547530338</v>
      </c>
      <c r="AA137" s="399">
        <v>0</v>
      </c>
      <c r="AB137" s="399">
        <v>0</v>
      </c>
      <c r="AC137" s="399">
        <v>0</v>
      </c>
      <c r="AD137" s="399">
        <v>2234.5114279182367</v>
      </c>
      <c r="AE137" s="399">
        <v>3712.5139561563528</v>
      </c>
      <c r="AF137" s="399">
        <v>6928.3532695639788</v>
      </c>
      <c r="AG137" s="399">
        <v>261.23027927930519</v>
      </c>
      <c r="AH137" s="399">
        <v>0</v>
      </c>
      <c r="AI137" s="399">
        <v>0</v>
      </c>
      <c r="AJ137" s="399">
        <v>0</v>
      </c>
      <c r="AK137" s="399">
        <v>0</v>
      </c>
      <c r="AL137" s="399">
        <v>391.6391010196142</v>
      </c>
      <c r="AM137" s="399"/>
      <c r="AN137" s="399">
        <v>16.592583726675702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670.73530189450139</v>
      </c>
      <c r="BH137" s="399">
        <v>0</v>
      </c>
      <c r="BI137" s="399">
        <v>0</v>
      </c>
      <c r="BJ137" s="399">
        <v>0</v>
      </c>
      <c r="BK137" s="399">
        <v>7705.36</v>
      </c>
      <c r="BL137" s="399">
        <v>40</v>
      </c>
      <c r="BM137" s="399"/>
      <c r="BN137" s="399"/>
      <c r="BO137" s="399"/>
      <c r="BP137" s="399"/>
      <c r="BQ137" s="399">
        <v>1030.089123</v>
      </c>
      <c r="BR137" s="399"/>
      <c r="BS137" s="399"/>
      <c r="BT137" s="399"/>
      <c r="BU137" s="399"/>
      <c r="BV137" s="399">
        <v>7599.0885714584801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16137.530200000001</v>
      </c>
      <c r="CJ137" s="399">
        <v>-60.028490000002421</v>
      </c>
      <c r="CK137" s="399"/>
      <c r="CL137" s="399"/>
      <c r="CM137" s="399"/>
      <c r="CN137" s="399"/>
      <c r="CO137" s="399">
        <v>-1006.3179000000005</v>
      </c>
      <c r="CP137" s="399">
        <v>943.0564499999997</v>
      </c>
      <c r="CQ137" s="399">
        <v>30</v>
      </c>
      <c r="CR137" s="399">
        <v>739.5993785068913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100.62591538735296</v>
      </c>
      <c r="DA137" s="399">
        <v>0</v>
      </c>
      <c r="DB137" s="399">
        <v>0</v>
      </c>
      <c r="DC137" s="399">
        <v>943.28044792043511</v>
      </c>
      <c r="DD137" s="399">
        <v>0</v>
      </c>
      <c r="DE137" s="399">
        <v>0</v>
      </c>
      <c r="DF137" s="399">
        <v>0</v>
      </c>
      <c r="DG137" s="399">
        <v>91.319173747459217</v>
      </c>
      <c r="DH137" s="399">
        <v>0</v>
      </c>
      <c r="DI137" s="399">
        <v>-347.89509678098375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-45.133904318592386</v>
      </c>
      <c r="DP137" s="399">
        <v>-2.5971574487820863</v>
      </c>
      <c r="DQ137" s="399">
        <v>0</v>
      </c>
      <c r="DR137" s="399">
        <v>0</v>
      </c>
      <c r="DS137" s="399"/>
      <c r="DT137" s="399"/>
      <c r="DU137" s="399"/>
      <c r="DV137" s="399">
        <v>3712.5139561563528</v>
      </c>
      <c r="DW137" s="399">
        <v>0</v>
      </c>
      <c r="DX137" s="399">
        <v>0</v>
      </c>
      <c r="DY137" s="399">
        <v>-1006.3179</v>
      </c>
      <c r="DZ137" s="399">
        <v>943.05645000000004</v>
      </c>
      <c r="EA137" s="399">
        <v>0</v>
      </c>
      <c r="EB137" s="399">
        <v>0</v>
      </c>
      <c r="EC137" s="399">
        <v>-802.62548614887965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483.00731240739299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215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956</v>
      </c>
      <c r="C138" s="399" t="s">
        <v>2343</v>
      </c>
      <c r="D138" s="399" t="s">
        <v>1826</v>
      </c>
      <c r="E138" s="399" t="s">
        <v>2359</v>
      </c>
      <c r="F138" s="399" t="s">
        <v>1239</v>
      </c>
      <c r="G138" s="399" t="s">
        <v>1239</v>
      </c>
      <c r="H138" s="399" t="s">
        <v>1239</v>
      </c>
      <c r="I138" s="399" t="s">
        <v>1239</v>
      </c>
      <c r="J138" s="399" t="s">
        <v>2344</v>
      </c>
      <c r="K138" s="791">
        <v>44501</v>
      </c>
      <c r="L138" s="399">
        <v>0</v>
      </c>
      <c r="M138" s="399">
        <v>0</v>
      </c>
      <c r="N138" s="399">
        <v>8.8149999999999995</v>
      </c>
      <c r="O138" s="399">
        <v>8.8149999999999995</v>
      </c>
      <c r="P138" s="399">
        <v>8.8149999999999995</v>
      </c>
      <c r="Q138" s="399">
        <v>8.8149999999999995</v>
      </c>
      <c r="R138" s="399"/>
      <c r="S138" s="399">
        <v>239.69</v>
      </c>
      <c r="T138" s="399">
        <v>171.61</v>
      </c>
      <c r="U138" s="399"/>
      <c r="V138" s="399">
        <v>3625.6095</v>
      </c>
      <c r="W138" s="399">
        <v>3625.6095</v>
      </c>
      <c r="X138" s="399">
        <v>3612.2988499999997</v>
      </c>
      <c r="Y138" s="399">
        <v>0</v>
      </c>
      <c r="Z138" s="399">
        <v>532.93109345143785</v>
      </c>
      <c r="AA138" s="399">
        <v>0</v>
      </c>
      <c r="AB138" s="399">
        <v>0</v>
      </c>
      <c r="AC138" s="399">
        <v>0</v>
      </c>
      <c r="AD138" s="399">
        <v>470.15677854396114</v>
      </c>
      <c r="AE138" s="399">
        <v>781.13881187536094</v>
      </c>
      <c r="AF138" s="399">
        <v>1457.7738171907499</v>
      </c>
      <c r="AG138" s="399">
        <v>54.964671484594227</v>
      </c>
      <c r="AH138" s="399">
        <v>0</v>
      </c>
      <c r="AI138" s="399">
        <v>0</v>
      </c>
      <c r="AJ138" s="399">
        <v>0</v>
      </c>
      <c r="AK138" s="399">
        <v>0</v>
      </c>
      <c r="AL138" s="399">
        <v>82.403596502873825</v>
      </c>
      <c r="AM138" s="399"/>
      <c r="AN138" s="399">
        <v>3.4911952631733212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141.12738241317649</v>
      </c>
      <c r="BH138" s="399">
        <v>0</v>
      </c>
      <c r="BI138" s="399">
        <v>0</v>
      </c>
      <c r="BJ138" s="399">
        <v>0</v>
      </c>
      <c r="BK138" s="399">
        <v>1621.3</v>
      </c>
      <c r="BL138" s="399">
        <v>4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>
        <v>1598.9011996039264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3614.3478</v>
      </c>
      <c r="CJ138" s="399">
        <v>-11.291700000000674</v>
      </c>
      <c r="CK138" s="399"/>
      <c r="CL138" s="399"/>
      <c r="CM138" s="399"/>
      <c r="CN138" s="399"/>
      <c r="CO138" s="399">
        <v>-211.73630000000009</v>
      </c>
      <c r="CP138" s="399">
        <v>198.42564999999991</v>
      </c>
      <c r="CQ138" s="399">
        <v>30</v>
      </c>
      <c r="CR138" s="399">
        <v>155.6168641016402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21.17239394055423</v>
      </c>
      <c r="DA138" s="399">
        <v>0</v>
      </c>
      <c r="DB138" s="399">
        <v>0</v>
      </c>
      <c r="DC138" s="399">
        <v>198.47278072368135</v>
      </c>
      <c r="DD138" s="399">
        <v>0</v>
      </c>
      <c r="DE138" s="399">
        <v>0</v>
      </c>
      <c r="DF138" s="399">
        <v>0</v>
      </c>
      <c r="DG138" s="399">
        <v>19.214190633341758</v>
      </c>
      <c r="DH138" s="399">
        <v>0</v>
      </c>
      <c r="DI138" s="399">
        <v>-73.19955312386611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-9.4964880431648737</v>
      </c>
      <c r="DP138" s="399">
        <v>-0.54646002890593337</v>
      </c>
      <c r="DQ138" s="399">
        <v>0</v>
      </c>
      <c r="DR138" s="399">
        <v>0</v>
      </c>
      <c r="DS138" s="399"/>
      <c r="DT138" s="399"/>
      <c r="DU138" s="399"/>
      <c r="DV138" s="399">
        <v>781.13881187536094</v>
      </c>
      <c r="DW138" s="399">
        <v>0</v>
      </c>
      <c r="DX138" s="399">
        <v>0</v>
      </c>
      <c r="DY138" s="399">
        <v>-211.73630000000026</v>
      </c>
      <c r="DZ138" s="399">
        <v>198.42564999999991</v>
      </c>
      <c r="EA138" s="399">
        <v>0</v>
      </c>
      <c r="EB138" s="399">
        <v>0</v>
      </c>
      <c r="EC138" s="399">
        <v>-168.87799642922482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101.62810499752163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215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956</v>
      </c>
      <c r="C139" s="399" t="s">
        <v>2343</v>
      </c>
      <c r="D139" s="399" t="s">
        <v>2353</v>
      </c>
      <c r="E139" s="399" t="s">
        <v>894</v>
      </c>
      <c r="F139" s="399" t="s">
        <v>2360</v>
      </c>
      <c r="G139" s="399" t="s">
        <v>2361</v>
      </c>
      <c r="H139" s="399" t="s">
        <v>1239</v>
      </c>
      <c r="I139" s="399" t="s">
        <v>1239</v>
      </c>
      <c r="J139" s="399" t="s">
        <v>2344</v>
      </c>
      <c r="K139" s="791">
        <v>44501</v>
      </c>
      <c r="L139" s="399">
        <v>0</v>
      </c>
      <c r="M139" s="399">
        <v>0</v>
      </c>
      <c r="N139" s="399">
        <v>0</v>
      </c>
      <c r="O139" s="399">
        <v>0</v>
      </c>
      <c r="P139" s="399">
        <v>0</v>
      </c>
      <c r="Q139" s="399">
        <v>0</v>
      </c>
      <c r="R139" s="399"/>
      <c r="S139" s="399"/>
      <c r="T139" s="399"/>
      <c r="U139" s="399"/>
      <c r="V139" s="399"/>
      <c r="W139" s="399"/>
      <c r="X139" s="399"/>
      <c r="Y139" s="399"/>
      <c r="Z139" s="399"/>
      <c r="AA139" s="399">
        <v>0</v>
      </c>
      <c r="AB139" s="399"/>
      <c r="AC139" s="399"/>
      <c r="AD139" s="399"/>
      <c r="AE139" s="399"/>
      <c r="AF139" s="399"/>
      <c r="AG139" s="399"/>
      <c r="AH139" s="399"/>
      <c r="AI139" s="399"/>
      <c r="AJ139" s="399"/>
      <c r="AK139" s="399"/>
      <c r="AL139" s="399"/>
      <c r="AM139" s="399"/>
      <c r="AN139" s="399"/>
      <c r="AO139" s="399"/>
      <c r="AP139" s="399"/>
      <c r="AQ139" s="399"/>
      <c r="AR139" s="399"/>
      <c r="AS139" s="399"/>
      <c r="AT139" s="399"/>
      <c r="AU139" s="399"/>
      <c r="AV139" s="399"/>
      <c r="AW139" s="399"/>
      <c r="AX139" s="399"/>
      <c r="AY139" s="399"/>
      <c r="AZ139" s="399">
        <v>0</v>
      </c>
      <c r="BA139" s="399"/>
      <c r="BB139" s="399"/>
      <c r="BC139" s="399"/>
      <c r="BD139" s="399"/>
      <c r="BE139" s="399"/>
      <c r="BF139" s="399"/>
      <c r="BG139" s="399"/>
      <c r="BH139" s="399"/>
      <c r="BI139" s="399">
        <v>0</v>
      </c>
      <c r="BJ139" s="399">
        <v>0</v>
      </c>
      <c r="BK139" s="399">
        <v>7.4</v>
      </c>
      <c r="BL139" s="399">
        <v>1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/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/>
      <c r="CJ139" s="399">
        <v>-0.03</v>
      </c>
      <c r="CK139" s="399"/>
      <c r="CL139" s="399"/>
      <c r="CM139" s="399"/>
      <c r="CN139" s="399"/>
      <c r="CO139" s="399">
        <v>0</v>
      </c>
      <c r="CP139" s="399">
        <v>0</v>
      </c>
      <c r="CQ139" s="399">
        <v>30</v>
      </c>
      <c r="CR139" s="399"/>
      <c r="CS139" s="399"/>
      <c r="CT139" s="399"/>
      <c r="CU139" s="399"/>
      <c r="CV139" s="399"/>
      <c r="CW139" s="399"/>
      <c r="CX139" s="399"/>
      <c r="CY139" s="399"/>
      <c r="CZ139" s="399"/>
      <c r="DA139" s="399"/>
      <c r="DB139" s="399"/>
      <c r="DC139" s="399"/>
      <c r="DD139" s="399"/>
      <c r="DE139" s="399"/>
      <c r="DF139" s="399"/>
      <c r="DG139" s="399"/>
      <c r="DH139" s="399"/>
      <c r="DI139" s="399"/>
      <c r="DJ139" s="399"/>
      <c r="DK139" s="399">
        <v>0</v>
      </c>
      <c r="DL139" s="399"/>
      <c r="DM139" s="399"/>
      <c r="DN139" s="399"/>
      <c r="DO139" s="399"/>
      <c r="DP139" s="399"/>
      <c r="DQ139" s="399"/>
      <c r="DR139" s="399"/>
      <c r="DS139" s="399"/>
      <c r="DT139" s="399"/>
      <c r="DU139" s="399"/>
      <c r="DV139" s="399"/>
      <c r="DW139" s="399"/>
      <c r="DX139" s="399"/>
      <c r="DY139" s="399"/>
      <c r="DZ139" s="399"/>
      <c r="EA139" s="399"/>
      <c r="EB139" s="399"/>
      <c r="EC139" s="399"/>
      <c r="ED139" s="399"/>
      <c r="EE139" s="399"/>
      <c r="EF139" s="399"/>
      <c r="EG139" s="399"/>
      <c r="EH139" s="399"/>
      <c r="EI139" s="399"/>
      <c r="EJ139" s="399"/>
      <c r="EK139" s="399"/>
      <c r="EL139" s="399"/>
      <c r="EM139" s="399"/>
      <c r="EN139" s="399"/>
      <c r="EO139" s="399"/>
      <c r="EP139" s="399"/>
      <c r="EQ139" s="399"/>
      <c r="ER139" s="399"/>
      <c r="ES139" s="399"/>
      <c r="ET139" s="399"/>
      <c r="EU139" s="399"/>
      <c r="EV139" s="399">
        <v>215</v>
      </c>
      <c r="EW139" s="399"/>
      <c r="EX139" s="399"/>
      <c r="EY139" s="399"/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956</v>
      </c>
      <c r="C140" s="399" t="s">
        <v>2343</v>
      </c>
      <c r="D140" s="399" t="s">
        <v>2353</v>
      </c>
      <c r="E140" s="399" t="s">
        <v>894</v>
      </c>
      <c r="F140" s="399" t="s">
        <v>2360</v>
      </c>
      <c r="G140" s="399" t="s">
        <v>2361</v>
      </c>
      <c r="H140" s="399" t="s">
        <v>1239</v>
      </c>
      <c r="I140" s="399" t="s">
        <v>1239</v>
      </c>
      <c r="J140" s="399" t="s">
        <v>2344</v>
      </c>
      <c r="K140" s="791">
        <v>44501</v>
      </c>
      <c r="L140" s="399">
        <v>0</v>
      </c>
      <c r="M140" s="399">
        <v>0</v>
      </c>
      <c r="N140" s="399">
        <v>9.9000000000000005E-2</v>
      </c>
      <c r="O140" s="399">
        <v>9.9000000000000005E-2</v>
      </c>
      <c r="P140" s="399">
        <v>9.9000000000000005E-2</v>
      </c>
      <c r="Q140" s="399">
        <v>9.9000000000000005E-2</v>
      </c>
      <c r="R140" s="399"/>
      <c r="S140" s="399">
        <v>239.69</v>
      </c>
      <c r="T140" s="399">
        <v>171.61</v>
      </c>
      <c r="U140" s="399"/>
      <c r="V140" s="399">
        <v>40.718700000000005</v>
      </c>
      <c r="W140" s="399">
        <v>40.718700000000005</v>
      </c>
      <c r="X140" s="399">
        <v>40.569209999999998</v>
      </c>
      <c r="Y140" s="399">
        <v>0</v>
      </c>
      <c r="Z140" s="399">
        <v>5.9852726320694671</v>
      </c>
      <c r="AA140" s="399">
        <v>0</v>
      </c>
      <c r="AB140" s="399">
        <v>0</v>
      </c>
      <c r="AC140" s="399">
        <v>0</v>
      </c>
      <c r="AD140" s="399">
        <v>5.2802633097960481</v>
      </c>
      <c r="AE140" s="399">
        <v>8.7728578985434762</v>
      </c>
      <c r="AF140" s="399">
        <v>16.372048542471273</v>
      </c>
      <c r="AG140" s="399">
        <v>0.61730033771694026</v>
      </c>
      <c r="AH140" s="399">
        <v>0</v>
      </c>
      <c r="AI140" s="399">
        <v>0</v>
      </c>
      <c r="AJ140" s="399">
        <v>0</v>
      </c>
      <c r="AK140" s="399">
        <v>0</v>
      </c>
      <c r="AL140" s="399">
        <v>0.92546296696364261</v>
      </c>
      <c r="AM140" s="399"/>
      <c r="AN140" s="399">
        <v>3.9209112995366856E-2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1.5849813793425382</v>
      </c>
      <c r="BH140" s="399">
        <v>0</v>
      </c>
      <c r="BI140" s="399">
        <v>0</v>
      </c>
      <c r="BJ140" s="399">
        <v>0</v>
      </c>
      <c r="BK140" s="399">
        <v>0</v>
      </c>
      <c r="BL140" s="399">
        <v>0</v>
      </c>
      <c r="BM140" s="399"/>
      <c r="BN140" s="399"/>
      <c r="BO140" s="399"/>
      <c r="BP140" s="399"/>
      <c r="BQ140" s="399"/>
      <c r="BR140" s="399">
        <v>4.8678299999999997</v>
      </c>
      <c r="BS140" s="399"/>
      <c r="BT140" s="399"/>
      <c r="BU140" s="399"/>
      <c r="BV140" s="399">
        <v>17.95702992181381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36.061999999999998</v>
      </c>
      <c r="CJ140" s="399">
        <v>0.1989499999999893</v>
      </c>
      <c r="CK140" s="399"/>
      <c r="CL140" s="399"/>
      <c r="CM140" s="399"/>
      <c r="CN140" s="399"/>
      <c r="CO140" s="399">
        <v>-2.3779800000000013</v>
      </c>
      <c r="CP140" s="399">
        <v>2.2284899999999994</v>
      </c>
      <c r="CQ140" s="399">
        <v>30</v>
      </c>
      <c r="CR140" s="399">
        <v>1.7477106688669792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0.23778411799374499</v>
      </c>
      <c r="DA140" s="399">
        <v>0</v>
      </c>
      <c r="DB140" s="399">
        <v>0</v>
      </c>
      <c r="DC140" s="399">
        <v>2.2290193183941511</v>
      </c>
      <c r="DD140" s="399">
        <v>0</v>
      </c>
      <c r="DE140" s="399">
        <v>0</v>
      </c>
      <c r="DF140" s="399">
        <v>0</v>
      </c>
      <c r="DG140" s="399">
        <v>0.21579181766316879</v>
      </c>
      <c r="DH140" s="399">
        <v>0</v>
      </c>
      <c r="DI140" s="399">
        <v>-0.8220936766038287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-0.10665369441557826</v>
      </c>
      <c r="DP140" s="399">
        <v>-6.1372141646837686E-3</v>
      </c>
      <c r="DQ140" s="399">
        <v>0</v>
      </c>
      <c r="DR140" s="399">
        <v>0</v>
      </c>
      <c r="DS140" s="399"/>
      <c r="DT140" s="399"/>
      <c r="DU140" s="399"/>
      <c r="DV140" s="399">
        <v>8.7728578985434762</v>
      </c>
      <c r="DW140" s="399">
        <v>0</v>
      </c>
      <c r="DX140" s="399">
        <v>0</v>
      </c>
      <c r="DY140" s="399">
        <v>-2.3779800000000009</v>
      </c>
      <c r="DZ140" s="399">
        <v>2.2284899999999972</v>
      </c>
      <c r="EA140" s="399">
        <v>0</v>
      </c>
      <c r="EB140" s="399">
        <v>0</v>
      </c>
      <c r="EC140" s="399">
        <v>-1.8966445429941308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1.1413706630464711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215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956</v>
      </c>
      <c r="C141" s="399" t="s">
        <v>2343</v>
      </c>
      <c r="D141" s="399" t="s">
        <v>2353</v>
      </c>
      <c r="E141" s="399" t="s">
        <v>894</v>
      </c>
      <c r="F141" s="399" t="s">
        <v>2360</v>
      </c>
      <c r="G141" s="399" t="s">
        <v>2362</v>
      </c>
      <c r="H141" s="399" t="s">
        <v>1239</v>
      </c>
      <c r="I141" s="399" t="s">
        <v>1239</v>
      </c>
      <c r="J141" s="399" t="s">
        <v>2344</v>
      </c>
      <c r="K141" s="791">
        <v>44501</v>
      </c>
      <c r="L141" s="399">
        <v>0</v>
      </c>
      <c r="M141" s="399">
        <v>0</v>
      </c>
      <c r="N141" s="399">
        <v>1E-3</v>
      </c>
      <c r="O141" s="399">
        <v>4.0000000000000002E-4</v>
      </c>
      <c r="P141" s="399">
        <v>1E-3</v>
      </c>
      <c r="Q141" s="399">
        <v>4.0000000000000002E-4</v>
      </c>
      <c r="R141" s="399"/>
      <c r="S141" s="399">
        <v>239.69</v>
      </c>
      <c r="T141" s="399">
        <v>171.61</v>
      </c>
      <c r="U141" s="399"/>
      <c r="V141" s="399">
        <v>0.4113</v>
      </c>
      <c r="W141" s="399">
        <v>0.4113</v>
      </c>
      <c r="X141" s="399">
        <v>0.40978999999999999</v>
      </c>
      <c r="Y141" s="399">
        <v>0</v>
      </c>
      <c r="Z141" s="399">
        <v>6.0457299313833E-2</v>
      </c>
      <c r="AA141" s="399">
        <v>0</v>
      </c>
      <c r="AB141" s="399">
        <v>0</v>
      </c>
      <c r="AC141" s="399">
        <v>0</v>
      </c>
      <c r="AD141" s="399">
        <v>5.3335993028242906E-2</v>
      </c>
      <c r="AE141" s="399">
        <v>8.8614726247913889E-2</v>
      </c>
      <c r="AF141" s="399">
        <v>0.16537422770173002</v>
      </c>
      <c r="AG141" s="399">
        <v>6.2353569466357603E-3</v>
      </c>
      <c r="AH141" s="399">
        <v>0</v>
      </c>
      <c r="AI141" s="399">
        <v>0</v>
      </c>
      <c r="AJ141" s="399">
        <v>0</v>
      </c>
      <c r="AK141" s="399">
        <v>0</v>
      </c>
      <c r="AL141" s="399">
        <v>9.3481107774105315E-3</v>
      </c>
      <c r="AM141" s="399"/>
      <c r="AN141" s="399">
        <v>3.96051646417847E-4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1.60099129226519E-2</v>
      </c>
      <c r="BH141" s="399">
        <v>0</v>
      </c>
      <c r="BI141" s="399">
        <v>0</v>
      </c>
      <c r="BJ141" s="399">
        <v>0</v>
      </c>
      <c r="BK141" s="399">
        <v>0</v>
      </c>
      <c r="BL141" s="399">
        <v>0</v>
      </c>
      <c r="BM141" s="399"/>
      <c r="BN141" s="399"/>
      <c r="BO141" s="399"/>
      <c r="BP141" s="399"/>
      <c r="BQ141" s="399"/>
      <c r="BR141" s="399"/>
      <c r="BS141" s="399">
        <v>0.265542</v>
      </c>
      <c r="BT141" s="399"/>
      <c r="BU141" s="399"/>
      <c r="BV141" s="399">
        <v>0.18138414062438191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0</v>
      </c>
      <c r="CJ141" s="399">
        <v>-0.17478000000000002</v>
      </c>
      <c r="CK141" s="399"/>
      <c r="CL141" s="399"/>
      <c r="CM141" s="399"/>
      <c r="CN141" s="399"/>
      <c r="CO141" s="399">
        <v>-2.402000000000001E-2</v>
      </c>
      <c r="CP141" s="399">
        <v>2.2509999999999992E-2</v>
      </c>
      <c r="CQ141" s="399">
        <v>30</v>
      </c>
      <c r="CR141" s="399">
        <v>1.7653643119868445E-2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2.4018597777145934E-3</v>
      </c>
      <c r="DA141" s="399">
        <v>0</v>
      </c>
      <c r="DB141" s="399">
        <v>0</v>
      </c>
      <c r="DC141" s="399">
        <v>2.2515346650445994E-2</v>
      </c>
      <c r="DD141" s="399">
        <v>0</v>
      </c>
      <c r="DE141" s="399">
        <v>0</v>
      </c>
      <c r="DF141" s="399">
        <v>0</v>
      </c>
      <c r="DG141" s="399">
        <v>2.1797153299309979E-3</v>
      </c>
      <c r="DH141" s="399">
        <v>0</v>
      </c>
      <c r="DI141" s="399">
        <v>-8.3039765313518005E-3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-1.0773100446018011E-3</v>
      </c>
      <c r="DP141" s="399">
        <v>-6.199206226953298E-5</v>
      </c>
      <c r="DQ141" s="399">
        <v>0</v>
      </c>
      <c r="DR141" s="399">
        <v>0</v>
      </c>
      <c r="DS141" s="399"/>
      <c r="DT141" s="399"/>
      <c r="DU141" s="399"/>
      <c r="DV141" s="399">
        <v>8.8614726247913889E-2</v>
      </c>
      <c r="DW141" s="399">
        <v>0</v>
      </c>
      <c r="DX141" s="399">
        <v>0</v>
      </c>
      <c r="DY141" s="399">
        <v>-2.4020000000000014E-2</v>
      </c>
      <c r="DZ141" s="399">
        <v>2.2510000000000002E-2</v>
      </c>
      <c r="EA141" s="399">
        <v>0</v>
      </c>
      <c r="EB141" s="399">
        <v>0</v>
      </c>
      <c r="EC141" s="399">
        <v>-1.9158025686809396E-2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1.1528996596429E-2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215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956</v>
      </c>
      <c r="C142" s="399" t="s">
        <v>2343</v>
      </c>
      <c r="D142" s="399" t="s">
        <v>2353</v>
      </c>
      <c r="E142" s="399" t="s">
        <v>894</v>
      </c>
      <c r="F142" s="399" t="s">
        <v>2363</v>
      </c>
      <c r="G142" s="399" t="s">
        <v>2361</v>
      </c>
      <c r="H142" s="399" t="s">
        <v>1239</v>
      </c>
      <c r="I142" s="399" t="s">
        <v>1239</v>
      </c>
      <c r="J142" s="399" t="s">
        <v>2344</v>
      </c>
      <c r="K142" s="791">
        <v>44501</v>
      </c>
      <c r="L142" s="399">
        <v>0</v>
      </c>
      <c r="M142" s="399">
        <v>0</v>
      </c>
      <c r="N142" s="399">
        <v>0</v>
      </c>
      <c r="O142" s="399">
        <v>0</v>
      </c>
      <c r="P142" s="399">
        <v>0</v>
      </c>
      <c r="Q142" s="399">
        <v>0</v>
      </c>
      <c r="R142" s="399"/>
      <c r="S142" s="399"/>
      <c r="T142" s="399"/>
      <c r="U142" s="399"/>
      <c r="V142" s="399"/>
      <c r="W142" s="399"/>
      <c r="X142" s="399"/>
      <c r="Y142" s="399"/>
      <c r="Z142" s="399"/>
      <c r="AA142" s="399">
        <v>0</v>
      </c>
      <c r="AB142" s="399"/>
      <c r="AC142" s="399"/>
      <c r="AD142" s="399"/>
      <c r="AE142" s="399"/>
      <c r="AF142" s="399"/>
      <c r="AG142" s="399"/>
      <c r="AH142" s="399"/>
      <c r="AI142" s="399"/>
      <c r="AJ142" s="399"/>
      <c r="AK142" s="399"/>
      <c r="AL142" s="399"/>
      <c r="AM142" s="399"/>
      <c r="AN142" s="399"/>
      <c r="AO142" s="399"/>
      <c r="AP142" s="399"/>
      <c r="AQ142" s="399"/>
      <c r="AR142" s="399"/>
      <c r="AS142" s="399"/>
      <c r="AT142" s="399"/>
      <c r="AU142" s="399"/>
      <c r="AV142" s="399"/>
      <c r="AW142" s="399"/>
      <c r="AX142" s="399"/>
      <c r="AY142" s="399"/>
      <c r="AZ142" s="399">
        <v>0</v>
      </c>
      <c r="BA142" s="399"/>
      <c r="BB142" s="399"/>
      <c r="BC142" s="399"/>
      <c r="BD142" s="399"/>
      <c r="BE142" s="399"/>
      <c r="BF142" s="399"/>
      <c r="BG142" s="399"/>
      <c r="BH142" s="399"/>
      <c r="BI142" s="399">
        <v>0</v>
      </c>
      <c r="BJ142" s="399">
        <v>0</v>
      </c>
      <c r="BK142" s="399">
        <v>16982.330000000002</v>
      </c>
      <c r="BL142" s="399">
        <v>22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/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/>
      <c r="CJ142" s="399">
        <v>-0.03</v>
      </c>
      <c r="CK142" s="399"/>
      <c r="CL142" s="399"/>
      <c r="CM142" s="399"/>
      <c r="CN142" s="399"/>
      <c r="CO142" s="399">
        <v>0</v>
      </c>
      <c r="CP142" s="399">
        <v>0</v>
      </c>
      <c r="CQ142" s="399">
        <v>30</v>
      </c>
      <c r="CR142" s="399"/>
      <c r="CS142" s="399"/>
      <c r="CT142" s="399"/>
      <c r="CU142" s="399"/>
      <c r="CV142" s="399"/>
      <c r="CW142" s="399"/>
      <c r="CX142" s="399"/>
      <c r="CY142" s="399"/>
      <c r="CZ142" s="399"/>
      <c r="DA142" s="399"/>
      <c r="DB142" s="399"/>
      <c r="DC142" s="399"/>
      <c r="DD142" s="399"/>
      <c r="DE142" s="399"/>
      <c r="DF142" s="399"/>
      <c r="DG142" s="399"/>
      <c r="DH142" s="399"/>
      <c r="DI142" s="399"/>
      <c r="DJ142" s="399"/>
      <c r="DK142" s="399">
        <v>0</v>
      </c>
      <c r="DL142" s="399"/>
      <c r="DM142" s="399"/>
      <c r="DN142" s="399"/>
      <c r="DO142" s="399"/>
      <c r="DP142" s="399"/>
      <c r="DQ142" s="399"/>
      <c r="DR142" s="399"/>
      <c r="DS142" s="399"/>
      <c r="DT142" s="399"/>
      <c r="DU142" s="399"/>
      <c r="DV142" s="399"/>
      <c r="DW142" s="399"/>
      <c r="DX142" s="399"/>
      <c r="DY142" s="399"/>
      <c r="DZ142" s="399"/>
      <c r="EA142" s="399"/>
      <c r="EB142" s="399"/>
      <c r="EC142" s="399"/>
      <c r="ED142" s="399"/>
      <c r="EE142" s="399"/>
      <c r="EF142" s="399"/>
      <c r="EG142" s="399"/>
      <c r="EH142" s="399"/>
      <c r="EI142" s="399"/>
      <c r="EJ142" s="399"/>
      <c r="EK142" s="399"/>
      <c r="EL142" s="399"/>
      <c r="EM142" s="399"/>
      <c r="EN142" s="399"/>
      <c r="EO142" s="399"/>
      <c r="EP142" s="399"/>
      <c r="EQ142" s="399"/>
      <c r="ER142" s="399"/>
      <c r="ES142" s="399"/>
      <c r="ET142" s="399"/>
      <c r="EU142" s="399"/>
      <c r="EV142" s="399">
        <v>215</v>
      </c>
      <c r="EW142" s="399"/>
      <c r="EX142" s="399"/>
      <c r="EY142" s="399"/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956</v>
      </c>
      <c r="C143" s="399" t="s">
        <v>2343</v>
      </c>
      <c r="D143" s="399" t="s">
        <v>2353</v>
      </c>
      <c r="E143" s="399" t="s">
        <v>894</v>
      </c>
      <c r="F143" s="399" t="s">
        <v>2363</v>
      </c>
      <c r="G143" s="399" t="s">
        <v>2361</v>
      </c>
      <c r="H143" s="399" t="s">
        <v>1239</v>
      </c>
      <c r="I143" s="399" t="s">
        <v>1239</v>
      </c>
      <c r="J143" s="399" t="s">
        <v>2344</v>
      </c>
      <c r="K143" s="791">
        <v>44501</v>
      </c>
      <c r="L143" s="399">
        <v>0</v>
      </c>
      <c r="M143" s="399">
        <v>0</v>
      </c>
      <c r="N143" s="399">
        <v>36.951999999999998</v>
      </c>
      <c r="O143" s="399">
        <v>36.951999999999998</v>
      </c>
      <c r="P143" s="399">
        <v>36.951999999999998</v>
      </c>
      <c r="Q143" s="399">
        <v>36.951999999999998</v>
      </c>
      <c r="R143" s="399"/>
      <c r="S143" s="399">
        <v>239.69</v>
      </c>
      <c r="T143" s="399">
        <v>171.61</v>
      </c>
      <c r="U143" s="399"/>
      <c r="V143" s="399">
        <v>15198.357599999999</v>
      </c>
      <c r="W143" s="399">
        <v>15198.357599999999</v>
      </c>
      <c r="X143" s="399">
        <v>15142.560079999999</v>
      </c>
      <c r="Y143" s="399">
        <v>0</v>
      </c>
      <c r="Z143" s="399">
        <v>2234.018124244757</v>
      </c>
      <c r="AA143" s="399">
        <v>0</v>
      </c>
      <c r="AB143" s="399">
        <v>0</v>
      </c>
      <c r="AC143" s="399">
        <v>0</v>
      </c>
      <c r="AD143" s="399">
        <v>1970.8716143796316</v>
      </c>
      <c r="AE143" s="399">
        <v>3274.4913643129139</v>
      </c>
      <c r="AF143" s="399">
        <v>6110.9084620343265</v>
      </c>
      <c r="AG143" s="399">
        <v>230.40890989208461</v>
      </c>
      <c r="AH143" s="399">
        <v>0</v>
      </c>
      <c r="AI143" s="399">
        <v>0</v>
      </c>
      <c r="AJ143" s="399">
        <v>0</v>
      </c>
      <c r="AK143" s="399">
        <v>0</v>
      </c>
      <c r="AL143" s="399">
        <v>345.43138944687394</v>
      </c>
      <c r="AM143" s="399"/>
      <c r="AN143" s="399">
        <v>14.634900438432282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591.59830231783292</v>
      </c>
      <c r="BH143" s="399">
        <v>0</v>
      </c>
      <c r="BI143" s="399">
        <v>0</v>
      </c>
      <c r="BJ143" s="399">
        <v>0</v>
      </c>
      <c r="BK143" s="399">
        <v>0</v>
      </c>
      <c r="BL143" s="399">
        <v>0</v>
      </c>
      <c r="BM143" s="399"/>
      <c r="BN143" s="399"/>
      <c r="BO143" s="399"/>
      <c r="BP143" s="399"/>
      <c r="BQ143" s="399"/>
      <c r="BR143" s="399">
        <v>1816.9298399999993</v>
      </c>
      <c r="BS143" s="399"/>
      <c r="BT143" s="399"/>
      <c r="BU143" s="399"/>
      <c r="BV143" s="399">
        <v>6702.5067643521597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13324.909</v>
      </c>
      <c r="CJ143" s="399">
        <v>-49.897399999999834</v>
      </c>
      <c r="CK143" s="399"/>
      <c r="CL143" s="399"/>
      <c r="CM143" s="399"/>
      <c r="CN143" s="399"/>
      <c r="CO143" s="399">
        <v>-887.58704000000034</v>
      </c>
      <c r="CP143" s="399">
        <v>831.78951999999958</v>
      </c>
      <c r="CQ143" s="399">
        <v>30</v>
      </c>
      <c r="CR143" s="399">
        <v>652.33742056537994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88.753522506109903</v>
      </c>
      <c r="DA143" s="399">
        <v>0</v>
      </c>
      <c r="DB143" s="399">
        <v>0</v>
      </c>
      <c r="DC143" s="399">
        <v>831.98708942728081</v>
      </c>
      <c r="DD143" s="399">
        <v>0</v>
      </c>
      <c r="DE143" s="399">
        <v>0</v>
      </c>
      <c r="DF143" s="399">
        <v>0</v>
      </c>
      <c r="DG143" s="399">
        <v>80.544840871610404</v>
      </c>
      <c r="DH143" s="399">
        <v>0</v>
      </c>
      <c r="DI143" s="399">
        <v>-306.84854078651188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-39.808760768125751</v>
      </c>
      <c r="DP143" s="399">
        <v>-2.2907306849837852</v>
      </c>
      <c r="DQ143" s="399">
        <v>0</v>
      </c>
      <c r="DR143" s="399">
        <v>0</v>
      </c>
      <c r="DS143" s="399"/>
      <c r="DT143" s="399"/>
      <c r="DU143" s="399"/>
      <c r="DV143" s="399">
        <v>3274.4913643129139</v>
      </c>
      <c r="DW143" s="399">
        <v>0</v>
      </c>
      <c r="DX143" s="399">
        <v>0</v>
      </c>
      <c r="DY143" s="399">
        <v>-887.58703999999943</v>
      </c>
      <c r="DZ143" s="399">
        <v>831.78951999999936</v>
      </c>
      <c r="EA143" s="399">
        <v>0</v>
      </c>
      <c r="EB143" s="399">
        <v>0</v>
      </c>
      <c r="EC143" s="399">
        <v>-707.92736517898084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426.01948223124435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215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956</v>
      </c>
      <c r="C144" s="399" t="s">
        <v>2343</v>
      </c>
      <c r="D144" s="399" t="s">
        <v>2353</v>
      </c>
      <c r="E144" s="399" t="s">
        <v>894</v>
      </c>
      <c r="F144" s="399" t="s">
        <v>2363</v>
      </c>
      <c r="G144" s="399" t="s">
        <v>2362</v>
      </c>
      <c r="H144" s="399" t="s">
        <v>1239</v>
      </c>
      <c r="I144" s="399" t="s">
        <v>1239</v>
      </c>
      <c r="J144" s="399" t="s">
        <v>2344</v>
      </c>
      <c r="K144" s="791">
        <v>44501</v>
      </c>
      <c r="L144" s="399">
        <v>0</v>
      </c>
      <c r="M144" s="399">
        <v>0</v>
      </c>
      <c r="N144" s="399">
        <v>60.808999999999997</v>
      </c>
      <c r="O144" s="399">
        <v>24.323599999999999</v>
      </c>
      <c r="P144" s="399">
        <v>60.808999999999997</v>
      </c>
      <c r="Q144" s="399">
        <v>24.323599999999999</v>
      </c>
      <c r="R144" s="399"/>
      <c r="S144" s="399">
        <v>239.69</v>
      </c>
      <c r="T144" s="399">
        <v>171.61</v>
      </c>
      <c r="U144" s="399"/>
      <c r="V144" s="399">
        <v>25010.741699999999</v>
      </c>
      <c r="W144" s="399">
        <v>25010.741699999999</v>
      </c>
      <c r="X144" s="399">
        <v>24918.920109999999</v>
      </c>
      <c r="Y144" s="399">
        <v>0</v>
      </c>
      <c r="Z144" s="399">
        <v>3676.3479139748706</v>
      </c>
      <c r="AA144" s="399">
        <v>0</v>
      </c>
      <c r="AB144" s="399">
        <v>0</v>
      </c>
      <c r="AC144" s="399">
        <v>0</v>
      </c>
      <c r="AD144" s="399">
        <v>3243.3084000544227</v>
      </c>
      <c r="AE144" s="399">
        <v>5388.572888409396</v>
      </c>
      <c r="AF144" s="399">
        <v>10056.241412314499</v>
      </c>
      <c r="AG144" s="399">
        <v>379.16582056797392</v>
      </c>
      <c r="AH144" s="399">
        <v>0</v>
      </c>
      <c r="AI144" s="399">
        <v>0</v>
      </c>
      <c r="AJ144" s="399">
        <v>0</v>
      </c>
      <c r="AK144" s="399">
        <v>0</v>
      </c>
      <c r="AL144" s="399">
        <v>568.44926826355697</v>
      </c>
      <c r="AM144" s="399"/>
      <c r="AN144" s="399">
        <v>24.083504567022857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973.54679491353932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/>
      <c r="BS144" s="399">
        <v>16147.343477999997</v>
      </c>
      <c r="BT144" s="399"/>
      <c r="BU144" s="399"/>
      <c r="BV144" s="399">
        <v>11029.788207228039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8770.2783999999992</v>
      </c>
      <c r="CJ144" s="399">
        <v>-33.678620000000592</v>
      </c>
      <c r="CK144" s="399"/>
      <c r="CL144" s="399"/>
      <c r="CM144" s="399"/>
      <c r="CN144" s="399"/>
      <c r="CO144" s="399">
        <v>-1460.6321800000005</v>
      </c>
      <c r="CP144" s="399">
        <v>1368.8105899999994</v>
      </c>
      <c r="CQ144" s="399">
        <v>30</v>
      </c>
      <c r="CR144" s="399">
        <v>1073.5003844760759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146.05469122304703</v>
      </c>
      <c r="DA144" s="399">
        <v>0</v>
      </c>
      <c r="DB144" s="399">
        <v>0</v>
      </c>
      <c r="DC144" s="399">
        <v>1369.135714466971</v>
      </c>
      <c r="DD144" s="399">
        <v>0</v>
      </c>
      <c r="DE144" s="399">
        <v>0</v>
      </c>
      <c r="DF144" s="399">
        <v>0</v>
      </c>
      <c r="DG144" s="399">
        <v>132.54630949777425</v>
      </c>
      <c r="DH144" s="399">
        <v>0</v>
      </c>
      <c r="DI144" s="399">
        <v>-504.95650889497165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-65.510146502190878</v>
      </c>
      <c r="DP144" s="399">
        <v>-3.7696753145480315</v>
      </c>
      <c r="DQ144" s="399">
        <v>0</v>
      </c>
      <c r="DR144" s="399">
        <v>0</v>
      </c>
      <c r="DS144" s="399"/>
      <c r="DT144" s="399"/>
      <c r="DU144" s="399"/>
      <c r="DV144" s="399">
        <v>5388.572888409396</v>
      </c>
      <c r="DW144" s="399">
        <v>0</v>
      </c>
      <c r="DX144" s="399">
        <v>0</v>
      </c>
      <c r="DY144" s="399">
        <v>-1460.6321800000005</v>
      </c>
      <c r="DZ144" s="399">
        <v>1368.8105899999991</v>
      </c>
      <c r="EA144" s="399">
        <v>0</v>
      </c>
      <c r="EB144" s="399">
        <v>0</v>
      </c>
      <c r="EC144" s="399">
        <v>-1164.9803839891929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701.06675403225097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215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956</v>
      </c>
      <c r="C145" s="399" t="s">
        <v>2343</v>
      </c>
      <c r="D145" s="399" t="s">
        <v>1823</v>
      </c>
      <c r="E145" s="399" t="s">
        <v>889</v>
      </c>
      <c r="F145" s="399" t="s">
        <v>889</v>
      </c>
      <c r="G145" s="399" t="s">
        <v>1239</v>
      </c>
      <c r="H145" s="399" t="s">
        <v>1239</v>
      </c>
      <c r="I145" s="399" t="s">
        <v>1239</v>
      </c>
      <c r="J145" s="399" t="s">
        <v>2344</v>
      </c>
      <c r="K145" s="791">
        <v>44531</v>
      </c>
      <c r="L145" s="399">
        <v>0</v>
      </c>
      <c r="M145" s="399">
        <v>0</v>
      </c>
      <c r="N145" s="399">
        <v>1411.4179999999999</v>
      </c>
      <c r="O145" s="399">
        <v>1411.4179999999999</v>
      </c>
      <c r="P145" s="399">
        <v>1411.4179999999999</v>
      </c>
      <c r="Q145" s="399">
        <v>1411.4179999999999</v>
      </c>
      <c r="R145" s="399"/>
      <c r="S145" s="399">
        <v>239.69</v>
      </c>
      <c r="T145" s="399">
        <v>171.61</v>
      </c>
      <c r="U145" s="399"/>
      <c r="V145" s="399">
        <v>580516.22340000002</v>
      </c>
      <c r="W145" s="399">
        <v>580516.22340000002</v>
      </c>
      <c r="X145" s="399">
        <v>578384.98221999989</v>
      </c>
      <c r="Y145" s="399">
        <v>0</v>
      </c>
      <c r="Z145" s="399">
        <v>85330.520482931533</v>
      </c>
      <c r="AA145" s="399">
        <v>0</v>
      </c>
      <c r="AB145" s="399">
        <v>0</v>
      </c>
      <c r="AC145" s="399">
        <v>0</v>
      </c>
      <c r="AD145" s="399">
        <v>75279.380607936531</v>
      </c>
      <c r="AE145" s="399">
        <v>125072.41969137812</v>
      </c>
      <c r="AF145" s="399">
        <v>233412.16171432033</v>
      </c>
      <c r="AG145" s="399">
        <v>8800.6950309067506</v>
      </c>
      <c r="AH145" s="399">
        <v>0</v>
      </c>
      <c r="AI145" s="399">
        <v>0</v>
      </c>
      <c r="AJ145" s="399">
        <v>0</v>
      </c>
      <c r="AK145" s="399">
        <v>0</v>
      </c>
      <c r="AL145" s="399">
        <v>13194.091817231216</v>
      </c>
      <c r="AM145" s="399"/>
      <c r="AN145" s="399">
        <v>558.99442268378471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22596.679277463496</v>
      </c>
      <c r="BH145" s="399">
        <v>0</v>
      </c>
      <c r="BI145" s="399">
        <v>0</v>
      </c>
      <c r="BJ145" s="399">
        <v>0</v>
      </c>
      <c r="BK145" s="399">
        <v>189938.88</v>
      </c>
      <c r="BL145" s="399">
        <v>4730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>
        <v>256008.84099178383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578385.80180000002</v>
      </c>
      <c r="CJ145" s="399">
        <v>-2130.4516000000294</v>
      </c>
      <c r="CK145" s="399"/>
      <c r="CL145" s="399"/>
      <c r="CM145" s="399"/>
      <c r="CN145" s="399"/>
      <c r="CO145" s="399">
        <v>-33902.260360000015</v>
      </c>
      <c r="CP145" s="399">
        <v>31771.019179999985</v>
      </c>
      <c r="CQ145" s="399"/>
      <c r="CR145" s="399">
        <v>24916.669664958434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3390.0281237423915</v>
      </c>
      <c r="DA145" s="399">
        <v>0</v>
      </c>
      <c r="DB145" s="399">
        <v>0</v>
      </c>
      <c r="DC145" s="399">
        <v>31778.565538679162</v>
      </c>
      <c r="DD145" s="399">
        <v>0</v>
      </c>
      <c r="DE145" s="399">
        <v>0</v>
      </c>
      <c r="DF145" s="399">
        <v>0</v>
      </c>
      <c r="DG145" s="399">
        <v>3076.489451540554</v>
      </c>
      <c r="DH145" s="399">
        <v>0</v>
      </c>
      <c r="DI145" s="399">
        <v>-11720.381947927497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-1520.5347885317842</v>
      </c>
      <c r="DP145" s="399">
        <v>-87.496712544339687</v>
      </c>
      <c r="DQ145" s="399">
        <v>0</v>
      </c>
      <c r="DR145" s="399">
        <v>0</v>
      </c>
      <c r="DS145" s="399"/>
      <c r="DT145" s="399"/>
      <c r="DU145" s="399"/>
      <c r="DV145" s="399">
        <v>125072.41969137812</v>
      </c>
      <c r="DW145" s="399">
        <v>0</v>
      </c>
      <c r="DX145" s="399">
        <v>0</v>
      </c>
      <c r="DY145" s="399">
        <v>-33902.260360000015</v>
      </c>
      <c r="DZ145" s="399">
        <v>31771.019180000003</v>
      </c>
      <c r="EA145" s="399">
        <v>0</v>
      </c>
      <c r="EB145" s="399">
        <v>0</v>
      </c>
      <c r="EC145" s="399">
        <v>-27039.98229882514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16272.233318138624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215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2345</v>
      </c>
      <c r="C146" s="399" t="s">
        <v>2343</v>
      </c>
      <c r="D146" s="399" t="s">
        <v>1823</v>
      </c>
      <c r="E146" s="399" t="s">
        <v>889</v>
      </c>
      <c r="F146" s="399" t="s">
        <v>889</v>
      </c>
      <c r="G146" s="399" t="s">
        <v>1239</v>
      </c>
      <c r="H146" s="399" t="s">
        <v>1239</v>
      </c>
      <c r="I146" s="399" t="s">
        <v>1239</v>
      </c>
      <c r="J146" s="399" t="s">
        <v>2344</v>
      </c>
      <c r="K146" s="791">
        <v>44531</v>
      </c>
      <c r="L146" s="399">
        <v>0</v>
      </c>
      <c r="M146" s="399">
        <v>0</v>
      </c>
      <c r="N146" s="399">
        <v>-0.26700000000000002</v>
      </c>
      <c r="O146" s="399">
        <v>-0.26700000000000002</v>
      </c>
      <c r="P146" s="399">
        <v>-0.26700000000000002</v>
      </c>
      <c r="Q146" s="399">
        <v>-0.26700000000000002</v>
      </c>
      <c r="R146" s="399"/>
      <c r="S146" s="399">
        <v>239.69</v>
      </c>
      <c r="T146" s="399">
        <v>171.61</v>
      </c>
      <c r="U146" s="399"/>
      <c r="V146" s="399">
        <v>-109.81710000000001</v>
      </c>
      <c r="W146" s="399">
        <v>-109.81710000000001</v>
      </c>
      <c r="X146" s="399">
        <v>-109.41392999999999</v>
      </c>
      <c r="Y146" s="399">
        <v>0</v>
      </c>
      <c r="Z146" s="399">
        <v>-16.142098916793412</v>
      </c>
      <c r="AA146" s="399">
        <v>0</v>
      </c>
      <c r="AB146" s="399">
        <v>0</v>
      </c>
      <c r="AC146" s="399">
        <v>0</v>
      </c>
      <c r="AD146" s="399">
        <v>-14.240710138540855</v>
      </c>
      <c r="AE146" s="399">
        <v>-23.660131908193012</v>
      </c>
      <c r="AF146" s="399">
        <v>-44.154918796361912</v>
      </c>
      <c r="AG146" s="399">
        <v>-1.6648403047517482</v>
      </c>
      <c r="AH146" s="399">
        <v>0</v>
      </c>
      <c r="AI146" s="399">
        <v>0</v>
      </c>
      <c r="AJ146" s="399">
        <v>0</v>
      </c>
      <c r="AK146" s="399">
        <v>0</v>
      </c>
      <c r="AL146" s="399">
        <v>-2.4959455775686119</v>
      </c>
      <c r="AM146" s="399"/>
      <c r="AN146" s="399">
        <v>-0.10574578959356516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-4.2746467503480572</v>
      </c>
      <c r="BH146" s="399">
        <v>0</v>
      </c>
      <c r="BI146" s="399">
        <v>0</v>
      </c>
      <c r="BJ146" s="399">
        <v>0</v>
      </c>
      <c r="BK146" s="399">
        <v>-49.11</v>
      </c>
      <c r="BL146" s="399">
        <v>0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>
        <v>-48.429565546709966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-110.64330000000001</v>
      </c>
      <c r="CJ146" s="399">
        <v>-0.85620000000000118</v>
      </c>
      <c r="CK146" s="399"/>
      <c r="CL146" s="399"/>
      <c r="CM146" s="399"/>
      <c r="CN146" s="399"/>
      <c r="CO146" s="399">
        <v>6.4133400000000034</v>
      </c>
      <c r="CP146" s="399">
        <v>-6.0101699999999978</v>
      </c>
      <c r="CQ146" s="399"/>
      <c r="CR146" s="399">
        <v>-4.7135227130048918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-0.64129656064979912</v>
      </c>
      <c r="DA146" s="399">
        <v>0</v>
      </c>
      <c r="DB146" s="399">
        <v>0</v>
      </c>
      <c r="DC146" s="399">
        <v>-6.0115975556690842</v>
      </c>
      <c r="DD146" s="399">
        <v>0</v>
      </c>
      <c r="DE146" s="399">
        <v>0</v>
      </c>
      <c r="DF146" s="399">
        <v>0</v>
      </c>
      <c r="DG146" s="399">
        <v>-0.58198399309157711</v>
      </c>
      <c r="DH146" s="399">
        <v>0</v>
      </c>
      <c r="DI146" s="399">
        <v>2.2171617338709311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0.28764178190868073</v>
      </c>
      <c r="DP146" s="399">
        <v>1.6551880625965326E-2</v>
      </c>
      <c r="DQ146" s="399">
        <v>0</v>
      </c>
      <c r="DR146" s="399">
        <v>0</v>
      </c>
      <c r="DS146" s="399"/>
      <c r="DT146" s="399"/>
      <c r="DU146" s="399"/>
      <c r="DV146" s="399">
        <v>-23.660131908193012</v>
      </c>
      <c r="DW146" s="399">
        <v>0</v>
      </c>
      <c r="DX146" s="399">
        <v>0</v>
      </c>
      <c r="DY146" s="399">
        <v>6.4133400000000051</v>
      </c>
      <c r="DZ146" s="399">
        <v>-6.0101699999999951</v>
      </c>
      <c r="EA146" s="399">
        <v>0</v>
      </c>
      <c r="EB146" s="399">
        <v>0</v>
      </c>
      <c r="EC146" s="399">
        <v>5.1151928583781086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-3.0782420912465431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215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2346</v>
      </c>
      <c r="C147" s="399" t="s">
        <v>2343</v>
      </c>
      <c r="D147" s="399" t="s">
        <v>1823</v>
      </c>
      <c r="E147" s="399" t="s">
        <v>889</v>
      </c>
      <c r="F147" s="399" t="s">
        <v>889</v>
      </c>
      <c r="G147" s="399" t="s">
        <v>1239</v>
      </c>
      <c r="H147" s="399" t="s">
        <v>1239</v>
      </c>
      <c r="I147" s="399" t="s">
        <v>1239</v>
      </c>
      <c r="J147" s="399" t="s">
        <v>2344</v>
      </c>
      <c r="K147" s="791">
        <v>44531</v>
      </c>
      <c r="L147" s="399">
        <v>0</v>
      </c>
      <c r="M147" s="399">
        <v>0</v>
      </c>
      <c r="N147" s="399">
        <v>1.9470000000000001</v>
      </c>
      <c r="O147" s="399">
        <v>1.9470000000000001</v>
      </c>
      <c r="P147" s="399">
        <v>1.9470000000000001</v>
      </c>
      <c r="Q147" s="399">
        <v>1.9470000000000001</v>
      </c>
      <c r="R147" s="399"/>
      <c r="S147" s="399">
        <v>239.69</v>
      </c>
      <c r="T147" s="399">
        <v>171.61</v>
      </c>
      <c r="U147" s="399"/>
      <c r="V147" s="399">
        <v>800.80110000000013</v>
      </c>
      <c r="W147" s="399">
        <v>800.80110000000013</v>
      </c>
      <c r="X147" s="399">
        <v>797.86113</v>
      </c>
      <c r="Y147" s="399">
        <v>0</v>
      </c>
      <c r="Z147" s="399">
        <v>117.71036176403285</v>
      </c>
      <c r="AA147" s="399">
        <v>0</v>
      </c>
      <c r="AB147" s="399">
        <v>0</v>
      </c>
      <c r="AC147" s="399">
        <v>0</v>
      </c>
      <c r="AD147" s="399">
        <v>103.84517842598893</v>
      </c>
      <c r="AE147" s="399">
        <v>172.53287200468836</v>
      </c>
      <c r="AF147" s="399">
        <v>321.98362133526831</v>
      </c>
      <c r="AG147" s="399">
        <v>12.140239975099826</v>
      </c>
      <c r="AH147" s="399">
        <v>0</v>
      </c>
      <c r="AI147" s="399">
        <v>0</v>
      </c>
      <c r="AJ147" s="399">
        <v>0</v>
      </c>
      <c r="AK147" s="399">
        <v>0</v>
      </c>
      <c r="AL147" s="399">
        <v>18.200771683618303</v>
      </c>
      <c r="AM147" s="399"/>
      <c r="AN147" s="399">
        <v>0.77111255557554814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31.171300460403248</v>
      </c>
      <c r="BH147" s="399">
        <v>0</v>
      </c>
      <c r="BI147" s="399">
        <v>0</v>
      </c>
      <c r="BJ147" s="399">
        <v>0</v>
      </c>
      <c r="BK147" s="399">
        <v>691.12</v>
      </c>
      <c r="BL147" s="399">
        <v>10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>
        <v>353.15492179567156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799.09050000000002</v>
      </c>
      <c r="CJ147" s="399">
        <v>-1.7406000000000859</v>
      </c>
      <c r="CK147" s="399"/>
      <c r="CL147" s="399"/>
      <c r="CM147" s="399"/>
      <c r="CN147" s="399"/>
      <c r="CO147" s="399">
        <v>-46.766940000000019</v>
      </c>
      <c r="CP147" s="399">
        <v>43.826969999999982</v>
      </c>
      <c r="CQ147" s="399"/>
      <c r="CR147" s="399">
        <v>34.371643154383946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4.6764209872103208</v>
      </c>
      <c r="DA147" s="399">
        <v>0</v>
      </c>
      <c r="DB147" s="399">
        <v>0</v>
      </c>
      <c r="DC147" s="399">
        <v>43.837379928418386</v>
      </c>
      <c r="DD147" s="399">
        <v>0</v>
      </c>
      <c r="DE147" s="399">
        <v>0</v>
      </c>
      <c r="DF147" s="399">
        <v>0</v>
      </c>
      <c r="DG147" s="399">
        <v>4.2439057473756598</v>
      </c>
      <c r="DH147" s="399">
        <v>0</v>
      </c>
      <c r="DI147" s="399">
        <v>-16.167842306541957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-2.0975226568397041</v>
      </c>
      <c r="DP147" s="399">
        <v>-0.12069854523878076</v>
      </c>
      <c r="DQ147" s="399">
        <v>0</v>
      </c>
      <c r="DR147" s="399">
        <v>0</v>
      </c>
      <c r="DS147" s="399"/>
      <c r="DT147" s="399"/>
      <c r="DU147" s="399"/>
      <c r="DV147" s="399">
        <v>172.53287200468836</v>
      </c>
      <c r="DW147" s="399">
        <v>0</v>
      </c>
      <c r="DX147" s="399">
        <v>0</v>
      </c>
      <c r="DY147" s="399">
        <v>-46.766940000000034</v>
      </c>
      <c r="DZ147" s="399">
        <v>43.82696999999996</v>
      </c>
      <c r="EA147" s="399">
        <v>0</v>
      </c>
      <c r="EB147" s="399">
        <v>0</v>
      </c>
      <c r="EC147" s="399">
        <v>-37.300676012217906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22.446956373247264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215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956</v>
      </c>
      <c r="C148" s="399" t="s">
        <v>2343</v>
      </c>
      <c r="D148" s="399" t="s">
        <v>1823</v>
      </c>
      <c r="E148" s="399" t="s">
        <v>889</v>
      </c>
      <c r="F148" s="399" t="s">
        <v>2347</v>
      </c>
      <c r="G148" s="399" t="s">
        <v>1239</v>
      </c>
      <c r="H148" s="399" t="s">
        <v>1239</v>
      </c>
      <c r="I148" s="399" t="s">
        <v>1239</v>
      </c>
      <c r="J148" s="399" t="s">
        <v>2344</v>
      </c>
      <c r="K148" s="791">
        <v>44531</v>
      </c>
      <c r="L148" s="399">
        <v>0</v>
      </c>
      <c r="M148" s="399">
        <v>0</v>
      </c>
      <c r="N148" s="399">
        <v>6.81</v>
      </c>
      <c r="O148" s="399">
        <v>6.81</v>
      </c>
      <c r="P148" s="399">
        <v>6.81</v>
      </c>
      <c r="Q148" s="399">
        <v>6.81</v>
      </c>
      <c r="R148" s="399"/>
      <c r="S148" s="399">
        <v>158.36000000000001</v>
      </c>
      <c r="T148" s="399">
        <v>171.61</v>
      </c>
      <c r="U148" s="399"/>
      <c r="V148" s="399">
        <v>2247.0956999999999</v>
      </c>
      <c r="W148" s="399">
        <v>2247.0956999999999</v>
      </c>
      <c r="X148" s="399">
        <v>2300.6904</v>
      </c>
      <c r="Y148" s="399">
        <v>0</v>
      </c>
      <c r="Z148" s="399">
        <v>0</v>
      </c>
      <c r="AA148" s="399">
        <v>0</v>
      </c>
      <c r="AB148" s="399">
        <v>0</v>
      </c>
      <c r="AC148" s="399">
        <v>0</v>
      </c>
      <c r="AD148" s="399">
        <v>363.21811252233414</v>
      </c>
      <c r="AE148" s="399">
        <v>603.46628574829356</v>
      </c>
      <c r="AF148" s="399">
        <v>1126.1984906487812</v>
      </c>
      <c r="AG148" s="399">
        <v>42.462780806589528</v>
      </c>
      <c r="AH148" s="399">
        <v>0</v>
      </c>
      <c r="AI148" s="399">
        <v>0</v>
      </c>
      <c r="AJ148" s="399">
        <v>0</v>
      </c>
      <c r="AK148" s="399">
        <v>0</v>
      </c>
      <c r="AL148" s="399">
        <v>0</v>
      </c>
      <c r="AM148" s="399"/>
      <c r="AN148" s="399">
        <v>2.6971117121055381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109.02750700325943</v>
      </c>
      <c r="BH148" s="399">
        <v>0</v>
      </c>
      <c r="BI148" s="399">
        <v>0</v>
      </c>
      <c r="BJ148" s="399">
        <v>0</v>
      </c>
      <c r="BK148" s="399">
        <v>108.96</v>
      </c>
      <c r="BL148" s="399">
        <v>2</v>
      </c>
      <c r="BM148" s="399"/>
      <c r="BN148" s="399"/>
      <c r="BO148" s="399"/>
      <c r="BP148" s="399"/>
      <c r="BQ148" s="399"/>
      <c r="BR148" s="399"/>
      <c r="BS148" s="399"/>
      <c r="BT148" s="399">
        <v>1495.4760000000001</v>
      </c>
      <c r="BU148" s="399"/>
      <c r="BV148" s="399">
        <v>1235.2259976520406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805.21439999999984</v>
      </c>
      <c r="CJ148" s="399">
        <v>18.765599999999949</v>
      </c>
      <c r="CK148" s="399"/>
      <c r="CL148" s="399"/>
      <c r="CM148" s="399"/>
      <c r="CN148" s="399"/>
      <c r="CO148" s="399">
        <v>-99.698400000000092</v>
      </c>
      <c r="CP148" s="399">
        <v>153.29309999999992</v>
      </c>
      <c r="CQ148" s="399"/>
      <c r="CR148" s="399">
        <v>184.10787122854822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16.356665086236433</v>
      </c>
      <c r="DA148" s="399">
        <v>0</v>
      </c>
      <c r="DB148" s="399">
        <v>0</v>
      </c>
      <c r="DC148" s="399">
        <v>153.3295106895373</v>
      </c>
      <c r="DD148" s="399">
        <v>0</v>
      </c>
      <c r="DE148" s="399">
        <v>0</v>
      </c>
      <c r="DF148" s="399">
        <v>0</v>
      </c>
      <c r="DG148" s="399">
        <v>14.843861396830107</v>
      </c>
      <c r="DH148" s="399">
        <v>0</v>
      </c>
      <c r="DI148" s="399">
        <v>0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0</v>
      </c>
      <c r="DP148" s="399">
        <v>-0.4221659440555201</v>
      </c>
      <c r="DQ148" s="399">
        <v>0</v>
      </c>
      <c r="DR148" s="399">
        <v>0</v>
      </c>
      <c r="DS148" s="399"/>
      <c r="DT148" s="399"/>
      <c r="DU148" s="399"/>
      <c r="DV148" s="399">
        <v>603.46628574829356</v>
      </c>
      <c r="DW148" s="399">
        <v>0</v>
      </c>
      <c r="DX148" s="399">
        <v>0</v>
      </c>
      <c r="DY148" s="399">
        <v>-99.69840000000022</v>
      </c>
      <c r="DZ148" s="399">
        <v>153.29310000000009</v>
      </c>
      <c r="EA148" s="399">
        <v>0</v>
      </c>
      <c r="EB148" s="399">
        <v>0</v>
      </c>
      <c r="EC148" s="399">
        <v>-130.46615492717194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215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956</v>
      </c>
      <c r="C149" s="399" t="s">
        <v>2343</v>
      </c>
      <c r="D149" s="399" t="s">
        <v>1823</v>
      </c>
      <c r="E149" s="399" t="s">
        <v>889</v>
      </c>
      <c r="F149" s="399" t="s">
        <v>2348</v>
      </c>
      <c r="G149" s="399" t="s">
        <v>1239</v>
      </c>
      <c r="H149" s="399" t="s">
        <v>1239</v>
      </c>
      <c r="I149" s="399" t="s">
        <v>1239</v>
      </c>
      <c r="J149" s="399" t="s">
        <v>2344</v>
      </c>
      <c r="K149" s="791">
        <v>44531</v>
      </c>
      <c r="L149" s="399">
        <v>0</v>
      </c>
      <c r="M149" s="399">
        <v>0</v>
      </c>
      <c r="N149" s="399">
        <v>15.295</v>
      </c>
      <c r="O149" s="399">
        <v>15.295</v>
      </c>
      <c r="P149" s="399">
        <v>15.295</v>
      </c>
      <c r="Q149" s="399">
        <v>15.295</v>
      </c>
      <c r="R149" s="399"/>
      <c r="S149" s="399">
        <v>158.36000000000001</v>
      </c>
      <c r="T149" s="399">
        <v>171.61</v>
      </c>
      <c r="U149" s="399"/>
      <c r="V149" s="399">
        <v>5046.8911500000004</v>
      </c>
      <c r="W149" s="399">
        <v>5046.8911500000004</v>
      </c>
      <c r="X149" s="399">
        <v>5167.2628000000004</v>
      </c>
      <c r="Y149" s="399">
        <v>0</v>
      </c>
      <c r="Z149" s="399">
        <v>0</v>
      </c>
      <c r="AA149" s="399">
        <v>0</v>
      </c>
      <c r="AB149" s="399">
        <v>0</v>
      </c>
      <c r="AC149" s="399">
        <v>0</v>
      </c>
      <c r="AD149" s="399">
        <v>815.77401336697517</v>
      </c>
      <c r="AE149" s="399">
        <v>1355.362237961843</v>
      </c>
      <c r="AF149" s="399">
        <v>2529.3988126979602</v>
      </c>
      <c r="AG149" s="399">
        <v>95.369784498793948</v>
      </c>
      <c r="AH149" s="399">
        <v>0</v>
      </c>
      <c r="AI149" s="399">
        <v>0</v>
      </c>
      <c r="AJ149" s="399">
        <v>0</v>
      </c>
      <c r="AK149" s="399">
        <v>0</v>
      </c>
      <c r="AL149" s="399">
        <v>0</v>
      </c>
      <c r="AM149" s="399"/>
      <c r="AN149" s="399">
        <v>6.05760993196097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244.8716181519608</v>
      </c>
      <c r="BH149" s="399">
        <v>0</v>
      </c>
      <c r="BI149" s="399">
        <v>0</v>
      </c>
      <c r="BJ149" s="399">
        <v>0</v>
      </c>
      <c r="BK149" s="399">
        <v>420.62</v>
      </c>
      <c r="BL149" s="399">
        <v>22</v>
      </c>
      <c r="BM149" s="399"/>
      <c r="BN149" s="399"/>
      <c r="BO149" s="399"/>
      <c r="BP149" s="399"/>
      <c r="BQ149" s="399"/>
      <c r="BR149" s="399"/>
      <c r="BS149" s="399"/>
      <c r="BT149" s="399">
        <v>2066.9663</v>
      </c>
      <c r="BU149" s="399"/>
      <c r="BV149" s="399">
        <v>2774.270430849921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3101.3100000000004</v>
      </c>
      <c r="CJ149" s="399">
        <v>73.175900000000183</v>
      </c>
      <c r="CK149" s="399"/>
      <c r="CL149" s="399"/>
      <c r="CM149" s="399"/>
      <c r="CN149" s="399"/>
      <c r="CO149" s="399">
        <v>-223.91880000000023</v>
      </c>
      <c r="CP149" s="399">
        <v>344.29044999999985</v>
      </c>
      <c r="CQ149" s="399"/>
      <c r="CR149" s="399">
        <v>413.49924969759832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36.736445300144851</v>
      </c>
      <c r="DA149" s="399">
        <v>0</v>
      </c>
      <c r="DB149" s="399">
        <v>0</v>
      </c>
      <c r="DC149" s="399">
        <v>344.37222701857172</v>
      </c>
      <c r="DD149" s="399">
        <v>0</v>
      </c>
      <c r="DE149" s="399">
        <v>0</v>
      </c>
      <c r="DF149" s="399">
        <v>0</v>
      </c>
      <c r="DG149" s="399">
        <v>33.338745971294628</v>
      </c>
      <c r="DH149" s="399">
        <v>0</v>
      </c>
      <c r="DI149" s="399">
        <v>0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0</v>
      </c>
      <c r="DP149" s="399">
        <v>-0.94816859241250739</v>
      </c>
      <c r="DQ149" s="399">
        <v>0</v>
      </c>
      <c r="DR149" s="399">
        <v>0</v>
      </c>
      <c r="DS149" s="399"/>
      <c r="DT149" s="399"/>
      <c r="DU149" s="399"/>
      <c r="DV149" s="399">
        <v>1355.362237961843</v>
      </c>
      <c r="DW149" s="399">
        <v>0</v>
      </c>
      <c r="DX149" s="399">
        <v>0</v>
      </c>
      <c r="DY149" s="399">
        <v>-223.91880000000037</v>
      </c>
      <c r="DZ149" s="399">
        <v>344.29044999999996</v>
      </c>
      <c r="EA149" s="399">
        <v>0</v>
      </c>
      <c r="EB149" s="399">
        <v>0</v>
      </c>
      <c r="EC149" s="399">
        <v>-293.02200287974961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215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956</v>
      </c>
      <c r="C150" s="399" t="s">
        <v>2343</v>
      </c>
      <c r="D150" s="399" t="s">
        <v>1823</v>
      </c>
      <c r="E150" s="399" t="s">
        <v>889</v>
      </c>
      <c r="F150" s="399" t="s">
        <v>2349</v>
      </c>
      <c r="G150" s="399" t="s">
        <v>1239</v>
      </c>
      <c r="H150" s="399" t="s">
        <v>1239</v>
      </c>
      <c r="I150" s="399" t="s">
        <v>1239</v>
      </c>
      <c r="J150" s="399" t="s">
        <v>2344</v>
      </c>
      <c r="K150" s="791">
        <v>44531</v>
      </c>
      <c r="L150" s="399">
        <v>0</v>
      </c>
      <c r="M150" s="399">
        <v>0</v>
      </c>
      <c r="N150" s="399">
        <v>20.363</v>
      </c>
      <c r="O150" s="399">
        <v>20.363</v>
      </c>
      <c r="P150" s="399">
        <v>20.363</v>
      </c>
      <c r="Q150" s="399">
        <v>20.363</v>
      </c>
      <c r="R150" s="399"/>
      <c r="S150" s="399">
        <v>158.36000000000001</v>
      </c>
      <c r="T150" s="399">
        <v>171.61</v>
      </c>
      <c r="U150" s="399"/>
      <c r="V150" s="399">
        <v>6719.1791100000009</v>
      </c>
      <c r="W150" s="399">
        <v>6719.1791100000009</v>
      </c>
      <c r="X150" s="399">
        <v>6879.4359199999999</v>
      </c>
      <c r="Y150" s="399">
        <v>0</v>
      </c>
      <c r="Z150" s="399">
        <v>0</v>
      </c>
      <c r="AA150" s="399">
        <v>0</v>
      </c>
      <c r="AB150" s="399">
        <v>0</v>
      </c>
      <c r="AC150" s="399">
        <v>0</v>
      </c>
      <c r="AD150" s="399">
        <v>1086.0808260341103</v>
      </c>
      <c r="AE150" s="399">
        <v>1804.4616705862707</v>
      </c>
      <c r="AF150" s="399">
        <v>3367.5153986903279</v>
      </c>
      <c r="AG150" s="399">
        <v>126.97057350434399</v>
      </c>
      <c r="AH150" s="399">
        <v>0</v>
      </c>
      <c r="AI150" s="399">
        <v>0</v>
      </c>
      <c r="AJ150" s="399">
        <v>0</v>
      </c>
      <c r="AK150" s="399">
        <v>0</v>
      </c>
      <c r="AL150" s="399">
        <v>0</v>
      </c>
      <c r="AM150" s="399"/>
      <c r="AN150" s="399">
        <v>8.0647996760066185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326.00985684396062</v>
      </c>
      <c r="BH150" s="399">
        <v>0</v>
      </c>
      <c r="BI150" s="399">
        <v>0</v>
      </c>
      <c r="BJ150" s="399">
        <v>0</v>
      </c>
      <c r="BK150" s="399">
        <v>1507.02</v>
      </c>
      <c r="BL150" s="399">
        <v>67</v>
      </c>
      <c r="BM150" s="399"/>
      <c r="BN150" s="399"/>
      <c r="BO150" s="399"/>
      <c r="BP150" s="399"/>
      <c r="BQ150" s="399"/>
      <c r="BR150" s="399"/>
      <c r="BS150" s="399"/>
      <c r="BT150" s="399">
        <v>687.86213999999995</v>
      </c>
      <c r="BU150" s="399"/>
      <c r="BV150" s="399">
        <v>3693.5252555342886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6190.6615999999995</v>
      </c>
      <c r="CJ150" s="399">
        <v>143.43148999999903</v>
      </c>
      <c r="CK150" s="399"/>
      <c r="CL150" s="399"/>
      <c r="CM150" s="399"/>
      <c r="CN150" s="399"/>
      <c r="CO150" s="399">
        <v>-298.1143200000003</v>
      </c>
      <c r="CP150" s="399">
        <v>458.37112999999982</v>
      </c>
      <c r="CQ150" s="399"/>
      <c r="CR150" s="399">
        <v>550.51227339602519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48.909070653602384</v>
      </c>
      <c r="DA150" s="399">
        <v>0</v>
      </c>
      <c r="DB150" s="399">
        <v>0</v>
      </c>
      <c r="DC150" s="399">
        <v>458.48000384303214</v>
      </c>
      <c r="DD150" s="399">
        <v>0</v>
      </c>
      <c r="DE150" s="399">
        <v>0</v>
      </c>
      <c r="DF150" s="399">
        <v>0</v>
      </c>
      <c r="DG150" s="399">
        <v>44.385543263384932</v>
      </c>
      <c r="DH150" s="399">
        <v>0</v>
      </c>
      <c r="DI150" s="399">
        <v>0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0</v>
      </c>
      <c r="DP150" s="399">
        <v>-1.2623443639945009</v>
      </c>
      <c r="DQ150" s="399">
        <v>0</v>
      </c>
      <c r="DR150" s="399">
        <v>0</v>
      </c>
      <c r="DS150" s="399"/>
      <c r="DT150" s="399"/>
      <c r="DU150" s="399"/>
      <c r="DV150" s="399">
        <v>1804.4616705862707</v>
      </c>
      <c r="DW150" s="399">
        <v>0</v>
      </c>
      <c r="DX150" s="399">
        <v>0</v>
      </c>
      <c r="DY150" s="399">
        <v>-298.11432000000059</v>
      </c>
      <c r="DZ150" s="399">
        <v>458.37112999999999</v>
      </c>
      <c r="EA150" s="399">
        <v>0</v>
      </c>
      <c r="EB150" s="399">
        <v>0</v>
      </c>
      <c r="EC150" s="399">
        <v>-390.11487706049979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215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956</v>
      </c>
      <c r="C151" s="399" t="s">
        <v>2343</v>
      </c>
      <c r="D151" s="399" t="s">
        <v>1823</v>
      </c>
      <c r="E151" s="399" t="s">
        <v>889</v>
      </c>
      <c r="F151" s="399" t="s">
        <v>2350</v>
      </c>
      <c r="G151" s="399" t="s">
        <v>1239</v>
      </c>
      <c r="H151" s="399" t="s">
        <v>1239</v>
      </c>
      <c r="I151" s="399" t="s">
        <v>1239</v>
      </c>
      <c r="J151" s="399" t="s">
        <v>2344</v>
      </c>
      <c r="K151" s="791">
        <v>44531</v>
      </c>
      <c r="L151" s="399">
        <v>0</v>
      </c>
      <c r="M151" s="399">
        <v>0</v>
      </c>
      <c r="N151" s="399">
        <v>17.498000000000001</v>
      </c>
      <c r="O151" s="399">
        <v>17.498000000000001</v>
      </c>
      <c r="P151" s="399">
        <v>17.498000000000001</v>
      </c>
      <c r="Q151" s="399">
        <v>17.498000000000001</v>
      </c>
      <c r="R151" s="399"/>
      <c r="S151" s="399">
        <v>158.36000000000001</v>
      </c>
      <c r="T151" s="399">
        <v>171.61</v>
      </c>
      <c r="U151" s="399"/>
      <c r="V151" s="399">
        <v>5773.8150600000008</v>
      </c>
      <c r="W151" s="399">
        <v>5773.8150600000008</v>
      </c>
      <c r="X151" s="399">
        <v>5911.5243200000004</v>
      </c>
      <c r="Y151" s="399">
        <v>0</v>
      </c>
      <c r="Z151" s="399">
        <v>0</v>
      </c>
      <c r="AA151" s="399">
        <v>0</v>
      </c>
      <c r="AB151" s="399">
        <v>0</v>
      </c>
      <c r="AC151" s="399">
        <v>0</v>
      </c>
      <c r="AD151" s="399">
        <v>933.27320600819439</v>
      </c>
      <c r="AE151" s="399">
        <v>1550.5804798859974</v>
      </c>
      <c r="AF151" s="399">
        <v>2893.7182363248717</v>
      </c>
      <c r="AG151" s="399">
        <v>109.10627585223254</v>
      </c>
      <c r="AH151" s="399">
        <v>0</v>
      </c>
      <c r="AI151" s="399">
        <v>0</v>
      </c>
      <c r="AJ151" s="399">
        <v>0</v>
      </c>
      <c r="AK151" s="399">
        <v>0</v>
      </c>
      <c r="AL151" s="399">
        <v>0</v>
      </c>
      <c r="AM151" s="399"/>
      <c r="AN151" s="399">
        <v>6.9301117090194877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280.14145632056295</v>
      </c>
      <c r="BH151" s="399">
        <v>0</v>
      </c>
      <c r="BI151" s="399">
        <v>0</v>
      </c>
      <c r="BJ151" s="399">
        <v>0</v>
      </c>
      <c r="BK151" s="399">
        <v>1985.19</v>
      </c>
      <c r="BL151" s="399">
        <v>135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>
        <v>3173.8596926454347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5912.2</v>
      </c>
      <c r="CJ151" s="399">
        <v>138.35493999999835</v>
      </c>
      <c r="CK151" s="399"/>
      <c r="CL151" s="399"/>
      <c r="CM151" s="399"/>
      <c r="CN151" s="399"/>
      <c r="CO151" s="399">
        <v>-256.1707200000003</v>
      </c>
      <c r="CP151" s="399">
        <v>393.87997999999988</v>
      </c>
      <c r="CQ151" s="399"/>
      <c r="CR151" s="399">
        <v>473.05719981749371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42.027742390450044</v>
      </c>
      <c r="DA151" s="399">
        <v>0</v>
      </c>
      <c r="DB151" s="399">
        <v>0</v>
      </c>
      <c r="DC151" s="399">
        <v>393.97353568950393</v>
      </c>
      <c r="DD151" s="399">
        <v>0</v>
      </c>
      <c r="DE151" s="399">
        <v>0</v>
      </c>
      <c r="DF151" s="399">
        <v>0</v>
      </c>
      <c r="DG151" s="399">
        <v>38.140658843132655</v>
      </c>
      <c r="DH151" s="399">
        <v>0</v>
      </c>
      <c r="DI151" s="399">
        <v>0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0</v>
      </c>
      <c r="DP151" s="399">
        <v>-1.0847371055922892</v>
      </c>
      <c r="DQ151" s="399">
        <v>0</v>
      </c>
      <c r="DR151" s="399">
        <v>0</v>
      </c>
      <c r="DS151" s="399"/>
      <c r="DT151" s="399"/>
      <c r="DU151" s="399"/>
      <c r="DV151" s="399">
        <v>1550.5804798859974</v>
      </c>
      <c r="DW151" s="399">
        <v>0</v>
      </c>
      <c r="DX151" s="399">
        <v>0</v>
      </c>
      <c r="DY151" s="399">
        <v>-256.17072000000007</v>
      </c>
      <c r="DZ151" s="399">
        <v>393.8799799999997</v>
      </c>
      <c r="EA151" s="399">
        <v>0</v>
      </c>
      <c r="EB151" s="399">
        <v>0</v>
      </c>
      <c r="EC151" s="399">
        <v>-335.22713346779074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215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956</v>
      </c>
      <c r="C152" s="399" t="s">
        <v>2343</v>
      </c>
      <c r="D152" s="399" t="s">
        <v>1826</v>
      </c>
      <c r="E152" s="399" t="s">
        <v>890</v>
      </c>
      <c r="F152" s="399" t="s">
        <v>1239</v>
      </c>
      <c r="G152" s="399" t="s">
        <v>1239</v>
      </c>
      <c r="H152" s="399" t="s">
        <v>1239</v>
      </c>
      <c r="I152" s="399" t="s">
        <v>1239</v>
      </c>
      <c r="J152" s="399" t="s">
        <v>2344</v>
      </c>
      <c r="K152" s="791">
        <v>44531</v>
      </c>
      <c r="L152" s="399">
        <v>0</v>
      </c>
      <c r="M152" s="399">
        <v>0</v>
      </c>
      <c r="N152" s="399">
        <v>203.28</v>
      </c>
      <c r="O152" s="399">
        <v>203.28</v>
      </c>
      <c r="P152" s="399">
        <v>203.28</v>
      </c>
      <c r="Q152" s="399">
        <v>203.28</v>
      </c>
      <c r="R152" s="399"/>
      <c r="S152" s="399">
        <v>239.69</v>
      </c>
      <c r="T152" s="399">
        <v>171.61</v>
      </c>
      <c r="U152" s="399"/>
      <c r="V152" s="399">
        <v>83609.064000000013</v>
      </c>
      <c r="W152" s="399">
        <v>83609.064000000013</v>
      </c>
      <c r="X152" s="399">
        <v>83302.111199999999</v>
      </c>
      <c r="Y152" s="399">
        <v>0</v>
      </c>
      <c r="Z152" s="399">
        <v>12289.759804515972</v>
      </c>
      <c r="AA152" s="399">
        <v>0</v>
      </c>
      <c r="AB152" s="399">
        <v>0</v>
      </c>
      <c r="AC152" s="399">
        <v>0</v>
      </c>
      <c r="AD152" s="399">
        <v>10842.140662781218</v>
      </c>
      <c r="AE152" s="399">
        <v>18013.601551675936</v>
      </c>
      <c r="AF152" s="399">
        <v>33617.273007207674</v>
      </c>
      <c r="AG152" s="399">
        <v>1267.5233601121174</v>
      </c>
      <c r="AH152" s="399">
        <v>0</v>
      </c>
      <c r="AI152" s="399">
        <v>0</v>
      </c>
      <c r="AJ152" s="399">
        <v>0</v>
      </c>
      <c r="AK152" s="399">
        <v>0</v>
      </c>
      <c r="AL152" s="399">
        <v>1900.2839588320128</v>
      </c>
      <c r="AM152" s="399"/>
      <c r="AN152" s="399">
        <v>80.509378683819946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3254.4950989166782</v>
      </c>
      <c r="BH152" s="399">
        <v>0</v>
      </c>
      <c r="BI152" s="399">
        <v>0</v>
      </c>
      <c r="BJ152" s="399">
        <v>0</v>
      </c>
      <c r="BK152" s="399">
        <v>37388.5</v>
      </c>
      <c r="BL152" s="399">
        <v>78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36871.768106124349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83302.111199999999</v>
      </c>
      <c r="CJ152" s="399">
        <v>-306.98279999999795</v>
      </c>
      <c r="CK152" s="399"/>
      <c r="CL152" s="399"/>
      <c r="CM152" s="399"/>
      <c r="CN152" s="399"/>
      <c r="CO152" s="399">
        <v>-4882.785600000002</v>
      </c>
      <c r="CP152" s="399">
        <v>4575.8327999999983</v>
      </c>
      <c r="CQ152" s="399"/>
      <c r="CR152" s="399">
        <v>3588.6325734068669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488.25005561382386</v>
      </c>
      <c r="DA152" s="399">
        <v>0</v>
      </c>
      <c r="DB152" s="399">
        <v>0</v>
      </c>
      <c r="DC152" s="399">
        <v>4576.9196671026657</v>
      </c>
      <c r="DD152" s="399">
        <v>0</v>
      </c>
      <c r="DE152" s="399">
        <v>0</v>
      </c>
      <c r="DF152" s="399">
        <v>0</v>
      </c>
      <c r="DG152" s="399">
        <v>443.09253226837382</v>
      </c>
      <c r="DH152" s="399">
        <v>0</v>
      </c>
      <c r="DI152" s="399">
        <v>-1688.0323492931948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-218.99558586665398</v>
      </c>
      <c r="DP152" s="399">
        <v>-12.601746418150682</v>
      </c>
      <c r="DQ152" s="399">
        <v>0</v>
      </c>
      <c r="DR152" s="399">
        <v>0</v>
      </c>
      <c r="DS152" s="399"/>
      <c r="DT152" s="399"/>
      <c r="DU152" s="399"/>
      <c r="DV152" s="399">
        <v>18013.601551675936</v>
      </c>
      <c r="DW152" s="399">
        <v>0</v>
      </c>
      <c r="DX152" s="399">
        <v>0</v>
      </c>
      <c r="DY152" s="399">
        <v>-4882.7856000000029</v>
      </c>
      <c r="DZ152" s="399">
        <v>4575.8327999999965</v>
      </c>
      <c r="EA152" s="399">
        <v>0</v>
      </c>
      <c r="EB152" s="399">
        <v>0</v>
      </c>
      <c r="EC152" s="399">
        <v>-3894.4434616146136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2343.6144281220872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215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2346</v>
      </c>
      <c r="C153" s="399" t="s">
        <v>2343</v>
      </c>
      <c r="D153" s="399" t="s">
        <v>1826</v>
      </c>
      <c r="E153" s="399" t="s">
        <v>890</v>
      </c>
      <c r="F153" s="399" t="s">
        <v>1239</v>
      </c>
      <c r="G153" s="399" t="s">
        <v>1239</v>
      </c>
      <c r="H153" s="399" t="s">
        <v>1239</v>
      </c>
      <c r="I153" s="399" t="s">
        <v>1239</v>
      </c>
      <c r="J153" s="399" t="s">
        <v>2344</v>
      </c>
      <c r="K153" s="791">
        <v>44531</v>
      </c>
      <c r="L153" s="399">
        <v>0</v>
      </c>
      <c r="M153" s="399">
        <v>0</v>
      </c>
      <c r="N153" s="399">
        <v>8.5380000000000003</v>
      </c>
      <c r="O153" s="399">
        <v>8.5380000000000003</v>
      </c>
      <c r="P153" s="399">
        <v>8.5380000000000003</v>
      </c>
      <c r="Q153" s="399">
        <v>8.5380000000000003</v>
      </c>
      <c r="R153" s="399"/>
      <c r="S153" s="399">
        <v>239.69</v>
      </c>
      <c r="T153" s="399">
        <v>171.61</v>
      </c>
      <c r="U153" s="399"/>
      <c r="V153" s="399">
        <v>3511.6794</v>
      </c>
      <c r="W153" s="399">
        <v>3511.6794</v>
      </c>
      <c r="X153" s="399">
        <v>3498.7870199999998</v>
      </c>
      <c r="Y153" s="399">
        <v>0</v>
      </c>
      <c r="Z153" s="399">
        <v>516.18442154150614</v>
      </c>
      <c r="AA153" s="399">
        <v>0</v>
      </c>
      <c r="AB153" s="399">
        <v>0</v>
      </c>
      <c r="AC153" s="399">
        <v>0</v>
      </c>
      <c r="AD153" s="399">
        <v>455.38270847513792</v>
      </c>
      <c r="AE153" s="399">
        <v>756.59253270468889</v>
      </c>
      <c r="AF153" s="399">
        <v>1411.965156117371</v>
      </c>
      <c r="AG153" s="399">
        <v>53.237477610376125</v>
      </c>
      <c r="AH153" s="399">
        <v>0</v>
      </c>
      <c r="AI153" s="399">
        <v>0</v>
      </c>
      <c r="AJ153" s="399">
        <v>0</v>
      </c>
      <c r="AK153" s="399">
        <v>0</v>
      </c>
      <c r="AL153" s="399">
        <v>79.814169817531109</v>
      </c>
      <c r="AM153" s="399"/>
      <c r="AN153" s="399">
        <v>3.381488957115578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136.69263653360193</v>
      </c>
      <c r="BH153" s="399">
        <v>0</v>
      </c>
      <c r="BI153" s="399">
        <v>0</v>
      </c>
      <c r="BJ153" s="399">
        <v>0</v>
      </c>
      <c r="BK153" s="399">
        <v>1632.43</v>
      </c>
      <c r="BL153" s="399">
        <v>5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1548.6577926509729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3499.6065999999996</v>
      </c>
      <c r="CJ153" s="399">
        <v>-12.102800000001025</v>
      </c>
      <c r="CK153" s="399"/>
      <c r="CL153" s="399"/>
      <c r="CM153" s="399"/>
      <c r="CN153" s="399"/>
      <c r="CO153" s="399">
        <v>-205.08276000000009</v>
      </c>
      <c r="CP153" s="399">
        <v>192.19037999999992</v>
      </c>
      <c r="CQ153" s="399"/>
      <c r="CR153" s="399">
        <v>150.7268049574368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20.507078782127223</v>
      </c>
      <c r="DA153" s="399">
        <v>0</v>
      </c>
      <c r="DB153" s="399">
        <v>0</v>
      </c>
      <c r="DC153" s="399">
        <v>192.23602970150773</v>
      </c>
      <c r="DD153" s="399">
        <v>0</v>
      </c>
      <c r="DE153" s="399">
        <v>0</v>
      </c>
      <c r="DF153" s="399">
        <v>0</v>
      </c>
      <c r="DG153" s="399">
        <v>18.610409486950886</v>
      </c>
      <c r="DH153" s="399">
        <v>0</v>
      </c>
      <c r="DI153" s="399">
        <v>-70.899351624681685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-9.1980731608101678</v>
      </c>
      <c r="DP153" s="399">
        <v>-0.52928822765727279</v>
      </c>
      <c r="DQ153" s="399">
        <v>0</v>
      </c>
      <c r="DR153" s="399">
        <v>0</v>
      </c>
      <c r="DS153" s="399"/>
      <c r="DT153" s="399"/>
      <c r="DU153" s="399"/>
      <c r="DV153" s="399">
        <v>756.59253270468889</v>
      </c>
      <c r="DW153" s="399">
        <v>0</v>
      </c>
      <c r="DX153" s="399">
        <v>0</v>
      </c>
      <c r="DY153" s="399">
        <v>-205.08276000000023</v>
      </c>
      <c r="DZ153" s="399">
        <v>192.19038</v>
      </c>
      <c r="EA153" s="399">
        <v>0</v>
      </c>
      <c r="EB153" s="399">
        <v>0</v>
      </c>
      <c r="EC153" s="399">
        <v>-163.57122331397863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98.434572940310801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215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956</v>
      </c>
      <c r="C154" s="399" t="s">
        <v>2351</v>
      </c>
      <c r="D154" s="399" t="s">
        <v>533</v>
      </c>
      <c r="E154" s="399" t="s">
        <v>890</v>
      </c>
      <c r="F154" s="399" t="s">
        <v>1239</v>
      </c>
      <c r="G154" s="399" t="s">
        <v>1239</v>
      </c>
      <c r="H154" s="399" t="s">
        <v>1239</v>
      </c>
      <c r="I154" s="399" t="s">
        <v>893</v>
      </c>
      <c r="J154" s="399" t="s">
        <v>2344</v>
      </c>
      <c r="K154" s="791">
        <v>44531</v>
      </c>
      <c r="L154" s="399">
        <v>19308</v>
      </c>
      <c r="M154" s="399">
        <v>19308</v>
      </c>
      <c r="N154" s="399">
        <v>844.88699999999994</v>
      </c>
      <c r="O154" s="399">
        <v>844.88699999999994</v>
      </c>
      <c r="P154" s="399">
        <v>844.88699999999994</v>
      </c>
      <c r="Q154" s="399">
        <v>844.88699999999994</v>
      </c>
      <c r="R154" s="399">
        <v>37.64</v>
      </c>
      <c r="S154" s="399">
        <v>78.42</v>
      </c>
      <c r="T154" s="399">
        <v>171.61</v>
      </c>
      <c r="U154" s="399">
        <v>726753.12</v>
      </c>
      <c r="V154" s="399">
        <v>211247.09661000001</v>
      </c>
      <c r="W154" s="399">
        <v>938000.21661</v>
      </c>
      <c r="X154" s="399">
        <v>875960.01048000006</v>
      </c>
      <c r="Y154" s="399">
        <v>0</v>
      </c>
      <c r="Z154" s="399">
        <v>44439.240033468777</v>
      </c>
      <c r="AA154" s="399">
        <v>0</v>
      </c>
      <c r="AB154" s="399">
        <v>0</v>
      </c>
      <c r="AC154" s="399">
        <v>0</v>
      </c>
      <c r="AD154" s="399">
        <v>315572.17733792524</v>
      </c>
      <c r="AE154" s="399">
        <v>411115.19285745127</v>
      </c>
      <c r="AF154" s="399">
        <v>139722.53512023157</v>
      </c>
      <c r="AG154" s="399">
        <v>5268.1720245722472</v>
      </c>
      <c r="AH154" s="399">
        <v>0</v>
      </c>
      <c r="AI154" s="399">
        <v>0</v>
      </c>
      <c r="AJ154" s="399">
        <v>0</v>
      </c>
      <c r="AK154" s="399">
        <v>0</v>
      </c>
      <c r="AL154" s="399">
        <v>7898.0972703940506</v>
      </c>
      <c r="AM154" s="399"/>
      <c r="AN154" s="399">
        <v>223.10126242949997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5222.4905208928494</v>
      </c>
      <c r="BH154" s="399">
        <v>0</v>
      </c>
      <c r="BI154" s="399">
        <v>0</v>
      </c>
      <c r="BJ154" s="399">
        <v>0</v>
      </c>
      <c r="BK154" s="399">
        <v>0</v>
      </c>
      <c r="BL154" s="399">
        <v>0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144945.0256411244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875960.80560000008</v>
      </c>
      <c r="CJ154" s="399">
        <v>-62039.441009999951</v>
      </c>
      <c r="CK154" s="399"/>
      <c r="CL154" s="399"/>
      <c r="CM154" s="399"/>
      <c r="CN154" s="399"/>
      <c r="CO154" s="399">
        <v>-81058.612499999945</v>
      </c>
      <c r="CP154" s="399">
        <v>19018.40636999999</v>
      </c>
      <c r="CQ154" s="399"/>
      <c r="CR154" s="399">
        <v>26896.019922535634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14211.043550129747</v>
      </c>
      <c r="DA154" s="399">
        <v>0</v>
      </c>
      <c r="DB154" s="399">
        <v>0</v>
      </c>
      <c r="DC154" s="399">
        <v>19022.923685455346</v>
      </c>
      <c r="DD154" s="399">
        <v>0</v>
      </c>
      <c r="DE154" s="399">
        <v>0</v>
      </c>
      <c r="DF154" s="399">
        <v>0</v>
      </c>
      <c r="DG154" s="399">
        <v>711.03089091153288</v>
      </c>
      <c r="DH154" s="399">
        <v>0</v>
      </c>
      <c r="DI154" s="399">
        <v>-6103.8519830904261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-910.20525165348135</v>
      </c>
      <c r="DP154" s="399">
        <v>-34.9209692171043</v>
      </c>
      <c r="DQ154" s="399">
        <v>0</v>
      </c>
      <c r="DR154" s="399">
        <v>0</v>
      </c>
      <c r="DS154" s="399"/>
      <c r="DT154" s="399"/>
      <c r="DU154" s="399">
        <v>411115.19285745127</v>
      </c>
      <c r="DV154" s="399">
        <v>0</v>
      </c>
      <c r="DW154" s="399">
        <v>0</v>
      </c>
      <c r="DX154" s="399">
        <v>0</v>
      </c>
      <c r="DY154" s="399">
        <v>-81058.61249999993</v>
      </c>
      <c r="DZ154" s="399">
        <v>19018.406369999982</v>
      </c>
      <c r="EA154" s="399">
        <v>0</v>
      </c>
      <c r="EB154" s="399">
        <v>0</v>
      </c>
      <c r="EC154" s="399">
        <v>-88880.886490194884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8474.4084322093586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215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2346</v>
      </c>
      <c r="C155" s="399" t="s">
        <v>2351</v>
      </c>
      <c r="D155" s="399" t="s">
        <v>533</v>
      </c>
      <c r="E155" s="399" t="s">
        <v>890</v>
      </c>
      <c r="F155" s="399" t="s">
        <v>1239</v>
      </c>
      <c r="G155" s="399" t="s">
        <v>1239</v>
      </c>
      <c r="H155" s="399" t="s">
        <v>1239</v>
      </c>
      <c r="I155" s="399" t="s">
        <v>893</v>
      </c>
      <c r="J155" s="399" t="s">
        <v>2344</v>
      </c>
      <c r="K155" s="791">
        <v>44531</v>
      </c>
      <c r="L155" s="399">
        <v>1447</v>
      </c>
      <c r="M155" s="399">
        <v>1447</v>
      </c>
      <c r="N155" s="399">
        <v>52.713000000000001</v>
      </c>
      <c r="O155" s="399">
        <v>52.713000000000001</v>
      </c>
      <c r="P155" s="399">
        <v>52.713000000000001</v>
      </c>
      <c r="Q155" s="399">
        <v>52.713000000000001</v>
      </c>
      <c r="R155" s="399">
        <v>37.64</v>
      </c>
      <c r="S155" s="399">
        <v>78.42</v>
      </c>
      <c r="T155" s="399">
        <v>171.61</v>
      </c>
      <c r="U155" s="399">
        <v>54465.08</v>
      </c>
      <c r="V155" s="399">
        <v>13179.831390000001</v>
      </c>
      <c r="W155" s="399">
        <v>67644.911390000008</v>
      </c>
      <c r="X155" s="399">
        <v>62836.243520000004</v>
      </c>
      <c r="Y155" s="399">
        <v>0</v>
      </c>
      <c r="Z155" s="399">
        <v>2772.5904882951681</v>
      </c>
      <c r="AA155" s="399">
        <v>0</v>
      </c>
      <c r="AB155" s="399">
        <v>0</v>
      </c>
      <c r="AC155" s="399">
        <v>0</v>
      </c>
      <c r="AD155" s="399">
        <v>23649.934773564215</v>
      </c>
      <c r="AE155" s="399">
        <v>30810.217736934537</v>
      </c>
      <c r="AF155" s="399">
        <v>8717.3716648412938</v>
      </c>
      <c r="AG155" s="399">
        <v>328.68437072801083</v>
      </c>
      <c r="AH155" s="399">
        <v>0</v>
      </c>
      <c r="AI155" s="399">
        <v>0</v>
      </c>
      <c r="AJ155" s="399">
        <v>0</v>
      </c>
      <c r="AK155" s="399">
        <v>0</v>
      </c>
      <c r="AL155" s="399">
        <v>492.76696340964133</v>
      </c>
      <c r="AM155" s="399"/>
      <c r="AN155" s="399">
        <v>13.919419811698171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325.83427467557766</v>
      </c>
      <c r="BH155" s="399">
        <v>0</v>
      </c>
      <c r="BI155" s="399">
        <v>0</v>
      </c>
      <c r="BJ155" s="399">
        <v>0</v>
      </c>
      <c r="BK155" s="399">
        <v>0</v>
      </c>
      <c r="BL155" s="399">
        <v>0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9043.2059395168708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62835.448400000008</v>
      </c>
      <c r="CJ155" s="399">
        <v>-4809.4929899999988</v>
      </c>
      <c r="CK155" s="399"/>
      <c r="CL155" s="399"/>
      <c r="CM155" s="399"/>
      <c r="CN155" s="399"/>
      <c r="CO155" s="399">
        <v>-5995.2374999999965</v>
      </c>
      <c r="CP155" s="399">
        <v>1186.5696299999995</v>
      </c>
      <c r="CQ155" s="399"/>
      <c r="CR155" s="399">
        <v>1856.4418298360397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1065.0186460036093</v>
      </c>
      <c r="DA155" s="399">
        <v>0</v>
      </c>
      <c r="DB155" s="399">
        <v>0</v>
      </c>
      <c r="DC155" s="399">
        <v>1186.8514679849595</v>
      </c>
      <c r="DD155" s="399">
        <v>0</v>
      </c>
      <c r="DE155" s="399">
        <v>0</v>
      </c>
      <c r="DF155" s="399">
        <v>0</v>
      </c>
      <c r="DG155" s="399">
        <v>44.361638127488789</v>
      </c>
      <c r="DH155" s="399">
        <v>0</v>
      </c>
      <c r="DI155" s="399">
        <v>-380.82293796051454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-56.788244381094728</v>
      </c>
      <c r="DP155" s="399">
        <v>-2.1787399384074071</v>
      </c>
      <c r="DQ155" s="399">
        <v>0</v>
      </c>
      <c r="DR155" s="399">
        <v>0</v>
      </c>
      <c r="DS155" s="399"/>
      <c r="DT155" s="399"/>
      <c r="DU155" s="399">
        <v>30810.217736934537</v>
      </c>
      <c r="DV155" s="399">
        <v>0</v>
      </c>
      <c r="DW155" s="399">
        <v>0</v>
      </c>
      <c r="DX155" s="399">
        <v>0</v>
      </c>
      <c r="DY155" s="399">
        <v>-5995.2374999999956</v>
      </c>
      <c r="DZ155" s="399">
        <v>1186.56963</v>
      </c>
      <c r="EA155" s="399">
        <v>0</v>
      </c>
      <c r="EB155" s="399">
        <v>0</v>
      </c>
      <c r="EC155" s="399">
        <v>-6661.0028356801377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528.72335790117722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215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956</v>
      </c>
      <c r="C156" s="399" t="s">
        <v>2351</v>
      </c>
      <c r="D156" s="399" t="s">
        <v>533</v>
      </c>
      <c r="E156" s="399" t="s">
        <v>890</v>
      </c>
      <c r="F156" s="399" t="s">
        <v>1239</v>
      </c>
      <c r="G156" s="399" t="s">
        <v>1239</v>
      </c>
      <c r="H156" s="399" t="s">
        <v>1239</v>
      </c>
      <c r="I156" s="399" t="s">
        <v>2326</v>
      </c>
      <c r="J156" s="399" t="s">
        <v>2344</v>
      </c>
      <c r="K156" s="791">
        <v>44531</v>
      </c>
      <c r="L156" s="399">
        <v>21488</v>
      </c>
      <c r="M156" s="399">
        <v>21488</v>
      </c>
      <c r="N156" s="399">
        <v>7324.3530000000001</v>
      </c>
      <c r="O156" s="399">
        <v>7324.3530000000001</v>
      </c>
      <c r="P156" s="399">
        <v>7324.3530000000001</v>
      </c>
      <c r="Q156" s="399">
        <v>7324.3530000000001</v>
      </c>
      <c r="R156" s="399">
        <v>12.58</v>
      </c>
      <c r="S156" s="399">
        <v>78.42</v>
      </c>
      <c r="T156" s="399">
        <v>171.61</v>
      </c>
      <c r="U156" s="399">
        <v>270319.03999999998</v>
      </c>
      <c r="V156" s="399">
        <v>1831307.9805900001</v>
      </c>
      <c r="W156" s="399">
        <v>2101627.0205899999</v>
      </c>
      <c r="X156" s="399">
        <v>2190292.4391200002</v>
      </c>
      <c r="Y156" s="399">
        <v>0</v>
      </c>
      <c r="Z156" s="399">
        <v>385245.22339301842</v>
      </c>
      <c r="AA156" s="399">
        <v>0</v>
      </c>
      <c r="AB156" s="399">
        <v>0</v>
      </c>
      <c r="AC156" s="399">
        <v>0</v>
      </c>
      <c r="AD156" s="399">
        <v>142410.41831049777</v>
      </c>
      <c r="AE156" s="399">
        <v>127847.34753797163</v>
      </c>
      <c r="AF156" s="399">
        <v>1211259.2207898493</v>
      </c>
      <c r="AG156" s="399">
        <v>45669.955358162471</v>
      </c>
      <c r="AH156" s="399">
        <v>0</v>
      </c>
      <c r="AI156" s="399">
        <v>0</v>
      </c>
      <c r="AJ156" s="399">
        <v>0</v>
      </c>
      <c r="AK156" s="399">
        <v>0</v>
      </c>
      <c r="AL156" s="399">
        <v>68468.863216859158</v>
      </c>
      <c r="AM156" s="399"/>
      <c r="AN156" s="399">
        <v>1934.0721312782603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45273.940910646161</v>
      </c>
      <c r="BH156" s="399">
        <v>0</v>
      </c>
      <c r="BI156" s="399">
        <v>0</v>
      </c>
      <c r="BJ156" s="399">
        <v>0</v>
      </c>
      <c r="BK156" s="399">
        <v>0</v>
      </c>
      <c r="BL156" s="399">
        <v>0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1256533.1617004955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2190291.6440000003</v>
      </c>
      <c r="CJ156" s="399">
        <v>88664.593410000205</v>
      </c>
      <c r="CK156" s="399"/>
      <c r="CL156" s="399"/>
      <c r="CM156" s="399"/>
      <c r="CN156" s="399"/>
      <c r="CO156" s="399">
        <v>-76205.767500000002</v>
      </c>
      <c r="CP156" s="399">
        <v>164871.18602999992</v>
      </c>
      <c r="CQ156" s="399"/>
      <c r="CR156" s="399">
        <v>116379.58948495681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6413.1149763418944</v>
      </c>
      <c r="DA156" s="399">
        <v>0</v>
      </c>
      <c r="DB156" s="399">
        <v>0</v>
      </c>
      <c r="DC156" s="399">
        <v>164910.34678523405</v>
      </c>
      <c r="DD156" s="399">
        <v>0</v>
      </c>
      <c r="DE156" s="399">
        <v>0</v>
      </c>
      <c r="DF156" s="399">
        <v>0</v>
      </c>
      <c r="DG156" s="399">
        <v>6163.9500180977557</v>
      </c>
      <c r="DH156" s="399">
        <v>0</v>
      </c>
      <c r="DI156" s="399">
        <v>-52914.492214821978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-7890.5990571093353</v>
      </c>
      <c r="DP156" s="399">
        <v>-302.7310227855387</v>
      </c>
      <c r="DQ156" s="399">
        <v>0</v>
      </c>
      <c r="DR156" s="399">
        <v>0</v>
      </c>
      <c r="DS156" s="399"/>
      <c r="DT156" s="399"/>
      <c r="DU156" s="399">
        <v>127847.34753797163</v>
      </c>
      <c r="DV156" s="399">
        <v>0</v>
      </c>
      <c r="DW156" s="399">
        <v>0</v>
      </c>
      <c r="DX156" s="399">
        <v>0</v>
      </c>
      <c r="DY156" s="399">
        <v>-76205.767500000075</v>
      </c>
      <c r="DZ156" s="399">
        <v>164871.18602999998</v>
      </c>
      <c r="EA156" s="399">
        <v>0</v>
      </c>
      <c r="EB156" s="399">
        <v>0</v>
      </c>
      <c r="EC156" s="399">
        <v>-27639.906726908928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73464.923502998528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215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2346</v>
      </c>
      <c r="C157" s="399" t="s">
        <v>2351</v>
      </c>
      <c r="D157" s="399" t="s">
        <v>533</v>
      </c>
      <c r="E157" s="399" t="s">
        <v>890</v>
      </c>
      <c r="F157" s="399" t="s">
        <v>1239</v>
      </c>
      <c r="G157" s="399" t="s">
        <v>1239</v>
      </c>
      <c r="H157" s="399" t="s">
        <v>1239</v>
      </c>
      <c r="I157" s="399" t="s">
        <v>2326</v>
      </c>
      <c r="J157" s="399" t="s">
        <v>2344</v>
      </c>
      <c r="K157" s="791">
        <v>44531</v>
      </c>
      <c r="L157" s="399">
        <v>1912</v>
      </c>
      <c r="M157" s="399">
        <v>1912</v>
      </c>
      <c r="N157" s="399">
        <v>504.80200000000002</v>
      </c>
      <c r="O157" s="399">
        <v>504.80200000000002</v>
      </c>
      <c r="P157" s="399">
        <v>504.80200000000002</v>
      </c>
      <c r="Q157" s="399">
        <v>504.80200000000002</v>
      </c>
      <c r="R157" s="399">
        <v>12.58</v>
      </c>
      <c r="S157" s="399">
        <v>78.42</v>
      </c>
      <c r="T157" s="399">
        <v>171.61</v>
      </c>
      <c r="U157" s="399">
        <v>24052.959999999999</v>
      </c>
      <c r="V157" s="399">
        <v>126215.64406000002</v>
      </c>
      <c r="W157" s="399">
        <v>150268.60406000001</v>
      </c>
      <c r="X157" s="399">
        <v>155952.80207999999</v>
      </c>
      <c r="Y157" s="399">
        <v>0</v>
      </c>
      <c r="Z157" s="399">
        <v>26551.500079152724</v>
      </c>
      <c r="AA157" s="399">
        <v>0</v>
      </c>
      <c r="AB157" s="399">
        <v>0</v>
      </c>
      <c r="AC157" s="399">
        <v>0</v>
      </c>
      <c r="AD157" s="399">
        <v>12671.664175803786</v>
      </c>
      <c r="AE157" s="399">
        <v>11375.843656580499</v>
      </c>
      <c r="AF157" s="399">
        <v>83481.240892288712</v>
      </c>
      <c r="AG157" s="399">
        <v>3147.6206573756253</v>
      </c>
      <c r="AH157" s="399">
        <v>0</v>
      </c>
      <c r="AI157" s="399">
        <v>0</v>
      </c>
      <c r="AJ157" s="399">
        <v>0</v>
      </c>
      <c r="AK157" s="399">
        <v>0</v>
      </c>
      <c r="AL157" s="399">
        <v>4718.9450166583911</v>
      </c>
      <c r="AM157" s="399"/>
      <c r="AN157" s="399">
        <v>133.29825583413694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3120.3269312082589</v>
      </c>
      <c r="BH157" s="399">
        <v>0</v>
      </c>
      <c r="BI157" s="399">
        <v>0</v>
      </c>
      <c r="BJ157" s="399">
        <v>0</v>
      </c>
      <c r="BK157" s="399">
        <v>0</v>
      </c>
      <c r="BL157" s="399">
        <v>0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86601.567823496967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155952.272</v>
      </c>
      <c r="CJ157" s="399">
        <v>5683.637939999986</v>
      </c>
      <c r="CK157" s="399"/>
      <c r="CL157" s="399"/>
      <c r="CM157" s="399"/>
      <c r="CN157" s="399"/>
      <c r="CO157" s="399">
        <v>-5678.8950000000004</v>
      </c>
      <c r="CP157" s="399">
        <v>11363.093019999997</v>
      </c>
      <c r="CQ157" s="399"/>
      <c r="CR157" s="399">
        <v>8149.6416986647237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570.63830206467355</v>
      </c>
      <c r="DA157" s="399">
        <v>0</v>
      </c>
      <c r="DB157" s="399">
        <v>0</v>
      </c>
      <c r="DC157" s="399">
        <v>11365.792019838438</v>
      </c>
      <c r="DD157" s="399">
        <v>0</v>
      </c>
      <c r="DE157" s="399">
        <v>0</v>
      </c>
      <c r="DF157" s="399">
        <v>0</v>
      </c>
      <c r="DG157" s="399">
        <v>424.82582380119902</v>
      </c>
      <c r="DH157" s="399">
        <v>0</v>
      </c>
      <c r="DI157" s="399">
        <v>-3646.9216460520875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-543.82826513507825</v>
      </c>
      <c r="DP157" s="399">
        <v>-20.864535852407101</v>
      </c>
      <c r="DQ157" s="399">
        <v>0</v>
      </c>
      <c r="DR157" s="399">
        <v>0</v>
      </c>
      <c r="DS157" s="399"/>
      <c r="DT157" s="399"/>
      <c r="DU157" s="399">
        <v>11375.843656580499</v>
      </c>
      <c r="DV157" s="399">
        <v>0</v>
      </c>
      <c r="DW157" s="399">
        <v>0</v>
      </c>
      <c r="DX157" s="399">
        <v>0</v>
      </c>
      <c r="DY157" s="399">
        <v>-5678.8950000000041</v>
      </c>
      <c r="DZ157" s="399">
        <v>11363.09302</v>
      </c>
      <c r="EA157" s="399">
        <v>0</v>
      </c>
      <c r="EB157" s="399">
        <v>0</v>
      </c>
      <c r="EC157" s="399">
        <v>-2459.3960192595805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5063.2786696873654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215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956</v>
      </c>
      <c r="C158" s="399" t="s">
        <v>2351</v>
      </c>
      <c r="D158" s="399" t="s">
        <v>533</v>
      </c>
      <c r="E158" s="399" t="s">
        <v>890</v>
      </c>
      <c r="F158" s="399" t="s">
        <v>1239</v>
      </c>
      <c r="G158" s="399" t="s">
        <v>1239</v>
      </c>
      <c r="H158" s="399" t="s">
        <v>1239</v>
      </c>
      <c r="I158" s="399" t="s">
        <v>1239</v>
      </c>
      <c r="J158" s="399" t="s">
        <v>2344</v>
      </c>
      <c r="K158" s="791">
        <v>44531</v>
      </c>
      <c r="L158" s="399">
        <v>0</v>
      </c>
      <c r="M158" s="399">
        <v>0</v>
      </c>
      <c r="N158" s="399">
        <v>0</v>
      </c>
      <c r="O158" s="399">
        <v>0</v>
      </c>
      <c r="P158" s="399">
        <v>0</v>
      </c>
      <c r="Q158" s="399">
        <v>0</v>
      </c>
      <c r="R158" s="399"/>
      <c r="S158" s="399"/>
      <c r="T158" s="399"/>
      <c r="U158" s="399"/>
      <c r="V158" s="399"/>
      <c r="W158" s="399"/>
      <c r="X158" s="399"/>
      <c r="Y158" s="399"/>
      <c r="Z158" s="399"/>
      <c r="AA158" s="399">
        <v>0</v>
      </c>
      <c r="AB158" s="399"/>
      <c r="AC158" s="399"/>
      <c r="AD158" s="399"/>
      <c r="AE158" s="399"/>
      <c r="AF158" s="399"/>
      <c r="AG158" s="399"/>
      <c r="AH158" s="399"/>
      <c r="AI158" s="399"/>
      <c r="AJ158" s="399"/>
      <c r="AK158" s="399"/>
      <c r="AL158" s="399"/>
      <c r="AM158" s="399"/>
      <c r="AN158" s="399"/>
      <c r="AO158" s="399"/>
      <c r="AP158" s="399"/>
      <c r="AQ158" s="399"/>
      <c r="AR158" s="399"/>
      <c r="AS158" s="399"/>
      <c r="AT158" s="399"/>
      <c r="AU158" s="399"/>
      <c r="AV158" s="399"/>
      <c r="AW158" s="399"/>
      <c r="AX158" s="399"/>
      <c r="AY158" s="399"/>
      <c r="AZ158" s="399">
        <v>0</v>
      </c>
      <c r="BA158" s="399"/>
      <c r="BB158" s="399"/>
      <c r="BC158" s="399"/>
      <c r="BD158" s="399"/>
      <c r="BE158" s="399"/>
      <c r="BF158" s="399"/>
      <c r="BG158" s="399"/>
      <c r="BH158" s="399"/>
      <c r="BI158" s="399">
        <v>0</v>
      </c>
      <c r="BJ158" s="399">
        <v>0</v>
      </c>
      <c r="BK158" s="399">
        <v>1397031.77</v>
      </c>
      <c r="BL158" s="399">
        <v>21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/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/>
      <c r="CJ158" s="399">
        <v>-0.03</v>
      </c>
      <c r="CK158" s="399"/>
      <c r="CL158" s="399"/>
      <c r="CM158" s="399"/>
      <c r="CN158" s="399"/>
      <c r="CO158" s="399">
        <v>0</v>
      </c>
      <c r="CP158" s="399">
        <v>0</v>
      </c>
      <c r="CQ158" s="399"/>
      <c r="CR158" s="399"/>
      <c r="CS158" s="399"/>
      <c r="CT158" s="399"/>
      <c r="CU158" s="399"/>
      <c r="CV158" s="399"/>
      <c r="CW158" s="399"/>
      <c r="CX158" s="399"/>
      <c r="CY158" s="399"/>
      <c r="CZ158" s="399"/>
      <c r="DA158" s="399"/>
      <c r="DB158" s="399"/>
      <c r="DC158" s="399"/>
      <c r="DD158" s="399"/>
      <c r="DE158" s="399"/>
      <c r="DF158" s="399"/>
      <c r="DG158" s="399"/>
      <c r="DH158" s="399"/>
      <c r="DI158" s="399"/>
      <c r="DJ158" s="399"/>
      <c r="DK158" s="399">
        <v>0</v>
      </c>
      <c r="DL158" s="399"/>
      <c r="DM158" s="399"/>
      <c r="DN158" s="399"/>
      <c r="DO158" s="399"/>
      <c r="DP158" s="399"/>
      <c r="DQ158" s="399"/>
      <c r="DR158" s="399"/>
      <c r="DS158" s="399"/>
      <c r="DT158" s="399"/>
      <c r="DU158" s="399"/>
      <c r="DV158" s="399"/>
      <c r="DW158" s="399"/>
      <c r="DX158" s="399"/>
      <c r="DY158" s="399"/>
      <c r="DZ158" s="399"/>
      <c r="EA158" s="399"/>
      <c r="EB158" s="399"/>
      <c r="EC158" s="399"/>
      <c r="ED158" s="399"/>
      <c r="EE158" s="399"/>
      <c r="EF158" s="399"/>
      <c r="EG158" s="399"/>
      <c r="EH158" s="399"/>
      <c r="EI158" s="399"/>
      <c r="EJ158" s="399"/>
      <c r="EK158" s="399"/>
      <c r="EL158" s="399"/>
      <c r="EM158" s="399"/>
      <c r="EN158" s="399"/>
      <c r="EO158" s="399"/>
      <c r="EP158" s="399"/>
      <c r="EQ158" s="399"/>
      <c r="ER158" s="399"/>
      <c r="ES158" s="399"/>
      <c r="ET158" s="399"/>
      <c r="EU158" s="399"/>
      <c r="EV158" s="399">
        <v>215</v>
      </c>
      <c r="EW158" s="399"/>
      <c r="EX158" s="399"/>
      <c r="EY158" s="399"/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2346</v>
      </c>
      <c r="C159" s="399" t="s">
        <v>2351</v>
      </c>
      <c r="D159" s="399" t="s">
        <v>533</v>
      </c>
      <c r="E159" s="399" t="s">
        <v>890</v>
      </c>
      <c r="F159" s="399" t="s">
        <v>1239</v>
      </c>
      <c r="G159" s="399" t="s">
        <v>1239</v>
      </c>
      <c r="H159" s="399" t="s">
        <v>1239</v>
      </c>
      <c r="I159" s="399" t="s">
        <v>1239</v>
      </c>
      <c r="J159" s="399" t="s">
        <v>2344</v>
      </c>
      <c r="K159" s="791">
        <v>44531</v>
      </c>
      <c r="L159" s="399">
        <v>0</v>
      </c>
      <c r="M159" s="399">
        <v>0</v>
      </c>
      <c r="N159" s="399">
        <v>0</v>
      </c>
      <c r="O159" s="399">
        <v>0</v>
      </c>
      <c r="P159" s="399">
        <v>0</v>
      </c>
      <c r="Q159" s="399">
        <v>0</v>
      </c>
      <c r="R159" s="399"/>
      <c r="S159" s="399"/>
      <c r="T159" s="399"/>
      <c r="U159" s="399"/>
      <c r="V159" s="399"/>
      <c r="W159" s="399"/>
      <c r="X159" s="399"/>
      <c r="Y159" s="399"/>
      <c r="Z159" s="399"/>
      <c r="AA159" s="399">
        <v>0</v>
      </c>
      <c r="AB159" s="399"/>
      <c r="AC159" s="399"/>
      <c r="AD159" s="399"/>
      <c r="AE159" s="399"/>
      <c r="AF159" s="399"/>
      <c r="AG159" s="399"/>
      <c r="AH159" s="399"/>
      <c r="AI159" s="399"/>
      <c r="AJ159" s="399"/>
      <c r="AK159" s="399"/>
      <c r="AL159" s="399"/>
      <c r="AM159" s="399"/>
      <c r="AN159" s="399"/>
      <c r="AO159" s="399"/>
      <c r="AP159" s="399"/>
      <c r="AQ159" s="399"/>
      <c r="AR159" s="399"/>
      <c r="AS159" s="399"/>
      <c r="AT159" s="399"/>
      <c r="AU159" s="399"/>
      <c r="AV159" s="399"/>
      <c r="AW159" s="399"/>
      <c r="AX159" s="399"/>
      <c r="AY159" s="399"/>
      <c r="AZ159" s="399">
        <v>0</v>
      </c>
      <c r="BA159" s="399"/>
      <c r="BB159" s="399"/>
      <c r="BC159" s="399"/>
      <c r="BD159" s="399"/>
      <c r="BE159" s="399"/>
      <c r="BF159" s="399"/>
      <c r="BG159" s="399"/>
      <c r="BH159" s="399"/>
      <c r="BI159" s="399">
        <v>0</v>
      </c>
      <c r="BJ159" s="399">
        <v>0</v>
      </c>
      <c r="BK159" s="399">
        <v>99194.99</v>
      </c>
      <c r="BL159" s="399">
        <v>3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/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/>
      <c r="CJ159" s="399">
        <v>-0.03</v>
      </c>
      <c r="CK159" s="399"/>
      <c r="CL159" s="399"/>
      <c r="CM159" s="399"/>
      <c r="CN159" s="399"/>
      <c r="CO159" s="399">
        <v>0</v>
      </c>
      <c r="CP159" s="399">
        <v>0</v>
      </c>
      <c r="CQ159" s="399"/>
      <c r="CR159" s="399"/>
      <c r="CS159" s="399"/>
      <c r="CT159" s="399"/>
      <c r="CU159" s="399"/>
      <c r="CV159" s="399"/>
      <c r="CW159" s="399"/>
      <c r="CX159" s="399"/>
      <c r="CY159" s="399"/>
      <c r="CZ159" s="399"/>
      <c r="DA159" s="399"/>
      <c r="DB159" s="399"/>
      <c r="DC159" s="399"/>
      <c r="DD159" s="399"/>
      <c r="DE159" s="399"/>
      <c r="DF159" s="399"/>
      <c r="DG159" s="399"/>
      <c r="DH159" s="399"/>
      <c r="DI159" s="399"/>
      <c r="DJ159" s="399"/>
      <c r="DK159" s="399">
        <v>0</v>
      </c>
      <c r="DL159" s="399"/>
      <c r="DM159" s="399"/>
      <c r="DN159" s="399"/>
      <c r="DO159" s="399"/>
      <c r="DP159" s="399"/>
      <c r="DQ159" s="399"/>
      <c r="DR159" s="399"/>
      <c r="DS159" s="399"/>
      <c r="DT159" s="399"/>
      <c r="DU159" s="399"/>
      <c r="DV159" s="399"/>
      <c r="DW159" s="399"/>
      <c r="DX159" s="399"/>
      <c r="DY159" s="399"/>
      <c r="DZ159" s="399"/>
      <c r="EA159" s="399"/>
      <c r="EB159" s="399"/>
      <c r="EC159" s="399"/>
      <c r="ED159" s="399"/>
      <c r="EE159" s="399"/>
      <c r="EF159" s="399"/>
      <c r="EG159" s="399"/>
      <c r="EH159" s="399"/>
      <c r="EI159" s="399"/>
      <c r="EJ159" s="399"/>
      <c r="EK159" s="399"/>
      <c r="EL159" s="399"/>
      <c r="EM159" s="399"/>
      <c r="EN159" s="399"/>
      <c r="EO159" s="399"/>
      <c r="EP159" s="399"/>
      <c r="EQ159" s="399"/>
      <c r="ER159" s="399"/>
      <c r="ES159" s="399"/>
      <c r="ET159" s="399"/>
      <c r="EU159" s="399"/>
      <c r="EV159" s="399">
        <v>215</v>
      </c>
      <c r="EW159" s="399"/>
      <c r="EX159" s="399"/>
      <c r="EY159" s="399"/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956</v>
      </c>
      <c r="C160" s="399" t="s">
        <v>2352</v>
      </c>
      <c r="D160" s="399" t="s">
        <v>533</v>
      </c>
      <c r="E160" s="399" t="s">
        <v>890</v>
      </c>
      <c r="F160" s="399" t="s">
        <v>1239</v>
      </c>
      <c r="G160" s="399" t="s">
        <v>1239</v>
      </c>
      <c r="H160" s="399" t="s">
        <v>1239</v>
      </c>
      <c r="I160" s="399" t="s">
        <v>893</v>
      </c>
      <c r="J160" s="399" t="s">
        <v>2344</v>
      </c>
      <c r="K160" s="791">
        <v>44531</v>
      </c>
      <c r="L160" s="399">
        <v>0</v>
      </c>
      <c r="M160" s="399">
        <v>0</v>
      </c>
      <c r="N160" s="399">
        <v>146.04599999999999</v>
      </c>
      <c r="O160" s="399">
        <v>146.04599999999999</v>
      </c>
      <c r="P160" s="399">
        <v>146.04599999999999</v>
      </c>
      <c r="Q160" s="399">
        <v>146.04599999999999</v>
      </c>
      <c r="R160" s="399"/>
      <c r="S160" s="399">
        <v>984.21</v>
      </c>
      <c r="T160" s="399">
        <v>171.61</v>
      </c>
      <c r="U160" s="399"/>
      <c r="V160" s="399">
        <v>168802.88772</v>
      </c>
      <c r="W160" s="399">
        <v>168802.88772</v>
      </c>
      <c r="X160" s="399">
        <v>157415.68109999999</v>
      </c>
      <c r="Y160" s="399">
        <v>0</v>
      </c>
      <c r="Z160" s="399">
        <v>7681.7056599616053</v>
      </c>
      <c r="AA160" s="399">
        <v>0</v>
      </c>
      <c r="AB160" s="399">
        <v>0</v>
      </c>
      <c r="AC160" s="399">
        <v>0</v>
      </c>
      <c r="AD160" s="399">
        <v>57499.575746986055</v>
      </c>
      <c r="AE160" s="399">
        <v>74787.545415536253</v>
      </c>
      <c r="AF160" s="399">
        <v>24152.24445892686</v>
      </c>
      <c r="AG160" s="399">
        <v>910.64894062836618</v>
      </c>
      <c r="AH160" s="399">
        <v>0</v>
      </c>
      <c r="AI160" s="399">
        <v>0</v>
      </c>
      <c r="AJ160" s="399">
        <v>0</v>
      </c>
      <c r="AK160" s="399">
        <v>0</v>
      </c>
      <c r="AL160" s="399">
        <v>1365.2541865976982</v>
      </c>
      <c r="AM160" s="399"/>
      <c r="AN160" s="399">
        <v>38.564976112520078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902.75249899018104</v>
      </c>
      <c r="BH160" s="399">
        <v>0</v>
      </c>
      <c r="BI160" s="399">
        <v>0</v>
      </c>
      <c r="BJ160" s="399">
        <v>0</v>
      </c>
      <c r="BK160" s="399">
        <v>0</v>
      </c>
      <c r="BL160" s="399">
        <v>0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25054.996957917039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157419.99250000002</v>
      </c>
      <c r="CJ160" s="399">
        <v>-11382.925220000005</v>
      </c>
      <c r="CK160" s="399"/>
      <c r="CL160" s="399"/>
      <c r="CM160" s="399"/>
      <c r="CN160" s="399"/>
      <c r="CO160" s="399">
        <v>-14674.702080000003</v>
      </c>
      <c r="CP160" s="399">
        <v>3287.4954599999983</v>
      </c>
      <c r="CQ160" s="399"/>
      <c r="CR160" s="399">
        <v>4782.0643346244469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2589.3568373089656</v>
      </c>
      <c r="DA160" s="399">
        <v>0</v>
      </c>
      <c r="DB160" s="399">
        <v>0</v>
      </c>
      <c r="DC160" s="399">
        <v>3288.2763169110331</v>
      </c>
      <c r="DD160" s="399">
        <v>0</v>
      </c>
      <c r="DE160" s="399">
        <v>0</v>
      </c>
      <c r="DF160" s="399">
        <v>0</v>
      </c>
      <c r="DG160" s="399">
        <v>122.90781784317392</v>
      </c>
      <c r="DH160" s="399">
        <v>0</v>
      </c>
      <c r="DI160" s="399">
        <v>-1055.1034241530806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-157.33682277391449</v>
      </c>
      <c r="DP160" s="399">
        <v>-6.0363905117266725</v>
      </c>
      <c r="DQ160" s="399">
        <v>0</v>
      </c>
      <c r="DR160" s="399">
        <v>0</v>
      </c>
      <c r="DS160" s="399"/>
      <c r="DT160" s="399"/>
      <c r="DU160" s="399"/>
      <c r="DV160" s="399">
        <v>74787.545415536253</v>
      </c>
      <c r="DW160" s="399">
        <v>0</v>
      </c>
      <c r="DX160" s="399">
        <v>0</v>
      </c>
      <c r="DY160" s="399">
        <v>-14674.702080000017</v>
      </c>
      <c r="DZ160" s="399">
        <v>3287.4954599999983</v>
      </c>
      <c r="EA160" s="399">
        <v>0</v>
      </c>
      <c r="EB160" s="399">
        <v>0</v>
      </c>
      <c r="EC160" s="399">
        <v>-16168.663796532295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1464.8745381221961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215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2346</v>
      </c>
      <c r="C161" s="399" t="s">
        <v>2352</v>
      </c>
      <c r="D161" s="399" t="s">
        <v>533</v>
      </c>
      <c r="E161" s="399" t="s">
        <v>890</v>
      </c>
      <c r="F161" s="399" t="s">
        <v>1239</v>
      </c>
      <c r="G161" s="399" t="s">
        <v>1239</v>
      </c>
      <c r="H161" s="399" t="s">
        <v>1239</v>
      </c>
      <c r="I161" s="399" t="s">
        <v>893</v>
      </c>
      <c r="J161" s="399" t="s">
        <v>2344</v>
      </c>
      <c r="K161" s="791">
        <v>44531</v>
      </c>
      <c r="L161" s="399">
        <v>0</v>
      </c>
      <c r="M161" s="399">
        <v>0</v>
      </c>
      <c r="N161" s="399">
        <v>0.38600000000000001</v>
      </c>
      <c r="O161" s="399">
        <v>0.38600000000000001</v>
      </c>
      <c r="P161" s="399">
        <v>0.38600000000000001</v>
      </c>
      <c r="Q161" s="399">
        <v>0.38600000000000001</v>
      </c>
      <c r="R161" s="399"/>
      <c r="S161" s="399">
        <v>984.21</v>
      </c>
      <c r="T161" s="399">
        <v>171.61</v>
      </c>
      <c r="U161" s="399"/>
      <c r="V161" s="399">
        <v>446.14652000000007</v>
      </c>
      <c r="W161" s="399">
        <v>446.14652000000007</v>
      </c>
      <c r="X161" s="399">
        <v>416.05009999999999</v>
      </c>
      <c r="Y161" s="399">
        <v>0</v>
      </c>
      <c r="Z161" s="399">
        <v>20.302770255571396</v>
      </c>
      <c r="AA161" s="399">
        <v>0</v>
      </c>
      <c r="AB161" s="399">
        <v>0</v>
      </c>
      <c r="AC161" s="399">
        <v>0</v>
      </c>
      <c r="AD161" s="399">
        <v>151.97154484434094</v>
      </c>
      <c r="AE161" s="399">
        <v>197.66369863191733</v>
      </c>
      <c r="AF161" s="399">
        <v>63.834451892867783</v>
      </c>
      <c r="AG161" s="399">
        <v>2.4068477814014035</v>
      </c>
      <c r="AH161" s="399">
        <v>0</v>
      </c>
      <c r="AI161" s="399">
        <v>0</v>
      </c>
      <c r="AJ161" s="399">
        <v>0</v>
      </c>
      <c r="AK161" s="399">
        <v>0</v>
      </c>
      <c r="AL161" s="399">
        <v>3.6083707600804651</v>
      </c>
      <c r="AM161" s="399"/>
      <c r="AN161" s="399">
        <v>0.10192734329891097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2.3859774633349073</v>
      </c>
      <c r="BH161" s="399">
        <v>0</v>
      </c>
      <c r="BI161" s="399">
        <v>0</v>
      </c>
      <c r="BJ161" s="399">
        <v>0</v>
      </c>
      <c r="BK161" s="399">
        <v>0</v>
      </c>
      <c r="BL161" s="399">
        <v>0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66.220429356202686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420.36149999999998</v>
      </c>
      <c r="CJ161" s="399">
        <v>-25.815020000000061</v>
      </c>
      <c r="CK161" s="399"/>
      <c r="CL161" s="399"/>
      <c r="CM161" s="399"/>
      <c r="CN161" s="399"/>
      <c r="CO161" s="399">
        <v>-38.785280000000007</v>
      </c>
      <c r="CP161" s="399">
        <v>8.6888599999999965</v>
      </c>
      <c r="CQ161" s="399"/>
      <c r="CR161" s="399">
        <v>12.63900985419005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6.8436776029556654</v>
      </c>
      <c r="DA161" s="399">
        <v>0</v>
      </c>
      <c r="DB161" s="399">
        <v>0</v>
      </c>
      <c r="DC161" s="399">
        <v>8.6909238070721599</v>
      </c>
      <c r="DD161" s="399">
        <v>0</v>
      </c>
      <c r="DE161" s="399">
        <v>0</v>
      </c>
      <c r="DF161" s="399">
        <v>0</v>
      </c>
      <c r="DG161" s="399">
        <v>0.32484571770171833</v>
      </c>
      <c r="DH161" s="399">
        <v>0</v>
      </c>
      <c r="DI161" s="399">
        <v>-2.7886413987585357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-0.41584167721629495</v>
      </c>
      <c r="DP161" s="399">
        <v>-1.5954197564647402E-2</v>
      </c>
      <c r="DQ161" s="399">
        <v>0</v>
      </c>
      <c r="DR161" s="399">
        <v>0</v>
      </c>
      <c r="DS161" s="399"/>
      <c r="DT161" s="399"/>
      <c r="DU161" s="399"/>
      <c r="DV161" s="399">
        <v>197.66369863191733</v>
      </c>
      <c r="DW161" s="399">
        <v>0</v>
      </c>
      <c r="DX161" s="399">
        <v>0</v>
      </c>
      <c r="DY161" s="399">
        <v>-38.785280000000057</v>
      </c>
      <c r="DZ161" s="399">
        <v>8.6888600000000054</v>
      </c>
      <c r="EA161" s="399">
        <v>0</v>
      </c>
      <c r="EB161" s="399">
        <v>0</v>
      </c>
      <c r="EC161" s="399">
        <v>-42.733825133598117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3.8716676370127754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215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956</v>
      </c>
      <c r="C162" s="399" t="s">
        <v>2352</v>
      </c>
      <c r="D162" s="399" t="s">
        <v>533</v>
      </c>
      <c r="E162" s="399" t="s">
        <v>890</v>
      </c>
      <c r="F162" s="399" t="s">
        <v>1239</v>
      </c>
      <c r="G162" s="399" t="s">
        <v>1239</v>
      </c>
      <c r="H162" s="399" t="s">
        <v>1239</v>
      </c>
      <c r="I162" s="399" t="s">
        <v>2326</v>
      </c>
      <c r="J162" s="399" t="s">
        <v>2344</v>
      </c>
      <c r="K162" s="791">
        <v>44531</v>
      </c>
      <c r="L162" s="399">
        <v>0</v>
      </c>
      <c r="M162" s="399">
        <v>0</v>
      </c>
      <c r="N162" s="399">
        <v>1579.56</v>
      </c>
      <c r="O162" s="399">
        <v>1579.56</v>
      </c>
      <c r="P162" s="399">
        <v>1579.56</v>
      </c>
      <c r="Q162" s="399">
        <v>1579.56</v>
      </c>
      <c r="R162" s="399"/>
      <c r="S162" s="399">
        <v>78.42</v>
      </c>
      <c r="T162" s="399">
        <v>171.61</v>
      </c>
      <c r="U162" s="399"/>
      <c r="V162" s="399">
        <v>394937.38679999998</v>
      </c>
      <c r="W162" s="399">
        <v>394937.38679999998</v>
      </c>
      <c r="X162" s="399">
        <v>418646.58239999996</v>
      </c>
      <c r="Y162" s="399">
        <v>0</v>
      </c>
      <c r="Z162" s="399">
        <v>83081.460582617481</v>
      </c>
      <c r="AA162" s="399">
        <v>0</v>
      </c>
      <c r="AB162" s="399">
        <v>0</v>
      </c>
      <c r="AC162" s="399">
        <v>0</v>
      </c>
      <c r="AD162" s="399">
        <v>0</v>
      </c>
      <c r="AE162" s="399">
        <v>0</v>
      </c>
      <c r="AF162" s="399">
        <v>261218.51510854464</v>
      </c>
      <c r="AG162" s="399">
        <v>9849.1204186279811</v>
      </c>
      <c r="AH162" s="399">
        <v>0</v>
      </c>
      <c r="AI162" s="399">
        <v>0</v>
      </c>
      <c r="AJ162" s="399">
        <v>0</v>
      </c>
      <c r="AK162" s="399">
        <v>0</v>
      </c>
      <c r="AL162" s="399">
        <v>14765.901859566577</v>
      </c>
      <c r="AM162" s="399"/>
      <c r="AN162" s="399">
        <v>417.09936368193735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9763.7164818271667</v>
      </c>
      <c r="BH162" s="399">
        <v>0</v>
      </c>
      <c r="BI162" s="399">
        <v>0</v>
      </c>
      <c r="BJ162" s="399">
        <v>0</v>
      </c>
      <c r="BK162" s="399">
        <v>0</v>
      </c>
      <c r="BL162" s="399">
        <v>0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270982.23159037181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418646.58239999996</v>
      </c>
      <c r="CJ162" s="399">
        <v>23709.165599999949</v>
      </c>
      <c r="CK162" s="399"/>
      <c r="CL162" s="399"/>
      <c r="CM162" s="399"/>
      <c r="CN162" s="399"/>
      <c r="CO162" s="399">
        <v>-11846.699999999999</v>
      </c>
      <c r="CP162" s="399">
        <v>35555.895599999982</v>
      </c>
      <c r="CQ162" s="399"/>
      <c r="CR162" s="399">
        <v>23715.22023512912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0</v>
      </c>
      <c r="DA162" s="399">
        <v>0</v>
      </c>
      <c r="DB162" s="399">
        <v>0</v>
      </c>
      <c r="DC162" s="399">
        <v>35564.340955178457</v>
      </c>
      <c r="DD162" s="399">
        <v>0</v>
      </c>
      <c r="DE162" s="399">
        <v>0</v>
      </c>
      <c r="DF162" s="399">
        <v>0</v>
      </c>
      <c r="DG162" s="399">
        <v>1329.3090721578392</v>
      </c>
      <c r="DH162" s="399">
        <v>0</v>
      </c>
      <c r="DI162" s="399">
        <v>-11411.467377779874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-1701.6758540512183</v>
      </c>
      <c r="DP162" s="399">
        <v>-65.286560376203283</v>
      </c>
      <c r="DQ162" s="399">
        <v>0</v>
      </c>
      <c r="DR162" s="399">
        <v>0</v>
      </c>
      <c r="DS162" s="399"/>
      <c r="DT162" s="399"/>
      <c r="DU162" s="399"/>
      <c r="DV162" s="399">
        <v>0</v>
      </c>
      <c r="DW162" s="399">
        <v>0</v>
      </c>
      <c r="DX162" s="399">
        <v>0</v>
      </c>
      <c r="DY162" s="399">
        <v>-11846.699999999997</v>
      </c>
      <c r="DZ162" s="399">
        <v>35555.895599999989</v>
      </c>
      <c r="EA162" s="399">
        <v>0</v>
      </c>
      <c r="EB162" s="399">
        <v>0</v>
      </c>
      <c r="EC162" s="399">
        <v>0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15843.345421554142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215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2346</v>
      </c>
      <c r="C163" s="399" t="s">
        <v>2352</v>
      </c>
      <c r="D163" s="399" t="s">
        <v>533</v>
      </c>
      <c r="E163" s="399" t="s">
        <v>890</v>
      </c>
      <c r="F163" s="399" t="s">
        <v>1239</v>
      </c>
      <c r="G163" s="399" t="s">
        <v>1239</v>
      </c>
      <c r="H163" s="399" t="s">
        <v>1239</v>
      </c>
      <c r="I163" s="399" t="s">
        <v>2326</v>
      </c>
      <c r="J163" s="399" t="s">
        <v>2344</v>
      </c>
      <c r="K163" s="791">
        <v>44531</v>
      </c>
      <c r="L163" s="399">
        <v>0</v>
      </c>
      <c r="M163" s="399">
        <v>0</v>
      </c>
      <c r="N163" s="399">
        <v>10.519</v>
      </c>
      <c r="O163" s="399">
        <v>10.519</v>
      </c>
      <c r="P163" s="399">
        <v>10.519</v>
      </c>
      <c r="Q163" s="399">
        <v>10.519</v>
      </c>
      <c r="R163" s="399"/>
      <c r="S163" s="399">
        <v>78.42</v>
      </c>
      <c r="T163" s="399">
        <v>171.61</v>
      </c>
      <c r="U163" s="399"/>
      <c r="V163" s="399">
        <v>2630.0655700000002</v>
      </c>
      <c r="W163" s="399">
        <v>2630.0655700000002</v>
      </c>
      <c r="X163" s="399">
        <v>2787.9557599999998</v>
      </c>
      <c r="Y163" s="399">
        <v>0</v>
      </c>
      <c r="Z163" s="399">
        <v>553.27678838952204</v>
      </c>
      <c r="AA163" s="399">
        <v>0</v>
      </c>
      <c r="AB163" s="399">
        <v>0</v>
      </c>
      <c r="AC163" s="399">
        <v>0</v>
      </c>
      <c r="AD163" s="399">
        <v>0</v>
      </c>
      <c r="AE163" s="399">
        <v>0</v>
      </c>
      <c r="AF163" s="399">
        <v>1739.5715011944981</v>
      </c>
      <c r="AG163" s="399">
        <v>65.589719721661567</v>
      </c>
      <c r="AH163" s="399">
        <v>0</v>
      </c>
      <c r="AI163" s="399">
        <v>0</v>
      </c>
      <c r="AJ163" s="399">
        <v>0</v>
      </c>
      <c r="AK163" s="399">
        <v>0</v>
      </c>
      <c r="AL163" s="399">
        <v>98.332777267581378</v>
      </c>
      <c r="AM163" s="399"/>
      <c r="AN163" s="399">
        <v>2.7776521351327577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65.020976520258785</v>
      </c>
      <c r="BH163" s="399">
        <v>0</v>
      </c>
      <c r="BI163" s="399">
        <v>0</v>
      </c>
      <c r="BJ163" s="399">
        <v>0</v>
      </c>
      <c r="BK163" s="399">
        <v>0</v>
      </c>
      <c r="BL163" s="399">
        <v>0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1804.5924777147568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2788.2208000000001</v>
      </c>
      <c r="CJ163" s="399">
        <v>158.12522999999965</v>
      </c>
      <c r="CK163" s="399"/>
      <c r="CL163" s="399"/>
      <c r="CM163" s="399"/>
      <c r="CN163" s="399"/>
      <c r="CO163" s="399">
        <v>-78.892499999999998</v>
      </c>
      <c r="CP163" s="399">
        <v>236.78268999999992</v>
      </c>
      <c r="CQ163" s="399"/>
      <c r="CR163" s="399">
        <v>157.93031075319777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0</v>
      </c>
      <c r="DA163" s="399">
        <v>0</v>
      </c>
      <c r="DB163" s="399">
        <v>0</v>
      </c>
      <c r="DC163" s="399">
        <v>236.83893141604131</v>
      </c>
      <c r="DD163" s="399">
        <v>0</v>
      </c>
      <c r="DE163" s="399">
        <v>0</v>
      </c>
      <c r="DF163" s="399">
        <v>0</v>
      </c>
      <c r="DG163" s="399">
        <v>8.8524665919802459</v>
      </c>
      <c r="DH163" s="399">
        <v>0</v>
      </c>
      <c r="DI163" s="399">
        <v>-75.99409034596124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-11.332224359166347</v>
      </c>
      <c r="DP163" s="399">
        <v>-0.43477254969566337</v>
      </c>
      <c r="DQ163" s="399">
        <v>0</v>
      </c>
      <c r="DR163" s="399">
        <v>0</v>
      </c>
      <c r="DS163" s="399"/>
      <c r="DT163" s="399"/>
      <c r="DU163" s="399"/>
      <c r="DV163" s="399">
        <v>0</v>
      </c>
      <c r="DW163" s="399">
        <v>0</v>
      </c>
      <c r="DX163" s="399">
        <v>0</v>
      </c>
      <c r="DY163" s="399">
        <v>-78.892500000000041</v>
      </c>
      <c r="DZ163" s="399">
        <v>236.78269</v>
      </c>
      <c r="EA163" s="399">
        <v>0</v>
      </c>
      <c r="EB163" s="399">
        <v>0</v>
      </c>
      <c r="EC163" s="399">
        <v>0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105.50795822211757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215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956</v>
      </c>
      <c r="C164" s="399" t="s">
        <v>2352</v>
      </c>
      <c r="D164" s="399" t="s">
        <v>533</v>
      </c>
      <c r="E164" s="399" t="s">
        <v>890</v>
      </c>
      <c r="F164" s="399" t="s">
        <v>1239</v>
      </c>
      <c r="G164" s="399" t="s">
        <v>1239</v>
      </c>
      <c r="H164" s="399" t="s">
        <v>1239</v>
      </c>
      <c r="I164" s="399" t="s">
        <v>1239</v>
      </c>
      <c r="J164" s="399" t="s">
        <v>2344</v>
      </c>
      <c r="K164" s="791">
        <v>44531</v>
      </c>
      <c r="L164" s="399">
        <v>9770</v>
      </c>
      <c r="M164" s="399">
        <v>9770</v>
      </c>
      <c r="N164" s="399">
        <v>0</v>
      </c>
      <c r="O164" s="399">
        <v>0</v>
      </c>
      <c r="P164" s="399">
        <v>0</v>
      </c>
      <c r="Q164" s="399">
        <v>0</v>
      </c>
      <c r="R164" s="399">
        <v>12.58</v>
      </c>
      <c r="S164" s="399"/>
      <c r="T164" s="399"/>
      <c r="U164" s="399">
        <v>122906.6</v>
      </c>
      <c r="V164" s="399"/>
      <c r="W164" s="399">
        <v>122906.6</v>
      </c>
      <c r="X164" s="399">
        <v>113234.3</v>
      </c>
      <c r="Y164" s="399">
        <v>0</v>
      </c>
      <c r="Z164" s="399">
        <v>0</v>
      </c>
      <c r="AA164" s="399">
        <v>0</v>
      </c>
      <c r="AB164" s="399">
        <v>0</v>
      </c>
      <c r="AC164" s="399">
        <v>0</v>
      </c>
      <c r="AD164" s="399">
        <v>64750.083157742149</v>
      </c>
      <c r="AE164" s="399">
        <v>58128.657178238216</v>
      </c>
      <c r="AF164" s="399"/>
      <c r="AG164" s="399"/>
      <c r="AH164" s="399"/>
      <c r="AI164" s="399">
        <v>0</v>
      </c>
      <c r="AJ164" s="399">
        <v>0</v>
      </c>
      <c r="AK164" s="399">
        <v>0</v>
      </c>
      <c r="AL164" s="399">
        <v>0</v>
      </c>
      <c r="AM164" s="399"/>
      <c r="AN164" s="399">
        <v>0</v>
      </c>
      <c r="AO164" s="399">
        <v>0</v>
      </c>
      <c r="AP164" s="399">
        <v>0</v>
      </c>
      <c r="AQ164" s="399">
        <v>0</v>
      </c>
      <c r="AR164" s="399">
        <v>0</v>
      </c>
      <c r="AS164" s="399"/>
      <c r="AT164" s="399"/>
      <c r="AU164" s="399">
        <v>0</v>
      </c>
      <c r="AV164" s="399">
        <v>0</v>
      </c>
      <c r="AW164" s="399">
        <v>0</v>
      </c>
      <c r="AX164" s="399"/>
      <c r="AY164" s="399"/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/>
      <c r="BG164" s="399">
        <v>0</v>
      </c>
      <c r="BH164" s="399">
        <v>0</v>
      </c>
      <c r="BI164" s="399">
        <v>0</v>
      </c>
      <c r="BJ164" s="399">
        <v>0</v>
      </c>
      <c r="BK164" s="399">
        <v>310222.7</v>
      </c>
      <c r="BL164" s="399">
        <v>51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0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113234.3</v>
      </c>
      <c r="CJ164" s="399">
        <v>-9672.3299999999872</v>
      </c>
      <c r="CK164" s="399"/>
      <c r="CL164" s="399"/>
      <c r="CM164" s="399"/>
      <c r="CN164" s="399"/>
      <c r="CO164" s="399">
        <v>-9672.3000000000029</v>
      </c>
      <c r="CP164" s="399">
        <v>0</v>
      </c>
      <c r="CQ164" s="399"/>
      <c r="CR164" s="399">
        <v>2915.8662192321499</v>
      </c>
      <c r="CS164" s="399">
        <v>0</v>
      </c>
      <c r="CT164" s="399">
        <v>0</v>
      </c>
      <c r="CU164" s="399">
        <v>0</v>
      </c>
      <c r="CV164" s="399">
        <v>0</v>
      </c>
      <c r="CW164" s="399"/>
      <c r="CX164" s="399"/>
      <c r="CY164" s="399"/>
      <c r="CZ164" s="399">
        <v>2915.8662192321499</v>
      </c>
      <c r="DA164" s="399">
        <v>0</v>
      </c>
      <c r="DB164" s="399">
        <v>0</v>
      </c>
      <c r="DC164" s="399"/>
      <c r="DD164" s="399"/>
      <c r="DE164" s="399">
        <v>0</v>
      </c>
      <c r="DF164" s="399">
        <v>0</v>
      </c>
      <c r="DG164" s="399">
        <v>0</v>
      </c>
      <c r="DH164" s="399">
        <v>0</v>
      </c>
      <c r="DI164" s="399">
        <v>0</v>
      </c>
      <c r="DJ164" s="399"/>
      <c r="DK164" s="399">
        <v>0</v>
      </c>
      <c r="DL164" s="399">
        <v>0</v>
      </c>
      <c r="DM164" s="399"/>
      <c r="DN164" s="399">
        <v>0</v>
      </c>
      <c r="DO164" s="399">
        <v>0</v>
      </c>
      <c r="DP164" s="399">
        <v>0</v>
      </c>
      <c r="DQ164" s="399">
        <v>0</v>
      </c>
      <c r="DR164" s="399">
        <v>0</v>
      </c>
      <c r="DS164" s="399"/>
      <c r="DT164" s="399"/>
      <c r="DU164" s="399">
        <v>58128.657178238216</v>
      </c>
      <c r="DV164" s="399"/>
      <c r="DW164" s="399">
        <v>0</v>
      </c>
      <c r="DX164" s="399">
        <v>0</v>
      </c>
      <c r="DY164" s="399">
        <v>-9672.3000000000029</v>
      </c>
      <c r="DZ164" s="399"/>
      <c r="EA164" s="399">
        <v>0</v>
      </c>
      <c r="EB164" s="399"/>
      <c r="EC164" s="399">
        <v>-12567.102044019928</v>
      </c>
      <c r="ED164" s="399"/>
      <c r="EE164" s="399">
        <v>0</v>
      </c>
      <c r="EF164" s="399">
        <v>0</v>
      </c>
      <c r="EG164" s="399"/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/>
      <c r="EN164" s="399"/>
      <c r="EO164" s="399">
        <v>0</v>
      </c>
      <c r="EP164" s="399">
        <v>0</v>
      </c>
      <c r="EQ164" s="399"/>
      <c r="ER164" s="399">
        <v>0</v>
      </c>
      <c r="ES164" s="399"/>
      <c r="ET164" s="399">
        <v>0</v>
      </c>
      <c r="EU164" s="399"/>
      <c r="EV164" s="399">
        <v>215</v>
      </c>
      <c r="EW164" s="399"/>
      <c r="EX164" s="399"/>
      <c r="EY164" s="399"/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2346</v>
      </c>
      <c r="C165" s="399" t="s">
        <v>2352</v>
      </c>
      <c r="D165" s="399" t="s">
        <v>533</v>
      </c>
      <c r="E165" s="399" t="s">
        <v>890</v>
      </c>
      <c r="F165" s="399" t="s">
        <v>1239</v>
      </c>
      <c r="G165" s="399" t="s">
        <v>1239</v>
      </c>
      <c r="H165" s="399" t="s">
        <v>1239</v>
      </c>
      <c r="I165" s="399" t="s">
        <v>1239</v>
      </c>
      <c r="J165" s="399" t="s">
        <v>2344</v>
      </c>
      <c r="K165" s="791">
        <v>44531</v>
      </c>
      <c r="L165" s="399">
        <v>824</v>
      </c>
      <c r="M165" s="399">
        <v>824</v>
      </c>
      <c r="N165" s="399">
        <v>0</v>
      </c>
      <c r="O165" s="399">
        <v>0</v>
      </c>
      <c r="P165" s="399">
        <v>0</v>
      </c>
      <c r="Q165" s="399">
        <v>0</v>
      </c>
      <c r="R165" s="399">
        <v>12.58</v>
      </c>
      <c r="S165" s="399"/>
      <c r="T165" s="399"/>
      <c r="U165" s="399">
        <v>10365.92</v>
      </c>
      <c r="V165" s="399"/>
      <c r="W165" s="399">
        <v>10365.92</v>
      </c>
      <c r="X165" s="399">
        <v>9550.16</v>
      </c>
      <c r="Y165" s="399">
        <v>0</v>
      </c>
      <c r="Z165" s="399">
        <v>0</v>
      </c>
      <c r="AA165" s="399">
        <v>0</v>
      </c>
      <c r="AB165" s="399">
        <v>0</v>
      </c>
      <c r="AC165" s="399">
        <v>0</v>
      </c>
      <c r="AD165" s="399">
        <v>5461.0100841330122</v>
      </c>
      <c r="AE165" s="399">
        <v>4902.5602369363651</v>
      </c>
      <c r="AF165" s="399"/>
      <c r="AG165" s="399"/>
      <c r="AH165" s="399"/>
      <c r="AI165" s="399">
        <v>0</v>
      </c>
      <c r="AJ165" s="399">
        <v>0</v>
      </c>
      <c r="AK165" s="399">
        <v>0</v>
      </c>
      <c r="AL165" s="399">
        <v>0</v>
      </c>
      <c r="AM165" s="399"/>
      <c r="AN165" s="399">
        <v>0</v>
      </c>
      <c r="AO165" s="399">
        <v>0</v>
      </c>
      <c r="AP165" s="399">
        <v>0</v>
      </c>
      <c r="AQ165" s="399">
        <v>0</v>
      </c>
      <c r="AR165" s="399">
        <v>0</v>
      </c>
      <c r="AS165" s="399"/>
      <c r="AT165" s="399"/>
      <c r="AU165" s="399">
        <v>0</v>
      </c>
      <c r="AV165" s="399">
        <v>0</v>
      </c>
      <c r="AW165" s="399">
        <v>0</v>
      </c>
      <c r="AX165" s="399"/>
      <c r="AY165" s="399"/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/>
      <c r="BG165" s="399">
        <v>0</v>
      </c>
      <c r="BH165" s="399">
        <v>0</v>
      </c>
      <c r="BI165" s="399">
        <v>0</v>
      </c>
      <c r="BJ165" s="399">
        <v>0</v>
      </c>
      <c r="BK165" s="399">
        <v>5044.96</v>
      </c>
      <c r="BL165" s="399">
        <v>3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0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9550.16</v>
      </c>
      <c r="CJ165" s="399">
        <v>-815.79000000000087</v>
      </c>
      <c r="CK165" s="399"/>
      <c r="CL165" s="399"/>
      <c r="CM165" s="399"/>
      <c r="CN165" s="399"/>
      <c r="CO165" s="399">
        <v>-815.76000000000022</v>
      </c>
      <c r="CP165" s="399">
        <v>0</v>
      </c>
      <c r="CQ165" s="399"/>
      <c r="CR165" s="399">
        <v>245.92361971824903</v>
      </c>
      <c r="CS165" s="399">
        <v>0</v>
      </c>
      <c r="CT165" s="399">
        <v>0</v>
      </c>
      <c r="CU165" s="399">
        <v>0</v>
      </c>
      <c r="CV165" s="399">
        <v>0</v>
      </c>
      <c r="CW165" s="399"/>
      <c r="CX165" s="399"/>
      <c r="CY165" s="399"/>
      <c r="CZ165" s="399">
        <v>245.92361971824903</v>
      </c>
      <c r="DA165" s="399">
        <v>0</v>
      </c>
      <c r="DB165" s="399">
        <v>0</v>
      </c>
      <c r="DC165" s="399"/>
      <c r="DD165" s="399"/>
      <c r="DE165" s="399">
        <v>0</v>
      </c>
      <c r="DF165" s="399">
        <v>0</v>
      </c>
      <c r="DG165" s="399">
        <v>0</v>
      </c>
      <c r="DH165" s="399">
        <v>0</v>
      </c>
      <c r="DI165" s="399">
        <v>0</v>
      </c>
      <c r="DJ165" s="399"/>
      <c r="DK165" s="399">
        <v>0</v>
      </c>
      <c r="DL165" s="399">
        <v>0</v>
      </c>
      <c r="DM165" s="399"/>
      <c r="DN165" s="399">
        <v>0</v>
      </c>
      <c r="DO165" s="399">
        <v>0</v>
      </c>
      <c r="DP165" s="399">
        <v>0</v>
      </c>
      <c r="DQ165" s="399">
        <v>0</v>
      </c>
      <c r="DR165" s="399">
        <v>0</v>
      </c>
      <c r="DS165" s="399"/>
      <c r="DT165" s="399"/>
      <c r="DU165" s="399">
        <v>4902.5602369363651</v>
      </c>
      <c r="DV165" s="399"/>
      <c r="DW165" s="399">
        <v>0</v>
      </c>
      <c r="DX165" s="399">
        <v>0</v>
      </c>
      <c r="DY165" s="399">
        <v>-815.76000000000022</v>
      </c>
      <c r="DZ165" s="399"/>
      <c r="EA165" s="399">
        <v>0</v>
      </c>
      <c r="EB165" s="399"/>
      <c r="EC165" s="399">
        <v>-1059.9070710616602</v>
      </c>
      <c r="ED165" s="399"/>
      <c r="EE165" s="399">
        <v>0</v>
      </c>
      <c r="EF165" s="399">
        <v>0</v>
      </c>
      <c r="EG165" s="399"/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/>
      <c r="EN165" s="399"/>
      <c r="EO165" s="399">
        <v>0</v>
      </c>
      <c r="EP165" s="399">
        <v>0</v>
      </c>
      <c r="EQ165" s="399"/>
      <c r="ER165" s="399">
        <v>0</v>
      </c>
      <c r="ES165" s="399"/>
      <c r="ET165" s="399">
        <v>0</v>
      </c>
      <c r="EU165" s="399"/>
      <c r="EV165" s="399">
        <v>215</v>
      </c>
      <c r="EW165" s="399"/>
      <c r="EX165" s="399"/>
      <c r="EY165" s="399"/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956</v>
      </c>
      <c r="C166" s="399" t="s">
        <v>2343</v>
      </c>
      <c r="D166" s="399" t="s">
        <v>1826</v>
      </c>
      <c r="E166" s="399" t="s">
        <v>918</v>
      </c>
      <c r="F166" s="399" t="s">
        <v>1239</v>
      </c>
      <c r="G166" s="399" t="s">
        <v>1239</v>
      </c>
      <c r="H166" s="399" t="s">
        <v>1239</v>
      </c>
      <c r="I166" s="399" t="s">
        <v>1239</v>
      </c>
      <c r="J166" s="399" t="s">
        <v>2344</v>
      </c>
      <c r="K166" s="791">
        <v>44531</v>
      </c>
      <c r="L166" s="399">
        <v>0</v>
      </c>
      <c r="M166" s="399">
        <v>0</v>
      </c>
      <c r="N166" s="399">
        <v>615.39700000000005</v>
      </c>
      <c r="O166" s="399">
        <v>615.39700000000005</v>
      </c>
      <c r="P166" s="399">
        <v>615.39700000000005</v>
      </c>
      <c r="Q166" s="399">
        <v>615.39700000000005</v>
      </c>
      <c r="R166" s="399"/>
      <c r="S166" s="399">
        <v>239.69</v>
      </c>
      <c r="T166" s="399">
        <v>171.61</v>
      </c>
      <c r="U166" s="399"/>
      <c r="V166" s="399">
        <v>253112.78610000003</v>
      </c>
      <c r="W166" s="399">
        <v>253112.78610000003</v>
      </c>
      <c r="X166" s="399">
        <v>252183.53663000005</v>
      </c>
      <c r="Y166" s="399">
        <v>0</v>
      </c>
      <c r="Z166" s="399">
        <v>37205.240625834886</v>
      </c>
      <c r="AA166" s="399">
        <v>0</v>
      </c>
      <c r="AB166" s="399">
        <v>0</v>
      </c>
      <c r="AC166" s="399">
        <v>0</v>
      </c>
      <c r="AD166" s="399">
        <v>32822.810101601601</v>
      </c>
      <c r="AE166" s="399">
        <v>54533.236688787467</v>
      </c>
      <c r="AF166" s="399">
        <v>101770.80360496155</v>
      </c>
      <c r="AG166" s="399">
        <v>3837.2199588888075</v>
      </c>
      <c r="AH166" s="399">
        <v>0</v>
      </c>
      <c r="AI166" s="399">
        <v>0</v>
      </c>
      <c r="AJ166" s="399">
        <v>0</v>
      </c>
      <c r="AK166" s="399">
        <v>0</v>
      </c>
      <c r="AL166" s="399">
        <v>5752.7993280861092</v>
      </c>
      <c r="AM166" s="399"/>
      <c r="AN166" s="399">
        <v>243.72899505060383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9852.4523828612128</v>
      </c>
      <c r="BH166" s="399">
        <v>0</v>
      </c>
      <c r="BI166" s="399">
        <v>0</v>
      </c>
      <c r="BJ166" s="399">
        <v>0</v>
      </c>
      <c r="BK166" s="399">
        <v>112985.82</v>
      </c>
      <c r="BL166" s="399">
        <v>552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111623.25598782276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252184.766</v>
      </c>
      <c r="CJ166" s="399">
        <v>-928.05010000005132</v>
      </c>
      <c r="CK166" s="399"/>
      <c r="CL166" s="399"/>
      <c r="CM166" s="399"/>
      <c r="CN166" s="399"/>
      <c r="CO166" s="399">
        <v>-14781.835940000008</v>
      </c>
      <c r="CP166" s="399">
        <v>13852.586469999995</v>
      </c>
      <c r="CQ166" s="399"/>
      <c r="CR166" s="399">
        <v>10863.999015037727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1478.0973016262287</v>
      </c>
      <c r="DA166" s="399">
        <v>0</v>
      </c>
      <c r="DB166" s="399">
        <v>0</v>
      </c>
      <c r="DC166" s="399">
        <v>13855.876782644511</v>
      </c>
      <c r="DD166" s="399">
        <v>0</v>
      </c>
      <c r="DE166" s="399">
        <v>0</v>
      </c>
      <c r="DF166" s="399">
        <v>0</v>
      </c>
      <c r="DG166" s="399">
        <v>1341.390274893547</v>
      </c>
      <c r="DH166" s="399">
        <v>0</v>
      </c>
      <c r="DI166" s="399">
        <v>-5110.242245464302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-662.97336951781472</v>
      </c>
      <c r="DP166" s="399">
        <v>-38.149729144483814</v>
      </c>
      <c r="DQ166" s="399">
        <v>0</v>
      </c>
      <c r="DR166" s="399">
        <v>0</v>
      </c>
      <c r="DS166" s="399"/>
      <c r="DT166" s="399"/>
      <c r="DU166" s="399"/>
      <c r="DV166" s="399">
        <v>54533.236688787467</v>
      </c>
      <c r="DW166" s="399">
        <v>0</v>
      </c>
      <c r="DX166" s="399">
        <v>0</v>
      </c>
      <c r="DY166" s="399">
        <v>-14781.83593999999</v>
      </c>
      <c r="DZ166" s="399">
        <v>13852.586469999995</v>
      </c>
      <c r="EA166" s="399">
        <v>0</v>
      </c>
      <c r="EB166" s="399">
        <v>0</v>
      </c>
      <c r="EC166" s="399">
        <v>-11789.791533585441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7094.9099184526176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215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2346</v>
      </c>
      <c r="C167" s="399" t="s">
        <v>2343</v>
      </c>
      <c r="D167" s="399" t="s">
        <v>1826</v>
      </c>
      <c r="E167" s="399" t="s">
        <v>918</v>
      </c>
      <c r="F167" s="399" t="s">
        <v>1239</v>
      </c>
      <c r="G167" s="399" t="s">
        <v>1239</v>
      </c>
      <c r="H167" s="399" t="s">
        <v>1239</v>
      </c>
      <c r="I167" s="399" t="s">
        <v>1239</v>
      </c>
      <c r="J167" s="399" t="s">
        <v>2344</v>
      </c>
      <c r="K167" s="791">
        <v>44531</v>
      </c>
      <c r="L167" s="399">
        <v>0</v>
      </c>
      <c r="M167" s="399">
        <v>0</v>
      </c>
      <c r="N167" s="399">
        <v>3.4569999999999999</v>
      </c>
      <c r="O167" s="399">
        <v>3.4569999999999999</v>
      </c>
      <c r="P167" s="399">
        <v>3.4569999999999999</v>
      </c>
      <c r="Q167" s="399">
        <v>3.4569999999999999</v>
      </c>
      <c r="R167" s="399"/>
      <c r="S167" s="399">
        <v>239.69</v>
      </c>
      <c r="T167" s="399">
        <v>171.61</v>
      </c>
      <c r="U167" s="399"/>
      <c r="V167" s="399">
        <v>1421.8640999999998</v>
      </c>
      <c r="W167" s="399">
        <v>1421.8640999999998</v>
      </c>
      <c r="X167" s="399">
        <v>1416.6440299999999</v>
      </c>
      <c r="Y167" s="399">
        <v>0</v>
      </c>
      <c r="Z167" s="399">
        <v>209.00088372792067</v>
      </c>
      <c r="AA167" s="399">
        <v>0</v>
      </c>
      <c r="AB167" s="399">
        <v>0</v>
      </c>
      <c r="AC167" s="399">
        <v>0</v>
      </c>
      <c r="AD167" s="399">
        <v>184.38252789863571</v>
      </c>
      <c r="AE167" s="399">
        <v>306.34110863903834</v>
      </c>
      <c r="AF167" s="399">
        <v>571.69870516488061</v>
      </c>
      <c r="AG167" s="399">
        <v>21.555628964519823</v>
      </c>
      <c r="AH167" s="399">
        <v>0</v>
      </c>
      <c r="AI167" s="399">
        <v>0</v>
      </c>
      <c r="AJ167" s="399">
        <v>0</v>
      </c>
      <c r="AK167" s="399">
        <v>0</v>
      </c>
      <c r="AL167" s="399">
        <v>32.316418957508205</v>
      </c>
      <c r="AM167" s="399"/>
      <c r="AN167" s="399">
        <v>1.3691505416664971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55.346268973607614</v>
      </c>
      <c r="BH167" s="399">
        <v>0</v>
      </c>
      <c r="BI167" s="399">
        <v>0</v>
      </c>
      <c r="BJ167" s="399">
        <v>0</v>
      </c>
      <c r="BK167" s="399">
        <v>1563.93</v>
      </c>
      <c r="BL167" s="399">
        <v>7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627.04497413848821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1417.8733999999999</v>
      </c>
      <c r="CJ167" s="399">
        <v>-4.0206999999998061</v>
      </c>
      <c r="CK167" s="399"/>
      <c r="CL167" s="399"/>
      <c r="CM167" s="399"/>
      <c r="CN167" s="399"/>
      <c r="CO167" s="399">
        <v>-83.037140000000036</v>
      </c>
      <c r="CP167" s="399">
        <v>77.817069999999958</v>
      </c>
      <c r="CQ167" s="399"/>
      <c r="CR167" s="399">
        <v>61.028644265385537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8.3032292515593724</v>
      </c>
      <c r="DA167" s="399">
        <v>0</v>
      </c>
      <c r="DB167" s="399">
        <v>0</v>
      </c>
      <c r="DC167" s="399">
        <v>77.835553370591811</v>
      </c>
      <c r="DD167" s="399">
        <v>0</v>
      </c>
      <c r="DE167" s="399">
        <v>0</v>
      </c>
      <c r="DF167" s="399">
        <v>0</v>
      </c>
      <c r="DG167" s="399">
        <v>7.5352758955714663</v>
      </c>
      <c r="DH167" s="399">
        <v>0</v>
      </c>
      <c r="DI167" s="399">
        <v>-28.706846868883162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-3.7242608241884234</v>
      </c>
      <c r="DP167" s="399">
        <v>-0.21430655926577558</v>
      </c>
      <c r="DQ167" s="399">
        <v>0</v>
      </c>
      <c r="DR167" s="399">
        <v>0</v>
      </c>
      <c r="DS167" s="399"/>
      <c r="DT167" s="399"/>
      <c r="DU167" s="399"/>
      <c r="DV167" s="399">
        <v>306.34110863903834</v>
      </c>
      <c r="DW167" s="399">
        <v>0</v>
      </c>
      <c r="DX167" s="399">
        <v>0</v>
      </c>
      <c r="DY167" s="399">
        <v>-83.037140000000022</v>
      </c>
      <c r="DZ167" s="399">
        <v>77.817070000000058</v>
      </c>
      <c r="EA167" s="399">
        <v>0</v>
      </c>
      <c r="EB167" s="399">
        <v>0</v>
      </c>
      <c r="EC167" s="399">
        <v>-66.229294799300106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39.855741233855049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215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956</v>
      </c>
      <c r="C168" s="399" t="s">
        <v>2352</v>
      </c>
      <c r="D168" s="399" t="s">
        <v>533</v>
      </c>
      <c r="E168" s="399" t="s">
        <v>918</v>
      </c>
      <c r="F168" s="399" t="s">
        <v>1239</v>
      </c>
      <c r="G168" s="399" t="s">
        <v>1239</v>
      </c>
      <c r="H168" s="399" t="s">
        <v>1239</v>
      </c>
      <c r="I168" s="399" t="s">
        <v>893</v>
      </c>
      <c r="J168" s="399" t="s">
        <v>2344</v>
      </c>
      <c r="K168" s="791">
        <v>44531</v>
      </c>
      <c r="L168" s="399">
        <v>0</v>
      </c>
      <c r="M168" s="399">
        <v>0</v>
      </c>
      <c r="N168" s="399">
        <v>9.4529999999999994</v>
      </c>
      <c r="O168" s="399">
        <v>9.4529999999999994</v>
      </c>
      <c r="P168" s="399">
        <v>9.4529999999999994</v>
      </c>
      <c r="Q168" s="399">
        <v>9.4529999999999994</v>
      </c>
      <c r="R168" s="399"/>
      <c r="S168" s="399">
        <v>984.21</v>
      </c>
      <c r="T168" s="399">
        <v>171.61</v>
      </c>
      <c r="U168" s="399"/>
      <c r="V168" s="399">
        <v>10925.96646</v>
      </c>
      <c r="W168" s="399">
        <v>10925.96646</v>
      </c>
      <c r="X168" s="399">
        <v>10188.91605</v>
      </c>
      <c r="Y168" s="399">
        <v>0</v>
      </c>
      <c r="Z168" s="399">
        <v>497.20747985988697</v>
      </c>
      <c r="AA168" s="399">
        <v>0</v>
      </c>
      <c r="AB168" s="399">
        <v>0</v>
      </c>
      <c r="AC168" s="399">
        <v>0</v>
      </c>
      <c r="AD168" s="399">
        <v>3721.7280140247535</v>
      </c>
      <c r="AE168" s="399">
        <v>4840.7122879987419</v>
      </c>
      <c r="AF168" s="399">
        <v>1563.2825744644535</v>
      </c>
      <c r="AG168" s="399">
        <v>58.942829216547835</v>
      </c>
      <c r="AH168" s="399">
        <v>0</v>
      </c>
      <c r="AI168" s="399">
        <v>0</v>
      </c>
      <c r="AJ168" s="399">
        <v>0</v>
      </c>
      <c r="AK168" s="399">
        <v>0</v>
      </c>
      <c r="AL168" s="399">
        <v>88.367691178861747</v>
      </c>
      <c r="AM168" s="399"/>
      <c r="AN168" s="399">
        <v>2.496163668923848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58.431722696644762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1621.7142971610983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10185.682499999999</v>
      </c>
      <c r="CJ168" s="399">
        <v>-740.31396000000132</v>
      </c>
      <c r="CK168" s="399"/>
      <c r="CL168" s="399"/>
      <c r="CM168" s="399"/>
      <c r="CN168" s="399"/>
      <c r="CO168" s="399">
        <v>-949.83744000000013</v>
      </c>
      <c r="CP168" s="399">
        <v>212.7870299999999</v>
      </c>
      <c r="CQ168" s="399"/>
      <c r="CR168" s="399">
        <v>309.52476723227574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167.59918233352255</v>
      </c>
      <c r="DA168" s="399">
        <v>0</v>
      </c>
      <c r="DB168" s="399">
        <v>0</v>
      </c>
      <c r="DC168" s="399">
        <v>212.83757188666596</v>
      </c>
      <c r="DD168" s="399">
        <v>0</v>
      </c>
      <c r="DE168" s="399">
        <v>0</v>
      </c>
      <c r="DF168" s="399">
        <v>0</v>
      </c>
      <c r="DG168" s="399">
        <v>7.9553538068247249</v>
      </c>
      <c r="DH168" s="399">
        <v>0</v>
      </c>
      <c r="DI168" s="399">
        <v>-68.292816431255005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-10.183811851620817</v>
      </c>
      <c r="DP168" s="399">
        <v>-0.39071251186168876</v>
      </c>
      <c r="DQ168" s="399">
        <v>0</v>
      </c>
      <c r="DR168" s="399">
        <v>0</v>
      </c>
      <c r="DS168" s="399"/>
      <c r="DT168" s="399"/>
      <c r="DU168" s="399"/>
      <c r="DV168" s="399">
        <v>4840.7122879987419</v>
      </c>
      <c r="DW168" s="399">
        <v>0</v>
      </c>
      <c r="DX168" s="399">
        <v>0</v>
      </c>
      <c r="DY168" s="399">
        <v>-949.83743999999933</v>
      </c>
      <c r="DZ168" s="399">
        <v>212.78702999999973</v>
      </c>
      <c r="EA168" s="399">
        <v>0</v>
      </c>
      <c r="EB168" s="399">
        <v>0</v>
      </c>
      <c r="EC168" s="399">
        <v>-1046.5358782070025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94.815736198657405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215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956</v>
      </c>
      <c r="C169" s="399" t="s">
        <v>2352</v>
      </c>
      <c r="D169" s="399" t="s">
        <v>533</v>
      </c>
      <c r="E169" s="399" t="s">
        <v>918</v>
      </c>
      <c r="F169" s="399" t="s">
        <v>1239</v>
      </c>
      <c r="G169" s="399" t="s">
        <v>1239</v>
      </c>
      <c r="H169" s="399" t="s">
        <v>1239</v>
      </c>
      <c r="I169" s="399" t="s">
        <v>2326</v>
      </c>
      <c r="J169" s="399" t="s">
        <v>2344</v>
      </c>
      <c r="K169" s="791">
        <v>44531</v>
      </c>
      <c r="L169" s="399">
        <v>0</v>
      </c>
      <c r="M169" s="399">
        <v>0</v>
      </c>
      <c r="N169" s="399">
        <v>84.527000000000001</v>
      </c>
      <c r="O169" s="399">
        <v>84.527000000000001</v>
      </c>
      <c r="P169" s="399">
        <v>84.527000000000001</v>
      </c>
      <c r="Q169" s="399">
        <v>84.527000000000001</v>
      </c>
      <c r="R169" s="399"/>
      <c r="S169" s="399">
        <v>78.42</v>
      </c>
      <c r="T169" s="399">
        <v>171.61</v>
      </c>
      <c r="U169" s="399"/>
      <c r="V169" s="399">
        <v>21134.285810000001</v>
      </c>
      <c r="W169" s="399">
        <v>21134.285810000001</v>
      </c>
      <c r="X169" s="399">
        <v>22403.036079999998</v>
      </c>
      <c r="Y169" s="399">
        <v>0</v>
      </c>
      <c r="Z169" s="399">
        <v>4445.9385010173137</v>
      </c>
      <c r="AA169" s="399">
        <v>0</v>
      </c>
      <c r="AB169" s="399">
        <v>0</v>
      </c>
      <c r="AC169" s="399">
        <v>0</v>
      </c>
      <c r="AD169" s="399">
        <v>0</v>
      </c>
      <c r="AE169" s="399">
        <v>0</v>
      </c>
      <c r="AF169" s="399">
        <v>13978.587344944133</v>
      </c>
      <c r="AG169" s="399">
        <v>527.05601662828087</v>
      </c>
      <c r="AH169" s="399">
        <v>0</v>
      </c>
      <c r="AI169" s="399">
        <v>0</v>
      </c>
      <c r="AJ169" s="399">
        <v>0</v>
      </c>
      <c r="AK169" s="399">
        <v>0</v>
      </c>
      <c r="AL169" s="399">
        <v>790.16775968217996</v>
      </c>
      <c r="AM169" s="399"/>
      <c r="AN169" s="399">
        <v>22.320239759137429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522.48579544898894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14501.073140393122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22403.831200000001</v>
      </c>
      <c r="CJ169" s="399">
        <v>1269.5153900000005</v>
      </c>
      <c r="CK169" s="399"/>
      <c r="CL169" s="399"/>
      <c r="CM169" s="399"/>
      <c r="CN169" s="399"/>
      <c r="CO169" s="399">
        <v>-633.95249999999999</v>
      </c>
      <c r="CP169" s="399">
        <v>1902.7027699999992</v>
      </c>
      <c r="CQ169" s="399"/>
      <c r="CR169" s="399">
        <v>1269.0726663214737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0</v>
      </c>
      <c r="DA169" s="399">
        <v>0</v>
      </c>
      <c r="DB169" s="399">
        <v>0</v>
      </c>
      <c r="DC169" s="399">
        <v>1903.1547063222479</v>
      </c>
      <c r="DD169" s="399">
        <v>0</v>
      </c>
      <c r="DE169" s="399">
        <v>0</v>
      </c>
      <c r="DF169" s="399">
        <v>0</v>
      </c>
      <c r="DG169" s="399">
        <v>71.135321192158358</v>
      </c>
      <c r="DH169" s="399">
        <v>0</v>
      </c>
      <c r="DI169" s="399">
        <v>-610.66189511104312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-91.06178614005637</v>
      </c>
      <c r="DP169" s="399">
        <v>-3.4936799418314806</v>
      </c>
      <c r="DQ169" s="399">
        <v>0</v>
      </c>
      <c r="DR169" s="399">
        <v>0</v>
      </c>
      <c r="DS169" s="399"/>
      <c r="DT169" s="399"/>
      <c r="DU169" s="399"/>
      <c r="DV169" s="399">
        <v>0</v>
      </c>
      <c r="DW169" s="399">
        <v>0</v>
      </c>
      <c r="DX169" s="399">
        <v>0</v>
      </c>
      <c r="DY169" s="399">
        <v>-633.95250000000033</v>
      </c>
      <c r="DZ169" s="399">
        <v>1902.7027699999981</v>
      </c>
      <c r="EA169" s="399">
        <v>0</v>
      </c>
      <c r="EB169" s="399">
        <v>0</v>
      </c>
      <c r="EC169" s="399">
        <v>0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847.82500091652548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215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956</v>
      </c>
      <c r="C170" s="399" t="s">
        <v>2352</v>
      </c>
      <c r="D170" s="399" t="s">
        <v>533</v>
      </c>
      <c r="E170" s="399" t="s">
        <v>918</v>
      </c>
      <c r="F170" s="399" t="s">
        <v>1239</v>
      </c>
      <c r="G170" s="399" t="s">
        <v>1239</v>
      </c>
      <c r="H170" s="399" t="s">
        <v>1239</v>
      </c>
      <c r="I170" s="399" t="s">
        <v>1239</v>
      </c>
      <c r="J170" s="399" t="s">
        <v>2344</v>
      </c>
      <c r="K170" s="791">
        <v>44531</v>
      </c>
      <c r="L170" s="399">
        <v>493</v>
      </c>
      <c r="M170" s="399">
        <v>493</v>
      </c>
      <c r="N170" s="399">
        <v>0</v>
      </c>
      <c r="O170" s="399">
        <v>0</v>
      </c>
      <c r="P170" s="399">
        <v>0</v>
      </c>
      <c r="Q170" s="399">
        <v>0</v>
      </c>
      <c r="R170" s="399">
        <v>12.58</v>
      </c>
      <c r="S170" s="399"/>
      <c r="T170" s="399"/>
      <c r="U170" s="399">
        <v>6201.94</v>
      </c>
      <c r="V170" s="399"/>
      <c r="W170" s="399">
        <v>6201.94</v>
      </c>
      <c r="X170" s="399">
        <v>5713.87</v>
      </c>
      <c r="Y170" s="399">
        <v>0</v>
      </c>
      <c r="Z170" s="399">
        <v>0</v>
      </c>
      <c r="AA170" s="399">
        <v>0</v>
      </c>
      <c r="AB170" s="399">
        <v>0</v>
      </c>
      <c r="AC170" s="399">
        <v>0</v>
      </c>
      <c r="AD170" s="399">
        <v>3267.3276352883195</v>
      </c>
      <c r="AE170" s="399">
        <v>2933.2065495262477</v>
      </c>
      <c r="AF170" s="399"/>
      <c r="AG170" s="399"/>
      <c r="AH170" s="399"/>
      <c r="AI170" s="399">
        <v>0</v>
      </c>
      <c r="AJ170" s="399">
        <v>0</v>
      </c>
      <c r="AK170" s="399">
        <v>0</v>
      </c>
      <c r="AL170" s="399">
        <v>0</v>
      </c>
      <c r="AM170" s="399"/>
      <c r="AN170" s="399">
        <v>0</v>
      </c>
      <c r="AO170" s="399">
        <v>0</v>
      </c>
      <c r="AP170" s="399">
        <v>0</v>
      </c>
      <c r="AQ170" s="399">
        <v>0</v>
      </c>
      <c r="AR170" s="399">
        <v>0</v>
      </c>
      <c r="AS170" s="399"/>
      <c r="AT170" s="399"/>
      <c r="AU170" s="399">
        <v>0</v>
      </c>
      <c r="AV170" s="399">
        <v>0</v>
      </c>
      <c r="AW170" s="399">
        <v>0</v>
      </c>
      <c r="AX170" s="399"/>
      <c r="AY170" s="399"/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/>
      <c r="BG170" s="399">
        <v>0</v>
      </c>
      <c r="BH170" s="399">
        <v>0</v>
      </c>
      <c r="BI170" s="399">
        <v>0</v>
      </c>
      <c r="BJ170" s="399">
        <v>0</v>
      </c>
      <c r="BK170" s="399">
        <v>18070.73</v>
      </c>
      <c r="BL170" s="399">
        <v>5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0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5713.87</v>
      </c>
      <c r="CJ170" s="399">
        <v>-488.10000000000036</v>
      </c>
      <c r="CK170" s="399"/>
      <c r="CL170" s="399"/>
      <c r="CM170" s="399"/>
      <c r="CN170" s="399"/>
      <c r="CO170" s="399">
        <v>-488.07000000000011</v>
      </c>
      <c r="CP170" s="399">
        <v>0</v>
      </c>
      <c r="CQ170" s="399"/>
      <c r="CR170" s="399">
        <v>147.13634043822367</v>
      </c>
      <c r="CS170" s="399">
        <v>0</v>
      </c>
      <c r="CT170" s="399">
        <v>0</v>
      </c>
      <c r="CU170" s="399">
        <v>0</v>
      </c>
      <c r="CV170" s="399">
        <v>0</v>
      </c>
      <c r="CW170" s="399"/>
      <c r="CX170" s="399"/>
      <c r="CY170" s="399"/>
      <c r="CZ170" s="399">
        <v>147.13634043822367</v>
      </c>
      <c r="DA170" s="399">
        <v>0</v>
      </c>
      <c r="DB170" s="399">
        <v>0</v>
      </c>
      <c r="DC170" s="399"/>
      <c r="DD170" s="399"/>
      <c r="DE170" s="399">
        <v>0</v>
      </c>
      <c r="DF170" s="399">
        <v>0</v>
      </c>
      <c r="DG170" s="399">
        <v>0</v>
      </c>
      <c r="DH170" s="399">
        <v>0</v>
      </c>
      <c r="DI170" s="399">
        <v>0</v>
      </c>
      <c r="DJ170" s="399"/>
      <c r="DK170" s="399">
        <v>0</v>
      </c>
      <c r="DL170" s="399">
        <v>0</v>
      </c>
      <c r="DM170" s="399"/>
      <c r="DN170" s="399">
        <v>0</v>
      </c>
      <c r="DO170" s="399">
        <v>0</v>
      </c>
      <c r="DP170" s="399">
        <v>0</v>
      </c>
      <c r="DQ170" s="399">
        <v>0</v>
      </c>
      <c r="DR170" s="399">
        <v>0</v>
      </c>
      <c r="DS170" s="399"/>
      <c r="DT170" s="399"/>
      <c r="DU170" s="399">
        <v>2933.2065495262477</v>
      </c>
      <c r="DV170" s="399"/>
      <c r="DW170" s="399">
        <v>0</v>
      </c>
      <c r="DX170" s="399">
        <v>0</v>
      </c>
      <c r="DY170" s="399">
        <v>-488.06999999999971</v>
      </c>
      <c r="DZ170" s="399"/>
      <c r="EA170" s="399">
        <v>0</v>
      </c>
      <c r="EB170" s="399"/>
      <c r="EC170" s="399">
        <v>-634.14342965218293</v>
      </c>
      <c r="ED170" s="399"/>
      <c r="EE170" s="399">
        <v>0</v>
      </c>
      <c r="EF170" s="399">
        <v>0</v>
      </c>
      <c r="EG170" s="399"/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/>
      <c r="EN170" s="399"/>
      <c r="EO170" s="399">
        <v>0</v>
      </c>
      <c r="EP170" s="399">
        <v>0</v>
      </c>
      <c r="EQ170" s="399"/>
      <c r="ER170" s="399">
        <v>0</v>
      </c>
      <c r="ES170" s="399"/>
      <c r="ET170" s="399">
        <v>0</v>
      </c>
      <c r="EU170" s="399"/>
      <c r="EV170" s="399">
        <v>215</v>
      </c>
      <c r="EW170" s="399"/>
      <c r="EX170" s="399"/>
      <c r="EY170" s="399"/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956</v>
      </c>
      <c r="C171" s="399" t="s">
        <v>2343</v>
      </c>
      <c r="D171" s="399" t="s">
        <v>2353</v>
      </c>
      <c r="E171" s="399" t="s">
        <v>894</v>
      </c>
      <c r="F171" s="399" t="s">
        <v>1239</v>
      </c>
      <c r="G171" s="399" t="s">
        <v>1239</v>
      </c>
      <c r="H171" s="399" t="s">
        <v>1239</v>
      </c>
      <c r="I171" s="399" t="s">
        <v>1239</v>
      </c>
      <c r="J171" s="399" t="s">
        <v>2344</v>
      </c>
      <c r="K171" s="791">
        <v>44531</v>
      </c>
      <c r="L171" s="399">
        <v>0</v>
      </c>
      <c r="M171" s="399">
        <v>0</v>
      </c>
      <c r="N171" s="399">
        <v>714.995</v>
      </c>
      <c r="O171" s="399">
        <v>714.995</v>
      </c>
      <c r="P171" s="399">
        <v>714.995</v>
      </c>
      <c r="Q171" s="399">
        <v>714.995</v>
      </c>
      <c r="R171" s="399"/>
      <c r="S171" s="399">
        <v>239.69</v>
      </c>
      <c r="T171" s="399">
        <v>171.61</v>
      </c>
      <c r="U171" s="399"/>
      <c r="V171" s="399">
        <v>294077.44350000005</v>
      </c>
      <c r="W171" s="399">
        <v>294077.44350000005</v>
      </c>
      <c r="X171" s="399">
        <v>292997.80105000001</v>
      </c>
      <c r="Y171" s="399">
        <v>0</v>
      </c>
      <c r="Z171" s="399">
        <v>43226.666722894028</v>
      </c>
      <c r="AA171" s="399">
        <v>0</v>
      </c>
      <c r="AB171" s="399">
        <v>0</v>
      </c>
      <c r="AC171" s="399">
        <v>0</v>
      </c>
      <c r="AD171" s="399">
        <v>38134.968335228536</v>
      </c>
      <c r="AE171" s="399">
        <v>63359.086193627198</v>
      </c>
      <c r="AF171" s="399">
        <v>118241.74593559845</v>
      </c>
      <c r="AG171" s="399">
        <v>4458.2490400598354</v>
      </c>
      <c r="AH171" s="399">
        <v>0</v>
      </c>
      <c r="AI171" s="399">
        <v>0</v>
      </c>
      <c r="AJ171" s="399">
        <v>0</v>
      </c>
      <c r="AK171" s="399">
        <v>0</v>
      </c>
      <c r="AL171" s="399">
        <v>6683.8524652946426</v>
      </c>
      <c r="AM171" s="399"/>
      <c r="AN171" s="399">
        <v>283.17494693052851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11447.007690131495</v>
      </c>
      <c r="BH171" s="399">
        <v>0</v>
      </c>
      <c r="BI171" s="399">
        <v>0</v>
      </c>
      <c r="BJ171" s="399">
        <v>0</v>
      </c>
      <c r="BK171" s="399">
        <v>101438.01</v>
      </c>
      <c r="BL171" s="399">
        <v>735</v>
      </c>
      <c r="BM171" s="399"/>
      <c r="BN171" s="399"/>
      <c r="BO171" s="399"/>
      <c r="BP171" s="399"/>
      <c r="BQ171" s="399"/>
      <c r="BR171" s="399">
        <v>35156.304149999989</v>
      </c>
      <c r="BS171" s="399"/>
      <c r="BT171" s="399"/>
      <c r="BU171" s="399"/>
      <c r="BV171" s="399">
        <v>129688.75362572994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257843.30000000002</v>
      </c>
      <c r="CJ171" s="399">
        <v>-949.17025000002468</v>
      </c>
      <c r="CK171" s="399"/>
      <c r="CL171" s="399"/>
      <c r="CM171" s="399"/>
      <c r="CN171" s="399"/>
      <c r="CO171" s="399">
        <v>-17174.179900000006</v>
      </c>
      <c r="CP171" s="399">
        <v>16094.537449999994</v>
      </c>
      <c r="CQ171" s="399"/>
      <c r="CR171" s="399">
        <v>12622.266562490375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1717.3177317670488</v>
      </c>
      <c r="DA171" s="399">
        <v>0</v>
      </c>
      <c r="DB171" s="399">
        <v>0</v>
      </c>
      <c r="DC171" s="399">
        <v>16098.360278335633</v>
      </c>
      <c r="DD171" s="399">
        <v>0</v>
      </c>
      <c r="DE171" s="399">
        <v>0</v>
      </c>
      <c r="DF171" s="399">
        <v>0</v>
      </c>
      <c r="DG171" s="399">
        <v>1558.4855623240146</v>
      </c>
      <c r="DH171" s="399">
        <v>0</v>
      </c>
      <c r="DI171" s="399">
        <v>-5937.3017000338805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-770.27129534006417</v>
      </c>
      <c r="DP171" s="399">
        <v>-44.324014562404727</v>
      </c>
      <c r="DQ171" s="399">
        <v>0</v>
      </c>
      <c r="DR171" s="399">
        <v>0</v>
      </c>
      <c r="DS171" s="399"/>
      <c r="DT171" s="399"/>
      <c r="DU171" s="399"/>
      <c r="DV171" s="399">
        <v>63359.086193627198</v>
      </c>
      <c r="DW171" s="399">
        <v>0</v>
      </c>
      <c r="DX171" s="399">
        <v>0</v>
      </c>
      <c r="DY171" s="399">
        <v>-17174.179900000017</v>
      </c>
      <c r="DZ171" s="399">
        <v>16094.537450000003</v>
      </c>
      <c r="EA171" s="399">
        <v>0</v>
      </c>
      <c r="EB171" s="399">
        <v>0</v>
      </c>
      <c r="EC171" s="399">
        <v>-13697.892575940285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8243.174921463753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215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2345</v>
      </c>
      <c r="C172" s="399" t="s">
        <v>2343</v>
      </c>
      <c r="D172" s="399" t="s">
        <v>2353</v>
      </c>
      <c r="E172" s="399" t="s">
        <v>894</v>
      </c>
      <c r="F172" s="399" t="s">
        <v>1239</v>
      </c>
      <c r="G172" s="399" t="s">
        <v>1239</v>
      </c>
      <c r="H172" s="399" t="s">
        <v>1239</v>
      </c>
      <c r="I172" s="399" t="s">
        <v>1239</v>
      </c>
      <c r="J172" s="399" t="s">
        <v>2344</v>
      </c>
      <c r="K172" s="791">
        <v>44531</v>
      </c>
      <c r="L172" s="399">
        <v>0</v>
      </c>
      <c r="M172" s="399">
        <v>0</v>
      </c>
      <c r="N172" s="399">
        <v>-0.24</v>
      </c>
      <c r="O172" s="399">
        <v>-0.24</v>
      </c>
      <c r="P172" s="399">
        <v>-0.24</v>
      </c>
      <c r="Q172" s="399">
        <v>-0.24</v>
      </c>
      <c r="R172" s="399"/>
      <c r="S172" s="399">
        <v>239.69</v>
      </c>
      <c r="T172" s="399">
        <v>171.61</v>
      </c>
      <c r="U172" s="399"/>
      <c r="V172" s="399">
        <v>-98.711999999999989</v>
      </c>
      <c r="W172" s="399">
        <v>-98.711999999999989</v>
      </c>
      <c r="X172" s="399">
        <v>-98.349599999999995</v>
      </c>
      <c r="Y172" s="399">
        <v>0</v>
      </c>
      <c r="Z172" s="399">
        <v>-14.50975183531992</v>
      </c>
      <c r="AA172" s="399">
        <v>0</v>
      </c>
      <c r="AB172" s="399">
        <v>0</v>
      </c>
      <c r="AC172" s="399">
        <v>0</v>
      </c>
      <c r="AD172" s="399">
        <v>-12.800638326778296</v>
      </c>
      <c r="AE172" s="399">
        <v>-21.267534299499335</v>
      </c>
      <c r="AF172" s="399">
        <v>-39.689814648415201</v>
      </c>
      <c r="AG172" s="399">
        <v>-1.4964856671925824</v>
      </c>
      <c r="AH172" s="399">
        <v>0</v>
      </c>
      <c r="AI172" s="399">
        <v>0</v>
      </c>
      <c r="AJ172" s="399">
        <v>0</v>
      </c>
      <c r="AK172" s="399">
        <v>0</v>
      </c>
      <c r="AL172" s="399">
        <v>-2.2435465865785273</v>
      </c>
      <c r="AM172" s="399"/>
      <c r="AN172" s="399">
        <v>-9.5052395140283283E-2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-3.8423791014364559</v>
      </c>
      <c r="BH172" s="399">
        <v>0</v>
      </c>
      <c r="BI172" s="399">
        <v>0</v>
      </c>
      <c r="BJ172" s="399">
        <v>0</v>
      </c>
      <c r="BK172" s="399">
        <v>-17.91</v>
      </c>
      <c r="BL172" s="399">
        <v>0</v>
      </c>
      <c r="BM172" s="399"/>
      <c r="BN172" s="399"/>
      <c r="BO172" s="399"/>
      <c r="BP172" s="399"/>
      <c r="BQ172" s="399"/>
      <c r="BR172" s="399">
        <v>-11.800799999999997</v>
      </c>
      <c r="BS172" s="399"/>
      <c r="BT172" s="399"/>
      <c r="BU172" s="399"/>
      <c r="BV172" s="399">
        <v>-43.532193749851658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-86.5488</v>
      </c>
      <c r="CJ172" s="399">
        <v>0.28919999999999391</v>
      </c>
      <c r="CK172" s="399"/>
      <c r="CL172" s="399"/>
      <c r="CM172" s="399"/>
      <c r="CN172" s="399"/>
      <c r="CO172" s="399">
        <v>5.7648000000000019</v>
      </c>
      <c r="CP172" s="399">
        <v>-5.4023999999999974</v>
      </c>
      <c r="CQ172" s="399"/>
      <c r="CR172" s="399">
        <v>-4.2368743487684242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-0.57644634665150463</v>
      </c>
      <c r="DA172" s="399">
        <v>0</v>
      </c>
      <c r="DB172" s="399">
        <v>0</v>
      </c>
      <c r="DC172" s="399">
        <v>-5.4036831961070391</v>
      </c>
      <c r="DD172" s="399">
        <v>0</v>
      </c>
      <c r="DE172" s="399">
        <v>0</v>
      </c>
      <c r="DF172" s="399">
        <v>0</v>
      </c>
      <c r="DG172" s="399">
        <v>-0.5231316791834395</v>
      </c>
      <c r="DH172" s="399">
        <v>0</v>
      </c>
      <c r="DI172" s="399">
        <v>1.9929543675244332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0.25855441070443219</v>
      </c>
      <c r="DP172" s="399">
        <v>1.4878094944687933E-2</v>
      </c>
      <c r="DQ172" s="399">
        <v>0</v>
      </c>
      <c r="DR172" s="399">
        <v>0</v>
      </c>
      <c r="DS172" s="399"/>
      <c r="DT172" s="399"/>
      <c r="DU172" s="399"/>
      <c r="DV172" s="399">
        <v>-21.267534299499335</v>
      </c>
      <c r="DW172" s="399">
        <v>0</v>
      </c>
      <c r="DX172" s="399">
        <v>0</v>
      </c>
      <c r="DY172" s="399">
        <v>5.764800000000001</v>
      </c>
      <c r="DZ172" s="399">
        <v>-5.4024000000000001</v>
      </c>
      <c r="EA172" s="399">
        <v>0</v>
      </c>
      <c r="EB172" s="399">
        <v>0</v>
      </c>
      <c r="EC172" s="399">
        <v>4.5979261648342558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-2.7669591831429599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215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2346</v>
      </c>
      <c r="C173" s="399" t="s">
        <v>2343</v>
      </c>
      <c r="D173" s="399" t="s">
        <v>2353</v>
      </c>
      <c r="E173" s="399" t="s">
        <v>894</v>
      </c>
      <c r="F173" s="399" t="s">
        <v>1239</v>
      </c>
      <c r="G173" s="399" t="s">
        <v>1239</v>
      </c>
      <c r="H173" s="399" t="s">
        <v>1239</v>
      </c>
      <c r="I173" s="399" t="s">
        <v>1239</v>
      </c>
      <c r="J173" s="399" t="s">
        <v>2344</v>
      </c>
      <c r="K173" s="791">
        <v>44531</v>
      </c>
      <c r="L173" s="399">
        <v>0</v>
      </c>
      <c r="M173" s="399">
        <v>0</v>
      </c>
      <c r="N173" s="399">
        <v>9.2040000000000006</v>
      </c>
      <c r="O173" s="399">
        <v>9.2040000000000006</v>
      </c>
      <c r="P173" s="399">
        <v>9.2040000000000006</v>
      </c>
      <c r="Q173" s="399">
        <v>9.2040000000000006</v>
      </c>
      <c r="R173" s="399"/>
      <c r="S173" s="399">
        <v>239.69</v>
      </c>
      <c r="T173" s="399">
        <v>171.61</v>
      </c>
      <c r="U173" s="399"/>
      <c r="V173" s="399">
        <v>3785.6052000000004</v>
      </c>
      <c r="W173" s="399">
        <v>3785.6052000000004</v>
      </c>
      <c r="X173" s="399">
        <v>3771.7071599999999</v>
      </c>
      <c r="Y173" s="399">
        <v>0</v>
      </c>
      <c r="Z173" s="399">
        <v>556.44898288451895</v>
      </c>
      <c r="AA173" s="399">
        <v>0</v>
      </c>
      <c r="AB173" s="399">
        <v>0</v>
      </c>
      <c r="AC173" s="399">
        <v>0</v>
      </c>
      <c r="AD173" s="399">
        <v>490.9044798319477</v>
      </c>
      <c r="AE173" s="399">
        <v>815.60994038579952</v>
      </c>
      <c r="AF173" s="399">
        <v>1522.104391766723</v>
      </c>
      <c r="AG173" s="399">
        <v>57.390225336835542</v>
      </c>
      <c r="AH173" s="399">
        <v>0</v>
      </c>
      <c r="AI173" s="399">
        <v>0</v>
      </c>
      <c r="AJ173" s="399">
        <v>0</v>
      </c>
      <c r="AK173" s="399">
        <v>0</v>
      </c>
      <c r="AL173" s="399">
        <v>86.040011595286529</v>
      </c>
      <c r="AM173" s="399"/>
      <c r="AN173" s="399">
        <v>3.6452593536298643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147.3552385400881</v>
      </c>
      <c r="BH173" s="399">
        <v>0</v>
      </c>
      <c r="BI173" s="399">
        <v>0</v>
      </c>
      <c r="BJ173" s="399">
        <v>0</v>
      </c>
      <c r="BK173" s="399">
        <v>2196.36</v>
      </c>
      <c r="BL173" s="399">
        <v>6</v>
      </c>
      <c r="BM173" s="399"/>
      <c r="BN173" s="399"/>
      <c r="BO173" s="399"/>
      <c r="BP173" s="399"/>
      <c r="BQ173" s="399"/>
      <c r="BR173" s="399">
        <v>452.56067999999993</v>
      </c>
      <c r="BS173" s="399"/>
      <c r="BT173" s="399"/>
      <c r="BU173" s="399"/>
      <c r="BV173" s="399">
        <v>1669.4596303068111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3317.7039999999997</v>
      </c>
      <c r="CJ173" s="399">
        <v>-13.713800000000447</v>
      </c>
      <c r="CK173" s="399"/>
      <c r="CL173" s="399"/>
      <c r="CM173" s="399"/>
      <c r="CN173" s="399"/>
      <c r="CO173" s="399">
        <v>-221.08008000000012</v>
      </c>
      <c r="CP173" s="399">
        <v>207.18203999999994</v>
      </c>
      <c r="CQ173" s="399"/>
      <c r="CR173" s="399">
        <v>162.48413127526919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22.106717394085194</v>
      </c>
      <c r="DA173" s="399">
        <v>0</v>
      </c>
      <c r="DB173" s="399">
        <v>0</v>
      </c>
      <c r="DC173" s="399">
        <v>207.23125057070501</v>
      </c>
      <c r="DD173" s="399">
        <v>0</v>
      </c>
      <c r="DE173" s="399">
        <v>0</v>
      </c>
      <c r="DF173" s="399">
        <v>0</v>
      </c>
      <c r="DG173" s="399">
        <v>20.062099896684913</v>
      </c>
      <c r="DH173" s="399">
        <v>0</v>
      </c>
      <c r="DI173" s="399">
        <v>-76.429799994561961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-9.9155616505149737</v>
      </c>
      <c r="DP173" s="399">
        <v>-0.57057494112878215</v>
      </c>
      <c r="DQ173" s="399">
        <v>0</v>
      </c>
      <c r="DR173" s="399">
        <v>0</v>
      </c>
      <c r="DS173" s="399"/>
      <c r="DT173" s="399"/>
      <c r="DU173" s="399"/>
      <c r="DV173" s="399">
        <v>815.60994038579952</v>
      </c>
      <c r="DW173" s="399">
        <v>0</v>
      </c>
      <c r="DX173" s="399">
        <v>0</v>
      </c>
      <c r="DY173" s="399">
        <v>-221.08008000000018</v>
      </c>
      <c r="DZ173" s="399">
        <v>207.18203999999992</v>
      </c>
      <c r="EA173" s="399">
        <v>0</v>
      </c>
      <c r="EB173" s="399">
        <v>0</v>
      </c>
      <c r="EC173" s="399">
        <v>-176.33046842139368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106.11288467353252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215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956</v>
      </c>
      <c r="C174" s="399" t="s">
        <v>2352</v>
      </c>
      <c r="D174" s="399" t="s">
        <v>533</v>
      </c>
      <c r="E174" s="399" t="s">
        <v>894</v>
      </c>
      <c r="F174" s="399" t="s">
        <v>1239</v>
      </c>
      <c r="G174" s="399" t="s">
        <v>1239</v>
      </c>
      <c r="H174" s="399" t="s">
        <v>1239</v>
      </c>
      <c r="I174" s="399" t="s">
        <v>893</v>
      </c>
      <c r="J174" s="399" t="s">
        <v>2344</v>
      </c>
      <c r="K174" s="791">
        <v>44531</v>
      </c>
      <c r="L174" s="399">
        <v>0</v>
      </c>
      <c r="M174" s="399">
        <v>0</v>
      </c>
      <c r="N174" s="399">
        <v>14.901</v>
      </c>
      <c r="O174" s="399">
        <v>14.304959999999999</v>
      </c>
      <c r="P174" s="399">
        <v>14.901</v>
      </c>
      <c r="Q174" s="399">
        <v>14.304959999999999</v>
      </c>
      <c r="R174" s="399"/>
      <c r="S174" s="399">
        <v>984.21</v>
      </c>
      <c r="T174" s="399">
        <v>171.61</v>
      </c>
      <c r="U174" s="399"/>
      <c r="V174" s="399">
        <v>17222.873820000001</v>
      </c>
      <c r="W174" s="399">
        <v>17222.873820000001</v>
      </c>
      <c r="X174" s="399">
        <v>16061.042850000002</v>
      </c>
      <c r="Y174" s="399">
        <v>0</v>
      </c>
      <c r="Z174" s="399">
        <v>783.76056885562002</v>
      </c>
      <c r="AA174" s="399">
        <v>0</v>
      </c>
      <c r="AB174" s="399">
        <v>0</v>
      </c>
      <c r="AC174" s="399">
        <v>0</v>
      </c>
      <c r="AD174" s="399">
        <v>5866.6528231231205</v>
      </c>
      <c r="AE174" s="399">
        <v>7630.5356821611394</v>
      </c>
      <c r="AF174" s="399">
        <v>2464.2413669834787</v>
      </c>
      <c r="AG174" s="399">
        <v>92.913053861819463</v>
      </c>
      <c r="AH174" s="399">
        <v>0</v>
      </c>
      <c r="AI174" s="399">
        <v>0</v>
      </c>
      <c r="AJ174" s="399">
        <v>0</v>
      </c>
      <c r="AK174" s="399">
        <v>0</v>
      </c>
      <c r="AL174" s="399">
        <v>139.29619869419432</v>
      </c>
      <c r="AM174" s="399"/>
      <c r="AN174" s="399">
        <v>3.934765136002778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92.107383888998584</v>
      </c>
      <c r="BH174" s="399">
        <v>0</v>
      </c>
      <c r="BI174" s="399">
        <v>0</v>
      </c>
      <c r="BJ174" s="399">
        <v>0</v>
      </c>
      <c r="BK174" s="399">
        <v>0</v>
      </c>
      <c r="BL174" s="399">
        <v>0</v>
      </c>
      <c r="BM174" s="399"/>
      <c r="BN174" s="399"/>
      <c r="BO174" s="399"/>
      <c r="BP174" s="399"/>
      <c r="BQ174" s="399"/>
      <c r="BR174" s="399">
        <v>642.44171400000039</v>
      </c>
      <c r="BS174" s="399"/>
      <c r="BT174" s="399"/>
      <c r="BU174" s="399"/>
      <c r="BV174" s="399">
        <v>2556.3487508724775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15413.255000000001</v>
      </c>
      <c r="CJ174" s="399">
        <v>-1120.7338671999969</v>
      </c>
      <c r="CK174" s="399"/>
      <c r="CL174" s="399"/>
      <c r="CM174" s="399"/>
      <c r="CN174" s="399"/>
      <c r="CO174" s="399">
        <v>-1497.2524800000003</v>
      </c>
      <c r="CP174" s="399">
        <v>335.42150999999984</v>
      </c>
      <c r="CQ174" s="399"/>
      <c r="CR174" s="399">
        <v>487.91162134011938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264.19077710269903</v>
      </c>
      <c r="DA174" s="399">
        <v>0</v>
      </c>
      <c r="DB174" s="399">
        <v>0</v>
      </c>
      <c r="DC174" s="399">
        <v>335.50118043829571</v>
      </c>
      <c r="DD174" s="399">
        <v>0</v>
      </c>
      <c r="DE174" s="399">
        <v>0</v>
      </c>
      <c r="DF174" s="399">
        <v>0</v>
      </c>
      <c r="DG174" s="399">
        <v>12.540222900189917</v>
      </c>
      <c r="DH174" s="399">
        <v>0</v>
      </c>
      <c r="DI174" s="399">
        <v>-107.65167223549463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-16.052996974611432</v>
      </c>
      <c r="DP174" s="399">
        <v>-0.61588989096065028</v>
      </c>
      <c r="DQ174" s="399">
        <v>0</v>
      </c>
      <c r="DR174" s="399">
        <v>0</v>
      </c>
      <c r="DS174" s="399"/>
      <c r="DT174" s="399"/>
      <c r="DU174" s="399"/>
      <c r="DV174" s="399">
        <v>7630.5356821611394</v>
      </c>
      <c r="DW174" s="399">
        <v>0</v>
      </c>
      <c r="DX174" s="399">
        <v>0</v>
      </c>
      <c r="DY174" s="399">
        <v>-1497.2524799999992</v>
      </c>
      <c r="DZ174" s="399">
        <v>335.42150999999967</v>
      </c>
      <c r="EA174" s="399">
        <v>0</v>
      </c>
      <c r="EB174" s="399">
        <v>0</v>
      </c>
      <c r="EC174" s="399">
        <v>-1649.6806433050397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149.46041310654758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215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956</v>
      </c>
      <c r="C175" s="399" t="s">
        <v>2352</v>
      </c>
      <c r="D175" s="399" t="s">
        <v>533</v>
      </c>
      <c r="E175" s="399" t="s">
        <v>894</v>
      </c>
      <c r="F175" s="399" t="s">
        <v>1239</v>
      </c>
      <c r="G175" s="399" t="s">
        <v>1239</v>
      </c>
      <c r="H175" s="399" t="s">
        <v>1239</v>
      </c>
      <c r="I175" s="399" t="s">
        <v>2326</v>
      </c>
      <c r="J175" s="399" t="s">
        <v>2344</v>
      </c>
      <c r="K175" s="791">
        <v>44531</v>
      </c>
      <c r="L175" s="399">
        <v>0</v>
      </c>
      <c r="M175" s="399">
        <v>0</v>
      </c>
      <c r="N175" s="399">
        <v>238.786</v>
      </c>
      <c r="O175" s="399">
        <v>229.23455999999999</v>
      </c>
      <c r="P175" s="399">
        <v>238.786</v>
      </c>
      <c r="Q175" s="399">
        <v>229.23455999999999</v>
      </c>
      <c r="R175" s="399"/>
      <c r="S175" s="399">
        <v>78.42</v>
      </c>
      <c r="T175" s="399">
        <v>171.61</v>
      </c>
      <c r="U175" s="399"/>
      <c r="V175" s="399">
        <v>59703.663580000008</v>
      </c>
      <c r="W175" s="399">
        <v>59703.663580000008</v>
      </c>
      <c r="X175" s="399">
        <v>63287.841440000004</v>
      </c>
      <c r="Y175" s="399">
        <v>0</v>
      </c>
      <c r="Z175" s="399">
        <v>12559.630306339044</v>
      </c>
      <c r="AA175" s="399">
        <v>0</v>
      </c>
      <c r="AB175" s="399">
        <v>0</v>
      </c>
      <c r="AC175" s="399">
        <v>0</v>
      </c>
      <c r="AD175" s="399">
        <v>0</v>
      </c>
      <c r="AE175" s="399">
        <v>0</v>
      </c>
      <c r="AF175" s="399">
        <v>39489.050335985303</v>
      </c>
      <c r="AG175" s="399">
        <v>1488.9159438593667</v>
      </c>
      <c r="AH175" s="399">
        <v>0</v>
      </c>
      <c r="AI175" s="399">
        <v>0</v>
      </c>
      <c r="AJ175" s="399">
        <v>0</v>
      </c>
      <c r="AK175" s="399">
        <v>0</v>
      </c>
      <c r="AL175" s="399">
        <v>2232.1979800947511</v>
      </c>
      <c r="AM175" s="399"/>
      <c r="AN175" s="399">
        <v>63.053944551745481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1476.0052190670704</v>
      </c>
      <c r="BH175" s="399">
        <v>0</v>
      </c>
      <c r="BI175" s="399">
        <v>0</v>
      </c>
      <c r="BJ175" s="399">
        <v>0</v>
      </c>
      <c r="BK175" s="399">
        <v>0</v>
      </c>
      <c r="BL175" s="399">
        <v>0</v>
      </c>
      <c r="BM175" s="399"/>
      <c r="BN175" s="399"/>
      <c r="BO175" s="399"/>
      <c r="BP175" s="399"/>
      <c r="BQ175" s="399"/>
      <c r="BR175" s="399">
        <v>2531.5136576000036</v>
      </c>
      <c r="BS175" s="399"/>
      <c r="BT175" s="399"/>
      <c r="BU175" s="399"/>
      <c r="BV175" s="399">
        <v>40965.055555052371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60755.119200000001</v>
      </c>
      <c r="CJ175" s="399">
        <v>3439.5721631999986</v>
      </c>
      <c r="CK175" s="399"/>
      <c r="CL175" s="399"/>
      <c r="CM175" s="399"/>
      <c r="CN175" s="399"/>
      <c r="CO175" s="399">
        <v>-1790.895</v>
      </c>
      <c r="CP175" s="399">
        <v>5375.0728599999975</v>
      </c>
      <c r="CQ175" s="399"/>
      <c r="CR175" s="399">
        <v>3585.0886190239835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0</v>
      </c>
      <c r="DA175" s="399">
        <v>0</v>
      </c>
      <c r="DB175" s="399">
        <v>0</v>
      </c>
      <c r="DC175" s="399">
        <v>5376.3495652733982</v>
      </c>
      <c r="DD175" s="399">
        <v>0</v>
      </c>
      <c r="DE175" s="399">
        <v>0</v>
      </c>
      <c r="DF175" s="399">
        <v>0</v>
      </c>
      <c r="DG175" s="399">
        <v>200.95494701327084</v>
      </c>
      <c r="DH175" s="399">
        <v>0</v>
      </c>
      <c r="DI175" s="399">
        <v>-1725.0998058133573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-257.24655631028554</v>
      </c>
      <c r="DP175" s="399">
        <v>-9.8695311390463658</v>
      </c>
      <c r="DQ175" s="399">
        <v>0</v>
      </c>
      <c r="DR175" s="399">
        <v>0</v>
      </c>
      <c r="DS175" s="399"/>
      <c r="DT175" s="399"/>
      <c r="DU175" s="399"/>
      <c r="DV175" s="399">
        <v>0</v>
      </c>
      <c r="DW175" s="399">
        <v>0</v>
      </c>
      <c r="DX175" s="399">
        <v>0</v>
      </c>
      <c r="DY175" s="399">
        <v>-1790.8949999999968</v>
      </c>
      <c r="DZ175" s="399">
        <v>5375.0728599999929</v>
      </c>
      <c r="EA175" s="399">
        <v>0</v>
      </c>
      <c r="EB175" s="399">
        <v>0</v>
      </c>
      <c r="EC175" s="399">
        <v>0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2395.0777937091516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215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956</v>
      </c>
      <c r="C176" s="399" t="s">
        <v>2352</v>
      </c>
      <c r="D176" s="399" t="s">
        <v>533</v>
      </c>
      <c r="E176" s="399" t="s">
        <v>894</v>
      </c>
      <c r="F176" s="399" t="s">
        <v>1239</v>
      </c>
      <c r="G176" s="399" t="s">
        <v>1239</v>
      </c>
      <c r="H176" s="399" t="s">
        <v>1239</v>
      </c>
      <c r="I176" s="399" t="s">
        <v>1239</v>
      </c>
      <c r="J176" s="399" t="s">
        <v>2344</v>
      </c>
      <c r="K176" s="791">
        <v>44531</v>
      </c>
      <c r="L176" s="399">
        <v>1328</v>
      </c>
      <c r="M176" s="399">
        <v>1274.8800000000001</v>
      </c>
      <c r="N176" s="399">
        <v>0</v>
      </c>
      <c r="O176" s="399">
        <v>0</v>
      </c>
      <c r="P176" s="399">
        <v>0</v>
      </c>
      <c r="Q176" s="399">
        <v>0</v>
      </c>
      <c r="R176" s="399">
        <v>12.58</v>
      </c>
      <c r="S176" s="399"/>
      <c r="T176" s="399"/>
      <c r="U176" s="399">
        <v>16706.240000000002</v>
      </c>
      <c r="V176" s="399"/>
      <c r="W176" s="399">
        <v>16706.240000000002</v>
      </c>
      <c r="X176" s="399">
        <v>15391.52</v>
      </c>
      <c r="Y176" s="399">
        <v>0</v>
      </c>
      <c r="Z176" s="399">
        <v>0</v>
      </c>
      <c r="AA176" s="399">
        <v>0</v>
      </c>
      <c r="AB176" s="399">
        <v>0</v>
      </c>
      <c r="AC176" s="399">
        <v>0</v>
      </c>
      <c r="AD176" s="399">
        <v>8801.239553068739</v>
      </c>
      <c r="AE176" s="399">
        <v>7901.2135857421026</v>
      </c>
      <c r="AF176" s="399"/>
      <c r="AG176" s="399"/>
      <c r="AH176" s="399"/>
      <c r="AI176" s="399">
        <v>0</v>
      </c>
      <c r="AJ176" s="399">
        <v>0</v>
      </c>
      <c r="AK176" s="399">
        <v>0</v>
      </c>
      <c r="AL176" s="399">
        <v>0</v>
      </c>
      <c r="AM176" s="399"/>
      <c r="AN176" s="399">
        <v>0</v>
      </c>
      <c r="AO176" s="399">
        <v>0</v>
      </c>
      <c r="AP176" s="399">
        <v>0</v>
      </c>
      <c r="AQ176" s="399">
        <v>0</v>
      </c>
      <c r="AR176" s="399">
        <v>0</v>
      </c>
      <c r="AS176" s="399"/>
      <c r="AT176" s="399"/>
      <c r="AU176" s="399">
        <v>0</v>
      </c>
      <c r="AV176" s="399">
        <v>0</v>
      </c>
      <c r="AW176" s="399">
        <v>0</v>
      </c>
      <c r="AX176" s="399"/>
      <c r="AY176" s="399"/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/>
      <c r="BG176" s="399">
        <v>0</v>
      </c>
      <c r="BH176" s="399">
        <v>0</v>
      </c>
      <c r="BI176" s="399">
        <v>0</v>
      </c>
      <c r="BJ176" s="399">
        <v>0</v>
      </c>
      <c r="BK176" s="399">
        <v>44406.33</v>
      </c>
      <c r="BL176" s="399">
        <v>11</v>
      </c>
      <c r="BM176" s="399"/>
      <c r="BN176" s="399"/>
      <c r="BO176" s="399"/>
      <c r="BP176" s="399"/>
      <c r="BQ176" s="399"/>
      <c r="BR176" s="399">
        <v>615.66079999999874</v>
      </c>
      <c r="BS176" s="399"/>
      <c r="BT176" s="399"/>
      <c r="BU176" s="399"/>
      <c r="BV176" s="399">
        <v>0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14775.859200000001</v>
      </c>
      <c r="CJ176" s="399">
        <v>-1262.1612000000005</v>
      </c>
      <c r="CK176" s="399"/>
      <c r="CL176" s="399"/>
      <c r="CM176" s="399"/>
      <c r="CN176" s="399"/>
      <c r="CO176" s="399">
        <v>-1314.7200000000003</v>
      </c>
      <c r="CP176" s="399">
        <v>0</v>
      </c>
      <c r="CQ176" s="399"/>
      <c r="CR176" s="399">
        <v>396.34292109931266</v>
      </c>
      <c r="CS176" s="399">
        <v>0</v>
      </c>
      <c r="CT176" s="399">
        <v>0</v>
      </c>
      <c r="CU176" s="399">
        <v>0</v>
      </c>
      <c r="CV176" s="399">
        <v>0</v>
      </c>
      <c r="CW176" s="399"/>
      <c r="CX176" s="399"/>
      <c r="CY176" s="399"/>
      <c r="CZ176" s="399">
        <v>396.34292109931266</v>
      </c>
      <c r="DA176" s="399">
        <v>0</v>
      </c>
      <c r="DB176" s="399">
        <v>0</v>
      </c>
      <c r="DC176" s="399"/>
      <c r="DD176" s="399"/>
      <c r="DE176" s="399">
        <v>0</v>
      </c>
      <c r="DF176" s="399">
        <v>0</v>
      </c>
      <c r="DG176" s="399">
        <v>0</v>
      </c>
      <c r="DH176" s="399">
        <v>0</v>
      </c>
      <c r="DI176" s="399">
        <v>0</v>
      </c>
      <c r="DJ176" s="399"/>
      <c r="DK176" s="399">
        <v>0</v>
      </c>
      <c r="DL176" s="399">
        <v>0</v>
      </c>
      <c r="DM176" s="399"/>
      <c r="DN176" s="399">
        <v>0</v>
      </c>
      <c r="DO176" s="399">
        <v>0</v>
      </c>
      <c r="DP176" s="399">
        <v>0</v>
      </c>
      <c r="DQ176" s="399">
        <v>0</v>
      </c>
      <c r="DR176" s="399">
        <v>0</v>
      </c>
      <c r="DS176" s="399"/>
      <c r="DT176" s="399"/>
      <c r="DU176" s="399">
        <v>7901.2135857421026</v>
      </c>
      <c r="DV176" s="399"/>
      <c r="DW176" s="399">
        <v>0</v>
      </c>
      <c r="DX176" s="399">
        <v>0</v>
      </c>
      <c r="DY176" s="399">
        <v>-1314.7200000000012</v>
      </c>
      <c r="DZ176" s="399"/>
      <c r="EA176" s="399">
        <v>0</v>
      </c>
      <c r="EB176" s="399"/>
      <c r="EC176" s="399">
        <v>-1708.1997455945202</v>
      </c>
      <c r="ED176" s="399"/>
      <c r="EE176" s="399">
        <v>0</v>
      </c>
      <c r="EF176" s="399">
        <v>0</v>
      </c>
      <c r="EG176" s="399"/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/>
      <c r="EN176" s="399"/>
      <c r="EO176" s="399">
        <v>0</v>
      </c>
      <c r="EP176" s="399">
        <v>0</v>
      </c>
      <c r="EQ176" s="399"/>
      <c r="ER176" s="399">
        <v>0</v>
      </c>
      <c r="ES176" s="399"/>
      <c r="ET176" s="399">
        <v>0</v>
      </c>
      <c r="EU176" s="399"/>
      <c r="EV176" s="399">
        <v>215</v>
      </c>
      <c r="EW176" s="399"/>
      <c r="EX176" s="399"/>
      <c r="EY176" s="399"/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956</v>
      </c>
      <c r="C177" s="399" t="s">
        <v>2343</v>
      </c>
      <c r="D177" s="399" t="s">
        <v>1826</v>
      </c>
      <c r="E177" s="399" t="s">
        <v>2354</v>
      </c>
      <c r="F177" s="399" t="s">
        <v>1239</v>
      </c>
      <c r="G177" s="399" t="s">
        <v>1239</v>
      </c>
      <c r="H177" s="399" t="s">
        <v>1239</v>
      </c>
      <c r="I177" s="399" t="s">
        <v>1239</v>
      </c>
      <c r="J177" s="399" t="s">
        <v>2344</v>
      </c>
      <c r="K177" s="791">
        <v>44531</v>
      </c>
      <c r="L177" s="399">
        <v>0</v>
      </c>
      <c r="M177" s="399">
        <v>0</v>
      </c>
      <c r="N177" s="399">
        <v>50.734000000000002</v>
      </c>
      <c r="O177" s="399">
        <v>50.734000000000002</v>
      </c>
      <c r="P177" s="399">
        <v>50.734000000000002</v>
      </c>
      <c r="Q177" s="399">
        <v>50.734000000000002</v>
      </c>
      <c r="R177" s="399"/>
      <c r="S177" s="399">
        <v>239.69</v>
      </c>
      <c r="T177" s="399">
        <v>171.61</v>
      </c>
      <c r="U177" s="399"/>
      <c r="V177" s="399">
        <v>20866.894200000002</v>
      </c>
      <c r="W177" s="399">
        <v>20866.894200000002</v>
      </c>
      <c r="X177" s="399">
        <v>20790.28586</v>
      </c>
      <c r="Y177" s="399">
        <v>0</v>
      </c>
      <c r="Z177" s="399">
        <v>3067.2406233880033</v>
      </c>
      <c r="AA177" s="399">
        <v>0</v>
      </c>
      <c r="AB177" s="399">
        <v>0</v>
      </c>
      <c r="AC177" s="399">
        <v>0</v>
      </c>
      <c r="AD177" s="399">
        <v>2705.9482702948753</v>
      </c>
      <c r="AE177" s="399">
        <v>4495.7795214616635</v>
      </c>
      <c r="AF177" s="399">
        <v>8390.096068219571</v>
      </c>
      <c r="AG177" s="399">
        <v>316.34459933061868</v>
      </c>
      <c r="AH177" s="399">
        <v>0</v>
      </c>
      <c r="AI177" s="399">
        <v>0</v>
      </c>
      <c r="AJ177" s="399">
        <v>0</v>
      </c>
      <c r="AK177" s="399">
        <v>0</v>
      </c>
      <c r="AL177" s="399">
        <v>474.26705218114586</v>
      </c>
      <c r="AM177" s="399"/>
      <c r="AN177" s="399">
        <v>20.09328422936305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812.24692221782152</v>
      </c>
      <c r="BH177" s="399">
        <v>0</v>
      </c>
      <c r="BI177" s="399">
        <v>0</v>
      </c>
      <c r="BJ177" s="399">
        <v>0</v>
      </c>
      <c r="BK177" s="399">
        <v>8551.42</v>
      </c>
      <c r="BL177" s="399">
        <v>45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9202.3429904373916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20788.646699999998</v>
      </c>
      <c r="CJ177" s="399">
        <v>-78.277500000000146</v>
      </c>
      <c r="CK177" s="399"/>
      <c r="CL177" s="399"/>
      <c r="CM177" s="399"/>
      <c r="CN177" s="399"/>
      <c r="CO177" s="399">
        <v>-1218.6306800000007</v>
      </c>
      <c r="CP177" s="399">
        <v>1142.0223399999995</v>
      </c>
      <c r="CQ177" s="399"/>
      <c r="CR177" s="399">
        <v>895.63993004340773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121.85595396257258</v>
      </c>
      <c r="DA177" s="399">
        <v>0</v>
      </c>
      <c r="DB177" s="399">
        <v>0</v>
      </c>
      <c r="DC177" s="399">
        <v>1142.2935969637256</v>
      </c>
      <c r="DD177" s="399">
        <v>0</v>
      </c>
      <c r="DE177" s="399">
        <v>0</v>
      </c>
      <c r="DF177" s="399">
        <v>0</v>
      </c>
      <c r="DG177" s="399">
        <v>110.58567754871933</v>
      </c>
      <c r="DH177" s="399">
        <v>0</v>
      </c>
      <c r="DI177" s="399">
        <v>-421.29394534160201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-54.656247802827693</v>
      </c>
      <c r="DP177" s="399">
        <v>-3.1451052871824885</v>
      </c>
      <c r="DQ177" s="399">
        <v>0</v>
      </c>
      <c r="DR177" s="399">
        <v>0</v>
      </c>
      <c r="DS177" s="399"/>
      <c r="DT177" s="399"/>
      <c r="DU177" s="399"/>
      <c r="DV177" s="399">
        <v>4495.7795214616635</v>
      </c>
      <c r="DW177" s="399">
        <v>0</v>
      </c>
      <c r="DX177" s="399">
        <v>0</v>
      </c>
      <c r="DY177" s="399">
        <v>-1218.6306800000002</v>
      </c>
      <c r="DZ177" s="399">
        <v>1142.0223399999995</v>
      </c>
      <c r="EA177" s="399">
        <v>0</v>
      </c>
      <c r="EB177" s="399">
        <v>0</v>
      </c>
      <c r="EC177" s="399">
        <v>-971.96327519458782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584.91211332322894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215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956</v>
      </c>
      <c r="C178" s="399" t="s">
        <v>2352</v>
      </c>
      <c r="D178" s="399" t="s">
        <v>533</v>
      </c>
      <c r="E178" s="399" t="s">
        <v>2354</v>
      </c>
      <c r="F178" s="399" t="s">
        <v>1239</v>
      </c>
      <c r="G178" s="399" t="s">
        <v>1239</v>
      </c>
      <c r="H178" s="399" t="s">
        <v>1239</v>
      </c>
      <c r="I178" s="399" t="s">
        <v>893</v>
      </c>
      <c r="J178" s="399" t="s">
        <v>2344</v>
      </c>
      <c r="K178" s="791">
        <v>44531</v>
      </c>
      <c r="L178" s="399">
        <v>0</v>
      </c>
      <c r="M178" s="399">
        <v>0</v>
      </c>
      <c r="N178" s="399">
        <v>0.94299999999999995</v>
      </c>
      <c r="O178" s="399">
        <v>0.94299999999999995</v>
      </c>
      <c r="P178" s="399">
        <v>0.94299999999999995</v>
      </c>
      <c r="Q178" s="399">
        <v>0.94299999999999995</v>
      </c>
      <c r="R178" s="399"/>
      <c r="S178" s="399">
        <v>984.21</v>
      </c>
      <c r="T178" s="399">
        <v>171.61</v>
      </c>
      <c r="U178" s="399"/>
      <c r="V178" s="399">
        <v>1089.9382599999999</v>
      </c>
      <c r="W178" s="399">
        <v>1089.9382599999999</v>
      </c>
      <c r="X178" s="399">
        <v>1016.41255</v>
      </c>
      <c r="Y178" s="399">
        <v>0</v>
      </c>
      <c r="Z178" s="399">
        <v>49.599772930061718</v>
      </c>
      <c r="AA178" s="399">
        <v>0</v>
      </c>
      <c r="AB178" s="399">
        <v>0</v>
      </c>
      <c r="AC178" s="399">
        <v>0</v>
      </c>
      <c r="AD178" s="399">
        <v>371.26727147205571</v>
      </c>
      <c r="AE178" s="399">
        <v>482.8934399220156</v>
      </c>
      <c r="AF178" s="399">
        <v>155.9478967227314</v>
      </c>
      <c r="AG178" s="399">
        <v>5.8799416006775216</v>
      </c>
      <c r="AH178" s="399">
        <v>0</v>
      </c>
      <c r="AI178" s="399">
        <v>0</v>
      </c>
      <c r="AJ178" s="399">
        <v>0</v>
      </c>
      <c r="AK178" s="399">
        <v>0</v>
      </c>
      <c r="AL178" s="399">
        <v>8.8152684630981302</v>
      </c>
      <c r="AM178" s="399"/>
      <c r="AN178" s="399">
        <v>0.24900902780018921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5.8289553055047083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161.77685202823611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1013.179</v>
      </c>
      <c r="CJ178" s="399">
        <v>-76.789259999999899</v>
      </c>
      <c r="CK178" s="399"/>
      <c r="CL178" s="399"/>
      <c r="CM178" s="399"/>
      <c r="CN178" s="399"/>
      <c r="CO178" s="399">
        <v>-94.752640000000014</v>
      </c>
      <c r="CP178" s="399">
        <v>21.226929999999989</v>
      </c>
      <c r="CQ178" s="399"/>
      <c r="CR178" s="399">
        <v>30.877166560884007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16.719139843490098</v>
      </c>
      <c r="DA178" s="399">
        <v>0</v>
      </c>
      <c r="DB178" s="399">
        <v>0</v>
      </c>
      <c r="DC178" s="399">
        <v>21.231971891370563</v>
      </c>
      <c r="DD178" s="399">
        <v>0</v>
      </c>
      <c r="DE178" s="399">
        <v>0</v>
      </c>
      <c r="DF178" s="399">
        <v>0</v>
      </c>
      <c r="DG178" s="399">
        <v>0.79359977148373151</v>
      </c>
      <c r="DH178" s="399">
        <v>0</v>
      </c>
      <c r="DI178" s="399">
        <v>-6.812665386086266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-1.0159033720594977</v>
      </c>
      <c r="DP178" s="399">
        <v>-3.8976187314669702E-2</v>
      </c>
      <c r="DQ178" s="399">
        <v>0</v>
      </c>
      <c r="DR178" s="399">
        <v>0</v>
      </c>
      <c r="DS178" s="399"/>
      <c r="DT178" s="399"/>
      <c r="DU178" s="399"/>
      <c r="DV178" s="399">
        <v>482.8934399220156</v>
      </c>
      <c r="DW178" s="399">
        <v>0</v>
      </c>
      <c r="DX178" s="399">
        <v>0</v>
      </c>
      <c r="DY178" s="399">
        <v>-94.752639999999928</v>
      </c>
      <c r="DZ178" s="399">
        <v>21.22693000000001</v>
      </c>
      <c r="EA178" s="399">
        <v>0</v>
      </c>
      <c r="EB178" s="399">
        <v>0</v>
      </c>
      <c r="EC178" s="399">
        <v>-104.39895622016326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9.4585040976762862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215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956</v>
      </c>
      <c r="C179" s="399" t="s">
        <v>2352</v>
      </c>
      <c r="D179" s="399" t="s">
        <v>533</v>
      </c>
      <c r="E179" s="399" t="s">
        <v>2354</v>
      </c>
      <c r="F179" s="399" t="s">
        <v>1239</v>
      </c>
      <c r="G179" s="399" t="s">
        <v>1239</v>
      </c>
      <c r="H179" s="399" t="s">
        <v>1239</v>
      </c>
      <c r="I179" s="399" t="s">
        <v>2326</v>
      </c>
      <c r="J179" s="399" t="s">
        <v>2344</v>
      </c>
      <c r="K179" s="791">
        <v>44531</v>
      </c>
      <c r="L179" s="399">
        <v>0</v>
      </c>
      <c r="M179" s="399">
        <v>0</v>
      </c>
      <c r="N179" s="399">
        <v>7.5709999999999997</v>
      </c>
      <c r="O179" s="399">
        <v>7.5709999999999997</v>
      </c>
      <c r="P179" s="399">
        <v>7.5709999999999997</v>
      </c>
      <c r="Q179" s="399">
        <v>7.5709999999999997</v>
      </c>
      <c r="R179" s="399"/>
      <c r="S179" s="399">
        <v>78.42</v>
      </c>
      <c r="T179" s="399">
        <v>171.61</v>
      </c>
      <c r="U179" s="399"/>
      <c r="V179" s="399">
        <v>1892.9771300000002</v>
      </c>
      <c r="W179" s="399">
        <v>1892.9771300000002</v>
      </c>
      <c r="X179" s="399">
        <v>2006.6178400000001</v>
      </c>
      <c r="Y179" s="399">
        <v>0</v>
      </c>
      <c r="Z179" s="399">
        <v>398.21832540137569</v>
      </c>
      <c r="AA179" s="399">
        <v>0</v>
      </c>
      <c r="AB179" s="399">
        <v>0</v>
      </c>
      <c r="AC179" s="399">
        <v>0</v>
      </c>
      <c r="AD179" s="399">
        <v>0</v>
      </c>
      <c r="AE179" s="399">
        <v>0</v>
      </c>
      <c r="AF179" s="399">
        <v>1252.0482779297979</v>
      </c>
      <c r="AG179" s="399">
        <v>47.207887442979342</v>
      </c>
      <c r="AH179" s="399">
        <v>0</v>
      </c>
      <c r="AI179" s="399">
        <v>0</v>
      </c>
      <c r="AJ179" s="399">
        <v>0</v>
      </c>
      <c r="AK179" s="399">
        <v>0</v>
      </c>
      <c r="AL179" s="399">
        <v>70.774546695775129</v>
      </c>
      <c r="AM179" s="399"/>
      <c r="AN179" s="399">
        <v>1.9992018552229402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46.798537240695815</v>
      </c>
      <c r="BH179" s="399">
        <v>0</v>
      </c>
      <c r="BI179" s="399">
        <v>0</v>
      </c>
      <c r="BJ179" s="399">
        <v>0</v>
      </c>
      <c r="BK179" s="399">
        <v>0</v>
      </c>
      <c r="BL179" s="399">
        <v>0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1298.8468151704938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2006.3528000000001</v>
      </c>
      <c r="CJ179" s="399">
        <v>113.34566999999993</v>
      </c>
      <c r="CK179" s="399"/>
      <c r="CL179" s="399"/>
      <c r="CM179" s="399"/>
      <c r="CN179" s="399"/>
      <c r="CO179" s="399">
        <v>-56.782499999999999</v>
      </c>
      <c r="CP179" s="399">
        <v>170.42320999999993</v>
      </c>
      <c r="CQ179" s="399"/>
      <c r="CR179" s="399">
        <v>113.66958672045462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0</v>
      </c>
      <c r="DA179" s="399">
        <v>0</v>
      </c>
      <c r="DB179" s="399">
        <v>0</v>
      </c>
      <c r="DC179" s="399">
        <v>170.46368949052658</v>
      </c>
      <c r="DD179" s="399">
        <v>0</v>
      </c>
      <c r="DE179" s="399">
        <v>0</v>
      </c>
      <c r="DF179" s="399">
        <v>0</v>
      </c>
      <c r="DG179" s="399">
        <v>6.3715205407246316</v>
      </c>
      <c r="DH179" s="399">
        <v>0</v>
      </c>
      <c r="DI179" s="399">
        <v>-54.696383497411603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-8.1563143476802296</v>
      </c>
      <c r="DP179" s="399">
        <v>-0.31292546570452218</v>
      </c>
      <c r="DQ179" s="399">
        <v>0</v>
      </c>
      <c r="DR179" s="399">
        <v>0</v>
      </c>
      <c r="DS179" s="399"/>
      <c r="DT179" s="399"/>
      <c r="DU179" s="399"/>
      <c r="DV179" s="399">
        <v>0</v>
      </c>
      <c r="DW179" s="399">
        <v>0</v>
      </c>
      <c r="DX179" s="399">
        <v>0</v>
      </c>
      <c r="DY179" s="399">
        <v>-56.782499999999914</v>
      </c>
      <c r="DZ179" s="399">
        <v>170.42320999999993</v>
      </c>
      <c r="EA179" s="399">
        <v>0</v>
      </c>
      <c r="EB179" s="399">
        <v>0</v>
      </c>
      <c r="EC179" s="399">
        <v>0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75.938848911460411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215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956</v>
      </c>
      <c r="C180" s="399" t="s">
        <v>2352</v>
      </c>
      <c r="D180" s="399" t="s">
        <v>533</v>
      </c>
      <c r="E180" s="399" t="s">
        <v>2354</v>
      </c>
      <c r="F180" s="399" t="s">
        <v>1239</v>
      </c>
      <c r="G180" s="399" t="s">
        <v>1239</v>
      </c>
      <c r="H180" s="399" t="s">
        <v>1239</v>
      </c>
      <c r="I180" s="399" t="s">
        <v>1239</v>
      </c>
      <c r="J180" s="399" t="s">
        <v>2344</v>
      </c>
      <c r="K180" s="791">
        <v>44531</v>
      </c>
      <c r="L180" s="399">
        <v>161</v>
      </c>
      <c r="M180" s="399">
        <v>161</v>
      </c>
      <c r="N180" s="399">
        <v>0</v>
      </c>
      <c r="O180" s="399">
        <v>0</v>
      </c>
      <c r="P180" s="399">
        <v>0</v>
      </c>
      <c r="Q180" s="399">
        <v>0</v>
      </c>
      <c r="R180" s="399">
        <v>12.58</v>
      </c>
      <c r="S180" s="399"/>
      <c r="T180" s="399"/>
      <c r="U180" s="399">
        <v>2025.38</v>
      </c>
      <c r="V180" s="399"/>
      <c r="W180" s="399">
        <v>2025.38</v>
      </c>
      <c r="X180" s="399">
        <v>1865.99</v>
      </c>
      <c r="Y180" s="399">
        <v>0</v>
      </c>
      <c r="Z180" s="399">
        <v>0</v>
      </c>
      <c r="AA180" s="399">
        <v>0</v>
      </c>
      <c r="AB180" s="399">
        <v>0</v>
      </c>
      <c r="AC180" s="399">
        <v>0</v>
      </c>
      <c r="AD180" s="399">
        <v>1067.0177470211347</v>
      </c>
      <c r="AE180" s="399">
        <v>957.90315309072184</v>
      </c>
      <c r="AF180" s="399"/>
      <c r="AG180" s="399"/>
      <c r="AH180" s="399"/>
      <c r="AI180" s="399">
        <v>0</v>
      </c>
      <c r="AJ180" s="399">
        <v>0</v>
      </c>
      <c r="AK180" s="399">
        <v>0</v>
      </c>
      <c r="AL180" s="399">
        <v>0</v>
      </c>
      <c r="AM180" s="399"/>
      <c r="AN180" s="399">
        <v>0</v>
      </c>
      <c r="AO180" s="399">
        <v>0</v>
      </c>
      <c r="AP180" s="399">
        <v>0</v>
      </c>
      <c r="AQ180" s="399">
        <v>0</v>
      </c>
      <c r="AR180" s="399">
        <v>0</v>
      </c>
      <c r="AS180" s="399"/>
      <c r="AT180" s="399"/>
      <c r="AU180" s="399">
        <v>0</v>
      </c>
      <c r="AV180" s="399">
        <v>0</v>
      </c>
      <c r="AW180" s="399">
        <v>0</v>
      </c>
      <c r="AX180" s="399"/>
      <c r="AY180" s="399"/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/>
      <c r="BG180" s="399">
        <v>0</v>
      </c>
      <c r="BH180" s="399">
        <v>0</v>
      </c>
      <c r="BI180" s="399">
        <v>0</v>
      </c>
      <c r="BJ180" s="399">
        <v>0</v>
      </c>
      <c r="BK180" s="399">
        <v>1046.01</v>
      </c>
      <c r="BL180" s="399">
        <v>3</v>
      </c>
      <c r="BM180" s="399"/>
      <c r="BN180" s="399"/>
      <c r="BO180" s="399"/>
      <c r="BP180" s="399"/>
      <c r="BQ180" s="399"/>
      <c r="BR180" s="399"/>
      <c r="BS180" s="399"/>
      <c r="BT180" s="399"/>
      <c r="BU180" s="399"/>
      <c r="BV180" s="399">
        <v>0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1865.99</v>
      </c>
      <c r="CJ180" s="399">
        <v>-159.42000000000007</v>
      </c>
      <c r="CK180" s="399"/>
      <c r="CL180" s="399"/>
      <c r="CM180" s="399"/>
      <c r="CN180" s="399"/>
      <c r="CO180" s="399">
        <v>-159.39000000000004</v>
      </c>
      <c r="CP180" s="399">
        <v>0</v>
      </c>
      <c r="CQ180" s="399"/>
      <c r="CR180" s="399">
        <v>48.050610163395731</v>
      </c>
      <c r="CS180" s="399">
        <v>0</v>
      </c>
      <c r="CT180" s="399">
        <v>0</v>
      </c>
      <c r="CU180" s="399">
        <v>0</v>
      </c>
      <c r="CV180" s="399">
        <v>0</v>
      </c>
      <c r="CW180" s="399"/>
      <c r="CX180" s="399"/>
      <c r="CY180" s="399"/>
      <c r="CZ180" s="399">
        <v>48.050610163395731</v>
      </c>
      <c r="DA180" s="399">
        <v>0</v>
      </c>
      <c r="DB180" s="399">
        <v>0</v>
      </c>
      <c r="DC180" s="399"/>
      <c r="DD180" s="399"/>
      <c r="DE180" s="399">
        <v>0</v>
      </c>
      <c r="DF180" s="399">
        <v>0</v>
      </c>
      <c r="DG180" s="399">
        <v>0</v>
      </c>
      <c r="DH180" s="399">
        <v>0</v>
      </c>
      <c r="DI180" s="399">
        <v>0</v>
      </c>
      <c r="DJ180" s="399"/>
      <c r="DK180" s="399">
        <v>0</v>
      </c>
      <c r="DL180" s="399">
        <v>0</v>
      </c>
      <c r="DM180" s="399"/>
      <c r="DN180" s="399">
        <v>0</v>
      </c>
      <c r="DO180" s="399">
        <v>0</v>
      </c>
      <c r="DP180" s="399">
        <v>0</v>
      </c>
      <c r="DQ180" s="399">
        <v>0</v>
      </c>
      <c r="DR180" s="399">
        <v>0</v>
      </c>
      <c r="DS180" s="399"/>
      <c r="DT180" s="399"/>
      <c r="DU180" s="399">
        <v>957.90315309072184</v>
      </c>
      <c r="DV180" s="399"/>
      <c r="DW180" s="399">
        <v>0</v>
      </c>
      <c r="DX180" s="399">
        <v>0</v>
      </c>
      <c r="DY180" s="399">
        <v>-159.3900000000001</v>
      </c>
      <c r="DZ180" s="399"/>
      <c r="EA180" s="399">
        <v>0</v>
      </c>
      <c r="EB180" s="399"/>
      <c r="EC180" s="399">
        <v>-207.09349325355254</v>
      </c>
      <c r="ED180" s="399"/>
      <c r="EE180" s="399">
        <v>0</v>
      </c>
      <c r="EF180" s="399">
        <v>0</v>
      </c>
      <c r="EG180" s="399"/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/>
      <c r="EN180" s="399"/>
      <c r="EO180" s="399">
        <v>0</v>
      </c>
      <c r="EP180" s="399">
        <v>0</v>
      </c>
      <c r="EQ180" s="399"/>
      <c r="ER180" s="399">
        <v>0</v>
      </c>
      <c r="ES180" s="399"/>
      <c r="ET180" s="399">
        <v>0</v>
      </c>
      <c r="EU180" s="399"/>
      <c r="EV180" s="399">
        <v>215</v>
      </c>
      <c r="EW180" s="399"/>
      <c r="EX180" s="399"/>
      <c r="EY180" s="399"/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956</v>
      </c>
      <c r="C181" s="399" t="s">
        <v>2343</v>
      </c>
      <c r="D181" s="399" t="s">
        <v>2355</v>
      </c>
      <c r="E181" s="399" t="s">
        <v>2356</v>
      </c>
      <c r="F181" s="399" t="s">
        <v>2357</v>
      </c>
      <c r="G181" s="399" t="s">
        <v>1239</v>
      </c>
      <c r="H181" s="399" t="s">
        <v>1239</v>
      </c>
      <c r="I181" s="399" t="s">
        <v>1239</v>
      </c>
      <c r="J181" s="399" t="s">
        <v>2344</v>
      </c>
      <c r="K181" s="791">
        <v>44531</v>
      </c>
      <c r="L181" s="399">
        <v>0</v>
      </c>
      <c r="M181" s="399">
        <v>0</v>
      </c>
      <c r="N181" s="399">
        <v>101.938</v>
      </c>
      <c r="O181" s="399">
        <v>101.938</v>
      </c>
      <c r="P181" s="399">
        <v>101.938</v>
      </c>
      <c r="Q181" s="399">
        <v>101.938</v>
      </c>
      <c r="R181" s="399"/>
      <c r="S181" s="399">
        <v>131.83000000000001</v>
      </c>
      <c r="T181" s="399">
        <v>94.39</v>
      </c>
      <c r="U181" s="399"/>
      <c r="V181" s="399">
        <v>23060.414360000002</v>
      </c>
      <c r="W181" s="399">
        <v>23060.414360000002</v>
      </c>
      <c r="X181" s="399">
        <v>22975.805820000001</v>
      </c>
      <c r="Y181" s="399">
        <v>0</v>
      </c>
      <c r="Z181" s="399">
        <v>3389.5928975994348</v>
      </c>
      <c r="AA181" s="399">
        <v>0</v>
      </c>
      <c r="AB181" s="399">
        <v>0</v>
      </c>
      <c r="AC181" s="399">
        <v>0</v>
      </c>
      <c r="AD181" s="399">
        <v>2990.3304515221644</v>
      </c>
      <c r="AE181" s="399">
        <v>4968.264380342911</v>
      </c>
      <c r="AF181" s="399">
        <v>9271.8549129024341</v>
      </c>
      <c r="AG181" s="399">
        <v>349.59089903438604</v>
      </c>
      <c r="AH181" s="399">
        <v>0</v>
      </c>
      <c r="AI181" s="399">
        <v>0</v>
      </c>
      <c r="AJ181" s="399">
        <v>0</v>
      </c>
      <c r="AK181" s="399">
        <v>0</v>
      </c>
      <c r="AL181" s="399">
        <v>524.11024403522083</v>
      </c>
      <c r="AM181" s="399"/>
      <c r="AN181" s="399">
        <v>22.204992002898383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897.61017693010763</v>
      </c>
      <c r="BH181" s="399">
        <v>0</v>
      </c>
      <c r="BI181" s="399">
        <v>0</v>
      </c>
      <c r="BJ181" s="399">
        <v>0</v>
      </c>
      <c r="BK181" s="399">
        <v>12483.6</v>
      </c>
      <c r="BL181" s="399">
        <v>7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>
        <v>10169.465089832542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22976.256600000001</v>
      </c>
      <c r="CJ181" s="399">
        <v>-84.187760000000708</v>
      </c>
      <c r="CK181" s="399"/>
      <c r="CL181" s="399"/>
      <c r="CM181" s="399"/>
      <c r="CN181" s="399"/>
      <c r="CO181" s="399">
        <v>-1346.6009800000008</v>
      </c>
      <c r="CP181" s="399">
        <v>1261.9924399999995</v>
      </c>
      <c r="CQ181" s="399"/>
      <c r="CR181" s="399">
        <v>989.76738979424044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134.66243011136567</v>
      </c>
      <c r="DA181" s="399">
        <v>0</v>
      </c>
      <c r="DB181" s="399">
        <v>0</v>
      </c>
      <c r="DC181" s="399">
        <v>1262.3431737692517</v>
      </c>
      <c r="DD181" s="399">
        <v>0</v>
      </c>
      <c r="DE181" s="399">
        <v>0</v>
      </c>
      <c r="DF181" s="399">
        <v>0</v>
      </c>
      <c r="DG181" s="399">
        <v>122.20770171638048</v>
      </c>
      <c r="DH181" s="399">
        <v>0</v>
      </c>
      <c r="DI181" s="399">
        <v>-465.56991780911767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-60.400357229639951</v>
      </c>
      <c r="DP181" s="399">
        <v>-3.4756407639973936</v>
      </c>
      <c r="DQ181" s="399">
        <v>0</v>
      </c>
      <c r="DR181" s="399">
        <v>0</v>
      </c>
      <c r="DS181" s="399"/>
      <c r="DT181" s="399"/>
      <c r="DU181" s="399"/>
      <c r="DV181" s="399">
        <v>4968.264380342911</v>
      </c>
      <c r="DW181" s="399">
        <v>0</v>
      </c>
      <c r="DX181" s="399">
        <v>0</v>
      </c>
      <c r="DY181" s="399">
        <v>-1346.6009800000011</v>
      </c>
      <c r="DZ181" s="399">
        <v>1261.9924399999982</v>
      </c>
      <c r="EA181" s="399">
        <v>0</v>
      </c>
      <c r="EB181" s="399">
        <v>0</v>
      </c>
      <c r="EC181" s="399">
        <v>-1074.1119523540797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646.3835702757267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215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956</v>
      </c>
      <c r="C182" s="399" t="s">
        <v>2343</v>
      </c>
      <c r="D182" s="399" t="s">
        <v>1826</v>
      </c>
      <c r="E182" s="399" t="s">
        <v>921</v>
      </c>
      <c r="F182" s="399" t="s">
        <v>2358</v>
      </c>
      <c r="G182" s="399" t="s">
        <v>1239</v>
      </c>
      <c r="H182" s="399" t="s">
        <v>1239</v>
      </c>
      <c r="I182" s="399" t="s">
        <v>1239</v>
      </c>
      <c r="J182" s="399" t="s">
        <v>2344</v>
      </c>
      <c r="K182" s="791">
        <v>44531</v>
      </c>
      <c r="L182" s="399">
        <v>0</v>
      </c>
      <c r="M182" s="399">
        <v>0</v>
      </c>
      <c r="N182" s="399">
        <v>42.521000000000001</v>
      </c>
      <c r="O182" s="399">
        <v>39.969740000000002</v>
      </c>
      <c r="P182" s="399">
        <v>42.521000000000001</v>
      </c>
      <c r="Q182" s="399">
        <v>39.969740000000002</v>
      </c>
      <c r="R182" s="399"/>
      <c r="S182" s="399">
        <v>239.69</v>
      </c>
      <c r="T182" s="399">
        <v>171.61</v>
      </c>
      <c r="U182" s="399"/>
      <c r="V182" s="399">
        <v>17488.887300000002</v>
      </c>
      <c r="W182" s="399">
        <v>17488.887300000002</v>
      </c>
      <c r="X182" s="399">
        <v>17424.68059</v>
      </c>
      <c r="Y182" s="399">
        <v>0</v>
      </c>
      <c r="Z182" s="399">
        <v>2570.7048241234929</v>
      </c>
      <c r="AA182" s="399">
        <v>0</v>
      </c>
      <c r="AB182" s="399">
        <v>0</v>
      </c>
      <c r="AC182" s="399">
        <v>0</v>
      </c>
      <c r="AD182" s="399">
        <v>2267.8997595539167</v>
      </c>
      <c r="AE182" s="399">
        <v>3767.9867747875469</v>
      </c>
      <c r="AF182" s="399">
        <v>7031.8775361052622</v>
      </c>
      <c r="AG182" s="399">
        <v>265.13361272789916</v>
      </c>
      <c r="AH182" s="399">
        <v>0</v>
      </c>
      <c r="AI182" s="399">
        <v>0</v>
      </c>
      <c r="AJ182" s="399">
        <v>0</v>
      </c>
      <c r="AK182" s="399">
        <v>0</v>
      </c>
      <c r="AL182" s="399">
        <v>397.49101836627318</v>
      </c>
      <c r="AM182" s="399"/>
      <c r="AN182" s="399">
        <v>16.840512057333274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680.75750738408146</v>
      </c>
      <c r="BH182" s="399">
        <v>0</v>
      </c>
      <c r="BI182" s="399">
        <v>0</v>
      </c>
      <c r="BJ182" s="399">
        <v>0</v>
      </c>
      <c r="BK182" s="399">
        <v>7820.48</v>
      </c>
      <c r="BL182" s="399">
        <v>40</v>
      </c>
      <c r="BM182" s="399"/>
      <c r="BN182" s="399"/>
      <c r="BO182" s="399"/>
      <c r="BP182" s="399"/>
      <c r="BQ182" s="399">
        <v>1045.4808353999997</v>
      </c>
      <c r="BR182" s="399"/>
      <c r="BS182" s="399"/>
      <c r="BT182" s="399"/>
      <c r="BU182" s="399"/>
      <c r="BV182" s="399">
        <v>7712.6350434893438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16379.306299999998</v>
      </c>
      <c r="CJ182" s="399">
        <v>-60.277762000003349</v>
      </c>
      <c r="CK182" s="399"/>
      <c r="CL182" s="399"/>
      <c r="CM182" s="399"/>
      <c r="CN182" s="399"/>
      <c r="CO182" s="399">
        <v>-1021.3544200000005</v>
      </c>
      <c r="CP182" s="399">
        <v>957.14770999999962</v>
      </c>
      <c r="CQ182" s="399"/>
      <c r="CR182" s="399">
        <v>750.6505590999277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102.12947960820202</v>
      </c>
      <c r="DA182" s="399">
        <v>0</v>
      </c>
      <c r="DB182" s="399">
        <v>0</v>
      </c>
      <c r="DC182" s="399">
        <v>957.37505492361379</v>
      </c>
      <c r="DD182" s="399">
        <v>0</v>
      </c>
      <c r="DE182" s="399">
        <v>0</v>
      </c>
      <c r="DF182" s="399">
        <v>0</v>
      </c>
      <c r="DG182" s="399">
        <v>92.68367554399606</v>
      </c>
      <c r="DH182" s="399">
        <v>0</v>
      </c>
      <c r="DI182" s="399">
        <v>-353.09338608960979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-45.808300406513126</v>
      </c>
      <c r="DP182" s="399">
        <v>-2.6359644797628157</v>
      </c>
      <c r="DQ182" s="399">
        <v>0</v>
      </c>
      <c r="DR182" s="399">
        <v>0</v>
      </c>
      <c r="DS182" s="399"/>
      <c r="DT182" s="399"/>
      <c r="DU182" s="399"/>
      <c r="DV182" s="399">
        <v>3767.9867747875469</v>
      </c>
      <c r="DW182" s="399">
        <v>0</v>
      </c>
      <c r="DX182" s="399">
        <v>0</v>
      </c>
      <c r="DY182" s="399">
        <v>-1021.3544200000015</v>
      </c>
      <c r="DZ182" s="399">
        <v>957.14771000000019</v>
      </c>
      <c r="EA182" s="399">
        <v>0</v>
      </c>
      <c r="EB182" s="399">
        <v>0</v>
      </c>
      <c r="EC182" s="399">
        <v>-814.61841022882254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490.22446427675749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215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956</v>
      </c>
      <c r="C183" s="399" t="s">
        <v>2343</v>
      </c>
      <c r="D183" s="399" t="s">
        <v>1826</v>
      </c>
      <c r="E183" s="399" t="s">
        <v>2359</v>
      </c>
      <c r="F183" s="399" t="s">
        <v>1239</v>
      </c>
      <c r="G183" s="399" t="s">
        <v>1239</v>
      </c>
      <c r="H183" s="399" t="s">
        <v>1239</v>
      </c>
      <c r="I183" s="399" t="s">
        <v>1239</v>
      </c>
      <c r="J183" s="399" t="s">
        <v>2344</v>
      </c>
      <c r="K183" s="791">
        <v>44531</v>
      </c>
      <c r="L183" s="399">
        <v>0</v>
      </c>
      <c r="M183" s="399">
        <v>0</v>
      </c>
      <c r="N183" s="399">
        <v>11.303000000000001</v>
      </c>
      <c r="O183" s="399">
        <v>11.303000000000001</v>
      </c>
      <c r="P183" s="399">
        <v>11.303000000000001</v>
      </c>
      <c r="Q183" s="399">
        <v>11.303000000000001</v>
      </c>
      <c r="R183" s="399"/>
      <c r="S183" s="399">
        <v>239.69</v>
      </c>
      <c r="T183" s="399">
        <v>171.61</v>
      </c>
      <c r="U183" s="399"/>
      <c r="V183" s="399">
        <v>4648.9238999999998</v>
      </c>
      <c r="W183" s="399">
        <v>4648.9238999999998</v>
      </c>
      <c r="X183" s="399">
        <v>4631.8563700000004</v>
      </c>
      <c r="Y183" s="399">
        <v>0</v>
      </c>
      <c r="Z183" s="399">
        <v>683.34885414425446</v>
      </c>
      <c r="AA183" s="399">
        <v>0</v>
      </c>
      <c r="AB183" s="399">
        <v>0</v>
      </c>
      <c r="AC183" s="399">
        <v>0</v>
      </c>
      <c r="AD183" s="399">
        <v>602.85672919822957</v>
      </c>
      <c r="AE183" s="399">
        <v>1001.6122507801708</v>
      </c>
      <c r="AF183" s="399">
        <v>1869.2248957126544</v>
      </c>
      <c r="AG183" s="399">
        <v>70.478239567824005</v>
      </c>
      <c r="AH183" s="399">
        <v>0</v>
      </c>
      <c r="AI183" s="399">
        <v>0</v>
      </c>
      <c r="AJ183" s="399">
        <v>0</v>
      </c>
      <c r="AK183" s="399">
        <v>0</v>
      </c>
      <c r="AL183" s="399">
        <v>105.66169611707123</v>
      </c>
      <c r="AM183" s="399"/>
      <c r="AN183" s="399">
        <v>4.4765717594609251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180.96004576473445</v>
      </c>
      <c r="BH183" s="399">
        <v>0</v>
      </c>
      <c r="BI183" s="399">
        <v>0</v>
      </c>
      <c r="BJ183" s="399">
        <v>0</v>
      </c>
      <c r="BK183" s="399">
        <v>2078.92</v>
      </c>
      <c r="BL183" s="399">
        <v>4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2050.1849414773887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4630.6270000000004</v>
      </c>
      <c r="CJ183" s="399">
        <v>-18.326900000000023</v>
      </c>
      <c r="CK183" s="399"/>
      <c r="CL183" s="399"/>
      <c r="CM183" s="399"/>
      <c r="CN183" s="399"/>
      <c r="CO183" s="399">
        <v>-271.49806000000012</v>
      </c>
      <c r="CP183" s="399">
        <v>254.43052999999992</v>
      </c>
      <c r="CQ183" s="399"/>
      <c r="CR183" s="399">
        <v>199.53912818387289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27.148221067508075</v>
      </c>
      <c r="DA183" s="399">
        <v>0</v>
      </c>
      <c r="DB183" s="399">
        <v>0</v>
      </c>
      <c r="DC183" s="399">
        <v>254.49096318999091</v>
      </c>
      <c r="DD183" s="399">
        <v>0</v>
      </c>
      <c r="DE183" s="399">
        <v>0</v>
      </c>
      <c r="DF183" s="399">
        <v>0</v>
      </c>
      <c r="DG183" s="399">
        <v>24.637322374210072</v>
      </c>
      <c r="DH183" s="399">
        <v>0</v>
      </c>
      <c r="DI183" s="399">
        <v>-93.859846733869404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-12.176835434134148</v>
      </c>
      <c r="DP183" s="399">
        <v>-0.70069627983253158</v>
      </c>
      <c r="DQ183" s="399">
        <v>0</v>
      </c>
      <c r="DR183" s="399">
        <v>0</v>
      </c>
      <c r="DS183" s="399"/>
      <c r="DT183" s="399"/>
      <c r="DU183" s="399"/>
      <c r="DV183" s="399">
        <v>1001.6122507801708</v>
      </c>
      <c r="DW183" s="399">
        <v>0</v>
      </c>
      <c r="DX183" s="399">
        <v>0</v>
      </c>
      <c r="DY183" s="399">
        <v>-271.4980599999999</v>
      </c>
      <c r="DZ183" s="399">
        <v>254.43053000000009</v>
      </c>
      <c r="EA183" s="399">
        <v>0</v>
      </c>
      <c r="EB183" s="399">
        <v>0</v>
      </c>
      <c r="EC183" s="399">
        <v>-216.54316433800659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130.312248529437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215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956</v>
      </c>
      <c r="C184" s="399" t="s">
        <v>2343</v>
      </c>
      <c r="D184" s="399" t="s">
        <v>2353</v>
      </c>
      <c r="E184" s="399" t="s">
        <v>894</v>
      </c>
      <c r="F184" s="399" t="s">
        <v>2360</v>
      </c>
      <c r="G184" s="399" t="s">
        <v>2361</v>
      </c>
      <c r="H184" s="399" t="s">
        <v>1239</v>
      </c>
      <c r="I184" s="399" t="s">
        <v>1239</v>
      </c>
      <c r="J184" s="399" t="s">
        <v>2344</v>
      </c>
      <c r="K184" s="791">
        <v>44531</v>
      </c>
      <c r="L184" s="399">
        <v>0</v>
      </c>
      <c r="M184" s="399">
        <v>0</v>
      </c>
      <c r="N184" s="399">
        <v>0</v>
      </c>
      <c r="O184" s="399">
        <v>0</v>
      </c>
      <c r="P184" s="399">
        <v>0</v>
      </c>
      <c r="Q184" s="399">
        <v>0</v>
      </c>
      <c r="R184" s="399"/>
      <c r="S184" s="399"/>
      <c r="T184" s="399"/>
      <c r="U184" s="399"/>
      <c r="V184" s="399"/>
      <c r="W184" s="399"/>
      <c r="X184" s="399"/>
      <c r="Y184" s="399"/>
      <c r="Z184" s="399"/>
      <c r="AA184" s="399">
        <v>0</v>
      </c>
      <c r="AB184" s="399"/>
      <c r="AC184" s="399"/>
      <c r="AD184" s="399"/>
      <c r="AE184" s="399"/>
      <c r="AF184" s="399"/>
      <c r="AG184" s="399"/>
      <c r="AH184" s="399"/>
      <c r="AI184" s="399"/>
      <c r="AJ184" s="399"/>
      <c r="AK184" s="399"/>
      <c r="AL184" s="399"/>
      <c r="AM184" s="399"/>
      <c r="AN184" s="399"/>
      <c r="AO184" s="399"/>
      <c r="AP184" s="399"/>
      <c r="AQ184" s="399"/>
      <c r="AR184" s="399"/>
      <c r="AS184" s="399"/>
      <c r="AT184" s="399"/>
      <c r="AU184" s="399"/>
      <c r="AV184" s="399"/>
      <c r="AW184" s="399"/>
      <c r="AX184" s="399"/>
      <c r="AY184" s="399"/>
      <c r="AZ184" s="399">
        <v>0</v>
      </c>
      <c r="BA184" s="399"/>
      <c r="BB184" s="399"/>
      <c r="BC184" s="399"/>
      <c r="BD184" s="399"/>
      <c r="BE184" s="399"/>
      <c r="BF184" s="399"/>
      <c r="BG184" s="399"/>
      <c r="BH184" s="399"/>
      <c r="BI184" s="399">
        <v>0</v>
      </c>
      <c r="BJ184" s="399">
        <v>0</v>
      </c>
      <c r="BK184" s="399">
        <v>7.52</v>
      </c>
      <c r="BL184" s="399">
        <v>1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/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/>
      <c r="CJ184" s="399">
        <v>-0.03</v>
      </c>
      <c r="CK184" s="399"/>
      <c r="CL184" s="399"/>
      <c r="CM184" s="399"/>
      <c r="CN184" s="399"/>
      <c r="CO184" s="399">
        <v>0</v>
      </c>
      <c r="CP184" s="399">
        <v>0</v>
      </c>
      <c r="CQ184" s="399"/>
      <c r="CR184" s="399"/>
      <c r="CS184" s="399"/>
      <c r="CT184" s="399"/>
      <c r="CU184" s="399"/>
      <c r="CV184" s="399"/>
      <c r="CW184" s="399"/>
      <c r="CX184" s="399"/>
      <c r="CY184" s="399"/>
      <c r="CZ184" s="399"/>
      <c r="DA184" s="399"/>
      <c r="DB184" s="399"/>
      <c r="DC184" s="399"/>
      <c r="DD184" s="399"/>
      <c r="DE184" s="399"/>
      <c r="DF184" s="399"/>
      <c r="DG184" s="399"/>
      <c r="DH184" s="399"/>
      <c r="DI184" s="399"/>
      <c r="DJ184" s="399"/>
      <c r="DK184" s="399">
        <v>0</v>
      </c>
      <c r="DL184" s="399"/>
      <c r="DM184" s="399"/>
      <c r="DN184" s="399"/>
      <c r="DO184" s="399"/>
      <c r="DP184" s="399"/>
      <c r="DQ184" s="399"/>
      <c r="DR184" s="399"/>
      <c r="DS184" s="399"/>
      <c r="DT184" s="399"/>
      <c r="DU184" s="399"/>
      <c r="DV184" s="399"/>
      <c r="DW184" s="399"/>
      <c r="DX184" s="399"/>
      <c r="DY184" s="399"/>
      <c r="DZ184" s="399"/>
      <c r="EA184" s="399"/>
      <c r="EB184" s="399"/>
      <c r="EC184" s="399"/>
      <c r="ED184" s="399"/>
      <c r="EE184" s="399"/>
      <c r="EF184" s="399"/>
      <c r="EG184" s="399"/>
      <c r="EH184" s="399"/>
      <c r="EI184" s="399"/>
      <c r="EJ184" s="399"/>
      <c r="EK184" s="399"/>
      <c r="EL184" s="399"/>
      <c r="EM184" s="399"/>
      <c r="EN184" s="399"/>
      <c r="EO184" s="399"/>
      <c r="EP184" s="399"/>
      <c r="EQ184" s="399"/>
      <c r="ER184" s="399"/>
      <c r="ES184" s="399"/>
      <c r="ET184" s="399"/>
      <c r="EU184" s="399"/>
      <c r="EV184" s="399">
        <v>215</v>
      </c>
      <c r="EW184" s="399"/>
      <c r="EX184" s="399"/>
      <c r="EY184" s="399"/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956</v>
      </c>
      <c r="C185" s="399" t="s">
        <v>2343</v>
      </c>
      <c r="D185" s="399" t="s">
        <v>2353</v>
      </c>
      <c r="E185" s="399" t="s">
        <v>894</v>
      </c>
      <c r="F185" s="399" t="s">
        <v>2360</v>
      </c>
      <c r="G185" s="399" t="s">
        <v>2361</v>
      </c>
      <c r="H185" s="399" t="s">
        <v>1239</v>
      </c>
      <c r="I185" s="399" t="s">
        <v>1239</v>
      </c>
      <c r="J185" s="399" t="s">
        <v>2344</v>
      </c>
      <c r="K185" s="791">
        <v>44531</v>
      </c>
      <c r="L185" s="399">
        <v>0</v>
      </c>
      <c r="M185" s="399">
        <v>0</v>
      </c>
      <c r="N185" s="399">
        <v>0.1</v>
      </c>
      <c r="O185" s="399">
        <v>0.1</v>
      </c>
      <c r="P185" s="399">
        <v>0.1</v>
      </c>
      <c r="Q185" s="399">
        <v>0.1</v>
      </c>
      <c r="R185" s="399"/>
      <c r="S185" s="399">
        <v>239.69</v>
      </c>
      <c r="T185" s="399">
        <v>171.61</v>
      </c>
      <c r="U185" s="399"/>
      <c r="V185" s="399">
        <v>41.13</v>
      </c>
      <c r="W185" s="399">
        <v>41.13</v>
      </c>
      <c r="X185" s="399">
        <v>40.978999999999999</v>
      </c>
      <c r="Y185" s="399">
        <v>0</v>
      </c>
      <c r="Z185" s="399">
        <v>6.0457299313832999</v>
      </c>
      <c r="AA185" s="399">
        <v>0</v>
      </c>
      <c r="AB185" s="399">
        <v>0</v>
      </c>
      <c r="AC185" s="399">
        <v>0</v>
      </c>
      <c r="AD185" s="399">
        <v>5.3335993028242905</v>
      </c>
      <c r="AE185" s="399">
        <v>8.8614726247913893</v>
      </c>
      <c r="AF185" s="399">
        <v>16.537422770173002</v>
      </c>
      <c r="AG185" s="399">
        <v>0.62353569466357606</v>
      </c>
      <c r="AH185" s="399">
        <v>0</v>
      </c>
      <c r="AI185" s="399">
        <v>0</v>
      </c>
      <c r="AJ185" s="399">
        <v>0</v>
      </c>
      <c r="AK185" s="399">
        <v>0</v>
      </c>
      <c r="AL185" s="399">
        <v>0.9348110777410531</v>
      </c>
      <c r="AM185" s="399"/>
      <c r="AN185" s="399">
        <v>3.9605164641784707E-2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1.6009912922651901</v>
      </c>
      <c r="BH185" s="399">
        <v>0</v>
      </c>
      <c r="BI185" s="399">
        <v>0</v>
      </c>
      <c r="BJ185" s="399">
        <v>0</v>
      </c>
      <c r="BK185" s="399">
        <v>0</v>
      </c>
      <c r="BL185" s="399">
        <v>0</v>
      </c>
      <c r="BM185" s="399"/>
      <c r="BN185" s="399"/>
      <c r="BO185" s="399"/>
      <c r="BP185" s="399"/>
      <c r="BQ185" s="399"/>
      <c r="BR185" s="399">
        <v>4.9169999999999989</v>
      </c>
      <c r="BS185" s="399"/>
      <c r="BT185" s="399"/>
      <c r="BU185" s="399"/>
      <c r="BV185" s="399">
        <v>18.138414062438191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36.061999999999998</v>
      </c>
      <c r="CJ185" s="399">
        <v>-0.16300000000001091</v>
      </c>
      <c r="CK185" s="399"/>
      <c r="CL185" s="399"/>
      <c r="CM185" s="399"/>
      <c r="CN185" s="399"/>
      <c r="CO185" s="399">
        <v>-2.402000000000001</v>
      </c>
      <c r="CP185" s="399">
        <v>2.250999999999999</v>
      </c>
      <c r="CQ185" s="399"/>
      <c r="CR185" s="399">
        <v>1.7653643119868505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0.24018597777145967</v>
      </c>
      <c r="DA185" s="399">
        <v>0</v>
      </c>
      <c r="DB185" s="399">
        <v>0</v>
      </c>
      <c r="DC185" s="399">
        <v>2.2515346650445984</v>
      </c>
      <c r="DD185" s="399">
        <v>0</v>
      </c>
      <c r="DE185" s="399">
        <v>0</v>
      </c>
      <c r="DF185" s="399">
        <v>0</v>
      </c>
      <c r="DG185" s="399">
        <v>0.21797153299310001</v>
      </c>
      <c r="DH185" s="399">
        <v>0</v>
      </c>
      <c r="DI185" s="399">
        <v>-0.83039765313518021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-0.10773100446018002</v>
      </c>
      <c r="DP185" s="399">
        <v>-6.1992062269533091E-3</v>
      </c>
      <c r="DQ185" s="399">
        <v>0</v>
      </c>
      <c r="DR185" s="399">
        <v>0</v>
      </c>
      <c r="DS185" s="399"/>
      <c r="DT185" s="399"/>
      <c r="DU185" s="399"/>
      <c r="DV185" s="399">
        <v>8.8614726247913893</v>
      </c>
      <c r="DW185" s="399">
        <v>0</v>
      </c>
      <c r="DX185" s="399">
        <v>0</v>
      </c>
      <c r="DY185" s="399">
        <v>-2.402000000000001</v>
      </c>
      <c r="DZ185" s="399">
        <v>2.2510000000000012</v>
      </c>
      <c r="EA185" s="399">
        <v>0</v>
      </c>
      <c r="EB185" s="399">
        <v>0</v>
      </c>
      <c r="EC185" s="399">
        <v>-1.915802568680939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1.1528996596429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215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185</v>
      </c>
      <c r="B186" s="399" t="s">
        <v>956</v>
      </c>
      <c r="C186" s="399" t="s">
        <v>2343</v>
      </c>
      <c r="D186" s="399" t="s">
        <v>2353</v>
      </c>
      <c r="E186" s="399" t="s">
        <v>894</v>
      </c>
      <c r="F186" s="399" t="s">
        <v>2363</v>
      </c>
      <c r="G186" s="399" t="s">
        <v>2361</v>
      </c>
      <c r="H186" s="399" t="s">
        <v>1239</v>
      </c>
      <c r="I186" s="399" t="s">
        <v>1239</v>
      </c>
      <c r="J186" s="399" t="s">
        <v>2344</v>
      </c>
      <c r="K186" s="791">
        <v>44531</v>
      </c>
      <c r="L186" s="399">
        <v>0</v>
      </c>
      <c r="M186" s="399">
        <v>0</v>
      </c>
      <c r="N186" s="399">
        <v>0</v>
      </c>
      <c r="O186" s="399">
        <v>0</v>
      </c>
      <c r="P186" s="399">
        <v>0</v>
      </c>
      <c r="Q186" s="399">
        <v>0</v>
      </c>
      <c r="R186" s="399"/>
      <c r="S186" s="399"/>
      <c r="T186" s="399"/>
      <c r="U186" s="399"/>
      <c r="V186" s="399"/>
      <c r="W186" s="399"/>
      <c r="X186" s="399"/>
      <c r="Y186" s="399"/>
      <c r="Z186" s="399"/>
      <c r="AA186" s="399">
        <v>0</v>
      </c>
      <c r="AB186" s="399"/>
      <c r="AC186" s="399"/>
      <c r="AD186" s="399"/>
      <c r="AE186" s="399"/>
      <c r="AF186" s="399"/>
      <c r="AG186" s="399"/>
      <c r="AH186" s="399"/>
      <c r="AI186" s="399"/>
      <c r="AJ186" s="399"/>
      <c r="AK186" s="399"/>
      <c r="AL186" s="399"/>
      <c r="AM186" s="399"/>
      <c r="AN186" s="399"/>
      <c r="AO186" s="399"/>
      <c r="AP186" s="399"/>
      <c r="AQ186" s="399"/>
      <c r="AR186" s="399"/>
      <c r="AS186" s="399"/>
      <c r="AT186" s="399"/>
      <c r="AU186" s="399"/>
      <c r="AV186" s="399"/>
      <c r="AW186" s="399"/>
      <c r="AX186" s="399"/>
      <c r="AY186" s="399"/>
      <c r="AZ186" s="399">
        <v>0</v>
      </c>
      <c r="BA186" s="399"/>
      <c r="BB186" s="399"/>
      <c r="BC186" s="399"/>
      <c r="BD186" s="399"/>
      <c r="BE186" s="399"/>
      <c r="BF186" s="399"/>
      <c r="BG186" s="399"/>
      <c r="BH186" s="399"/>
      <c r="BI186" s="399">
        <v>0</v>
      </c>
      <c r="BJ186" s="399">
        <v>0</v>
      </c>
      <c r="BK186" s="399">
        <v>19140.150000000001</v>
      </c>
      <c r="BL186" s="399">
        <v>21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/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/>
      <c r="CJ186" s="399">
        <v>-0.03</v>
      </c>
      <c r="CK186" s="399"/>
      <c r="CL186" s="399"/>
      <c r="CM186" s="399"/>
      <c r="CN186" s="399"/>
      <c r="CO186" s="399">
        <v>0</v>
      </c>
      <c r="CP186" s="399">
        <v>0</v>
      </c>
      <c r="CQ186" s="399"/>
      <c r="CR186" s="399"/>
      <c r="CS186" s="399"/>
      <c r="CT186" s="399"/>
      <c r="CU186" s="399"/>
      <c r="CV186" s="399"/>
      <c r="CW186" s="399"/>
      <c r="CX186" s="399"/>
      <c r="CY186" s="399"/>
      <c r="CZ186" s="399"/>
      <c r="DA186" s="399"/>
      <c r="DB186" s="399"/>
      <c r="DC186" s="399"/>
      <c r="DD186" s="399"/>
      <c r="DE186" s="399"/>
      <c r="DF186" s="399"/>
      <c r="DG186" s="399"/>
      <c r="DH186" s="399"/>
      <c r="DI186" s="399"/>
      <c r="DJ186" s="399"/>
      <c r="DK186" s="399">
        <v>0</v>
      </c>
      <c r="DL186" s="399"/>
      <c r="DM186" s="399"/>
      <c r="DN186" s="399"/>
      <c r="DO186" s="399"/>
      <c r="DP186" s="399"/>
      <c r="DQ186" s="399"/>
      <c r="DR186" s="399"/>
      <c r="DS186" s="399"/>
      <c r="DT186" s="399"/>
      <c r="DU186" s="399"/>
      <c r="DV186" s="399"/>
      <c r="DW186" s="399"/>
      <c r="DX186" s="399"/>
      <c r="DY186" s="399"/>
      <c r="DZ186" s="399"/>
      <c r="EA186" s="399"/>
      <c r="EB186" s="399"/>
      <c r="EC186" s="399"/>
      <c r="ED186" s="399"/>
      <c r="EE186" s="399"/>
      <c r="EF186" s="399"/>
      <c r="EG186" s="399"/>
      <c r="EH186" s="399"/>
      <c r="EI186" s="399"/>
      <c r="EJ186" s="399"/>
      <c r="EK186" s="399"/>
      <c r="EL186" s="399"/>
      <c r="EM186" s="399"/>
      <c r="EN186" s="399"/>
      <c r="EO186" s="399"/>
      <c r="EP186" s="399"/>
      <c r="EQ186" s="399"/>
      <c r="ER186" s="399"/>
      <c r="ES186" s="399"/>
      <c r="ET186" s="399"/>
      <c r="EU186" s="399"/>
      <c r="EV186" s="399">
        <v>215</v>
      </c>
      <c r="EW186" s="399"/>
      <c r="EX186" s="399"/>
      <c r="EY186" s="399"/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186</v>
      </c>
      <c r="B187" s="399" t="s">
        <v>2346</v>
      </c>
      <c r="C187" s="399" t="s">
        <v>2343</v>
      </c>
      <c r="D187" s="399" t="s">
        <v>2353</v>
      </c>
      <c r="E187" s="399" t="s">
        <v>894</v>
      </c>
      <c r="F187" s="399" t="s">
        <v>2363</v>
      </c>
      <c r="G187" s="399" t="s">
        <v>2361</v>
      </c>
      <c r="H187" s="399" t="s">
        <v>1239</v>
      </c>
      <c r="I187" s="399" t="s">
        <v>1239</v>
      </c>
      <c r="J187" s="399" t="s">
        <v>2344</v>
      </c>
      <c r="K187" s="791">
        <v>44531</v>
      </c>
      <c r="L187" s="399">
        <v>0</v>
      </c>
      <c r="M187" s="399">
        <v>0</v>
      </c>
      <c r="N187" s="399">
        <v>0</v>
      </c>
      <c r="O187" s="399">
        <v>0</v>
      </c>
      <c r="P187" s="399">
        <v>0</v>
      </c>
      <c r="Q187" s="399">
        <v>0</v>
      </c>
      <c r="R187" s="399"/>
      <c r="S187" s="399"/>
      <c r="T187" s="399"/>
      <c r="U187" s="399"/>
      <c r="V187" s="399"/>
      <c r="W187" s="399"/>
      <c r="X187" s="399"/>
      <c r="Y187" s="399"/>
      <c r="Z187" s="399"/>
      <c r="AA187" s="399">
        <v>0</v>
      </c>
      <c r="AB187" s="399"/>
      <c r="AC187" s="399"/>
      <c r="AD187" s="399"/>
      <c r="AE187" s="399"/>
      <c r="AF187" s="399"/>
      <c r="AG187" s="399"/>
      <c r="AH187" s="399"/>
      <c r="AI187" s="399"/>
      <c r="AJ187" s="399"/>
      <c r="AK187" s="399"/>
      <c r="AL187" s="399"/>
      <c r="AM187" s="399"/>
      <c r="AN187" s="399"/>
      <c r="AO187" s="399"/>
      <c r="AP187" s="399"/>
      <c r="AQ187" s="399"/>
      <c r="AR187" s="399"/>
      <c r="AS187" s="399"/>
      <c r="AT187" s="399"/>
      <c r="AU187" s="399"/>
      <c r="AV187" s="399"/>
      <c r="AW187" s="399"/>
      <c r="AX187" s="399"/>
      <c r="AY187" s="399"/>
      <c r="AZ187" s="399">
        <v>0</v>
      </c>
      <c r="BA187" s="399"/>
      <c r="BB187" s="399"/>
      <c r="BC187" s="399"/>
      <c r="BD187" s="399"/>
      <c r="BE187" s="399"/>
      <c r="BF187" s="399"/>
      <c r="BG187" s="399"/>
      <c r="BH187" s="399"/>
      <c r="BI187" s="399">
        <v>0</v>
      </c>
      <c r="BJ187" s="399">
        <v>0</v>
      </c>
      <c r="BK187" s="399">
        <v>124.42</v>
      </c>
      <c r="BL187" s="399">
        <v>1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/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/>
      <c r="CJ187" s="399">
        <v>-0.03</v>
      </c>
      <c r="CK187" s="399"/>
      <c r="CL187" s="399"/>
      <c r="CM187" s="399"/>
      <c r="CN187" s="399"/>
      <c r="CO187" s="399">
        <v>0</v>
      </c>
      <c r="CP187" s="399">
        <v>0</v>
      </c>
      <c r="CQ187" s="399"/>
      <c r="CR187" s="399"/>
      <c r="CS187" s="399"/>
      <c r="CT187" s="399"/>
      <c r="CU187" s="399"/>
      <c r="CV187" s="399"/>
      <c r="CW187" s="399"/>
      <c r="CX187" s="399"/>
      <c r="CY187" s="399"/>
      <c r="CZ187" s="399"/>
      <c r="DA187" s="399"/>
      <c r="DB187" s="399"/>
      <c r="DC187" s="399"/>
      <c r="DD187" s="399"/>
      <c r="DE187" s="399"/>
      <c r="DF187" s="399"/>
      <c r="DG187" s="399"/>
      <c r="DH187" s="399"/>
      <c r="DI187" s="399"/>
      <c r="DJ187" s="399"/>
      <c r="DK187" s="399">
        <v>0</v>
      </c>
      <c r="DL187" s="399"/>
      <c r="DM187" s="399"/>
      <c r="DN187" s="399"/>
      <c r="DO187" s="399"/>
      <c r="DP187" s="399"/>
      <c r="DQ187" s="399"/>
      <c r="DR187" s="399"/>
      <c r="DS187" s="399"/>
      <c r="DT187" s="399"/>
      <c r="DU187" s="399"/>
      <c r="DV187" s="399"/>
      <c r="DW187" s="399"/>
      <c r="DX187" s="399"/>
      <c r="DY187" s="399"/>
      <c r="DZ187" s="399"/>
      <c r="EA187" s="399"/>
      <c r="EB187" s="399"/>
      <c r="EC187" s="399"/>
      <c r="ED187" s="399"/>
      <c r="EE187" s="399"/>
      <c r="EF187" s="399"/>
      <c r="EG187" s="399"/>
      <c r="EH187" s="399"/>
      <c r="EI187" s="399"/>
      <c r="EJ187" s="399"/>
      <c r="EK187" s="399"/>
      <c r="EL187" s="399"/>
      <c r="EM187" s="399"/>
      <c r="EN187" s="399"/>
      <c r="EO187" s="399"/>
      <c r="EP187" s="399"/>
      <c r="EQ187" s="399"/>
      <c r="ER187" s="399"/>
      <c r="ES187" s="399"/>
      <c r="ET187" s="399"/>
      <c r="EU187" s="399"/>
      <c r="EV187" s="399">
        <v>215</v>
      </c>
      <c r="EW187" s="399"/>
      <c r="EX187" s="399"/>
      <c r="EY187" s="399"/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187</v>
      </c>
      <c r="B188" s="399" t="s">
        <v>956</v>
      </c>
      <c r="C188" s="399" t="s">
        <v>2343</v>
      </c>
      <c r="D188" s="399" t="s">
        <v>2353</v>
      </c>
      <c r="E188" s="399" t="s">
        <v>894</v>
      </c>
      <c r="F188" s="399" t="s">
        <v>2363</v>
      </c>
      <c r="G188" s="399" t="s">
        <v>2361</v>
      </c>
      <c r="H188" s="399" t="s">
        <v>1239</v>
      </c>
      <c r="I188" s="399" t="s">
        <v>1239</v>
      </c>
      <c r="J188" s="399" t="s">
        <v>2344</v>
      </c>
      <c r="K188" s="791">
        <v>44531</v>
      </c>
      <c r="L188" s="399">
        <v>0</v>
      </c>
      <c r="M188" s="399">
        <v>0</v>
      </c>
      <c r="N188" s="399">
        <v>42.874000000000002</v>
      </c>
      <c r="O188" s="399">
        <v>42.874000000000002</v>
      </c>
      <c r="P188" s="399">
        <v>42.874000000000002</v>
      </c>
      <c r="Q188" s="399">
        <v>42.874000000000002</v>
      </c>
      <c r="R188" s="399"/>
      <c r="S188" s="399">
        <v>239.69</v>
      </c>
      <c r="T188" s="399">
        <v>171.61</v>
      </c>
      <c r="U188" s="399"/>
      <c r="V188" s="399">
        <v>17634.076200000003</v>
      </c>
      <c r="W188" s="399">
        <v>17634.076200000003</v>
      </c>
      <c r="X188" s="399">
        <v>17569.336459999999</v>
      </c>
      <c r="Y188" s="399">
        <v>0</v>
      </c>
      <c r="Z188" s="399">
        <v>2592.0462507812763</v>
      </c>
      <c r="AA188" s="399">
        <v>0</v>
      </c>
      <c r="AB188" s="399">
        <v>0</v>
      </c>
      <c r="AC188" s="399">
        <v>0</v>
      </c>
      <c r="AD188" s="399">
        <v>2286.7273650928864</v>
      </c>
      <c r="AE188" s="399">
        <v>3799.2677731530603</v>
      </c>
      <c r="AF188" s="399">
        <v>7090.2546384839725</v>
      </c>
      <c r="AG188" s="399">
        <v>267.33469373006159</v>
      </c>
      <c r="AH188" s="399">
        <v>0</v>
      </c>
      <c r="AI188" s="399">
        <v>0</v>
      </c>
      <c r="AJ188" s="399">
        <v>0</v>
      </c>
      <c r="AK188" s="399">
        <v>0</v>
      </c>
      <c r="AL188" s="399">
        <v>400.79090147069911</v>
      </c>
      <c r="AM188" s="399"/>
      <c r="AN188" s="399">
        <v>16.980318288518774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686.40900664577759</v>
      </c>
      <c r="BH188" s="399">
        <v>0</v>
      </c>
      <c r="BI188" s="399">
        <v>0</v>
      </c>
      <c r="BJ188" s="399">
        <v>0</v>
      </c>
      <c r="BK188" s="399">
        <v>0</v>
      </c>
      <c r="BL188" s="399">
        <v>0</v>
      </c>
      <c r="BM188" s="399"/>
      <c r="BN188" s="399"/>
      <c r="BO188" s="399"/>
      <c r="BP188" s="399"/>
      <c r="BQ188" s="399"/>
      <c r="BR188" s="399">
        <v>2108.1145799999995</v>
      </c>
      <c r="BS188" s="399"/>
      <c r="BT188" s="399"/>
      <c r="BU188" s="399"/>
      <c r="BV188" s="399">
        <v>7776.66364512975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15459.779399999999</v>
      </c>
      <c r="CJ188" s="399">
        <v>-58.494900000003327</v>
      </c>
      <c r="CK188" s="399"/>
      <c r="CL188" s="399"/>
      <c r="CM188" s="399"/>
      <c r="CN188" s="399"/>
      <c r="CO188" s="399">
        <v>-1029.8334800000005</v>
      </c>
      <c r="CP188" s="399">
        <v>965.09373999999968</v>
      </c>
      <c r="CQ188" s="399"/>
      <c r="CR188" s="399">
        <v>756.88229512123871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102.97733610973546</v>
      </c>
      <c r="DA188" s="399">
        <v>0</v>
      </c>
      <c r="DB188" s="399">
        <v>0</v>
      </c>
      <c r="DC188" s="399">
        <v>965.32297229122196</v>
      </c>
      <c r="DD188" s="399">
        <v>0</v>
      </c>
      <c r="DE188" s="399">
        <v>0</v>
      </c>
      <c r="DF188" s="399">
        <v>0</v>
      </c>
      <c r="DG188" s="399">
        <v>93.453115055461694</v>
      </c>
      <c r="DH188" s="399">
        <v>0</v>
      </c>
      <c r="DI188" s="399">
        <v>-356.02468980517733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-46.188590852257562</v>
      </c>
      <c r="DP188" s="399">
        <v>-2.657847677743959</v>
      </c>
      <c r="DQ188" s="399">
        <v>0</v>
      </c>
      <c r="DR188" s="399">
        <v>0</v>
      </c>
      <c r="DS188" s="399"/>
      <c r="DT188" s="399"/>
      <c r="DU188" s="399"/>
      <c r="DV188" s="399">
        <v>3799.2677731530603</v>
      </c>
      <c r="DW188" s="399">
        <v>0</v>
      </c>
      <c r="DX188" s="399">
        <v>0</v>
      </c>
      <c r="DY188" s="399">
        <v>-1029.8334800000011</v>
      </c>
      <c r="DZ188" s="399">
        <v>965.09373999999934</v>
      </c>
      <c r="EA188" s="399">
        <v>0</v>
      </c>
      <c r="EB188" s="399">
        <v>0</v>
      </c>
      <c r="EC188" s="399">
        <v>-821.38119329626579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494.29420007529694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215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188</v>
      </c>
      <c r="B189" s="399" t="s">
        <v>2346</v>
      </c>
      <c r="C189" s="399" t="s">
        <v>2343</v>
      </c>
      <c r="D189" s="399" t="s">
        <v>2353</v>
      </c>
      <c r="E189" s="399" t="s">
        <v>894</v>
      </c>
      <c r="F189" s="399" t="s">
        <v>2363</v>
      </c>
      <c r="G189" s="399" t="s">
        <v>2361</v>
      </c>
      <c r="H189" s="399" t="s">
        <v>1239</v>
      </c>
      <c r="I189" s="399" t="s">
        <v>1239</v>
      </c>
      <c r="J189" s="399" t="s">
        <v>2344</v>
      </c>
      <c r="K189" s="791">
        <v>44531</v>
      </c>
      <c r="L189" s="399">
        <v>0</v>
      </c>
      <c r="M189" s="399">
        <v>0</v>
      </c>
      <c r="N189" s="399">
        <v>0.1</v>
      </c>
      <c r="O189" s="399">
        <v>0.1</v>
      </c>
      <c r="P189" s="399">
        <v>0.1</v>
      </c>
      <c r="Q189" s="399">
        <v>0.1</v>
      </c>
      <c r="R189" s="399"/>
      <c r="S189" s="399">
        <v>239.69</v>
      </c>
      <c r="T189" s="399">
        <v>171.61</v>
      </c>
      <c r="U189" s="399"/>
      <c r="V189" s="399">
        <v>41.13</v>
      </c>
      <c r="W189" s="399">
        <v>41.13</v>
      </c>
      <c r="X189" s="399">
        <v>40.978999999999999</v>
      </c>
      <c r="Y189" s="399">
        <v>0</v>
      </c>
      <c r="Z189" s="399">
        <v>6.0457299313832999</v>
      </c>
      <c r="AA189" s="399">
        <v>0</v>
      </c>
      <c r="AB189" s="399">
        <v>0</v>
      </c>
      <c r="AC189" s="399">
        <v>0</v>
      </c>
      <c r="AD189" s="399">
        <v>5.3335993028242905</v>
      </c>
      <c r="AE189" s="399">
        <v>8.8614726247913893</v>
      </c>
      <c r="AF189" s="399">
        <v>16.537422770173002</v>
      </c>
      <c r="AG189" s="399">
        <v>0.62353569466357606</v>
      </c>
      <c r="AH189" s="399">
        <v>0</v>
      </c>
      <c r="AI189" s="399">
        <v>0</v>
      </c>
      <c r="AJ189" s="399">
        <v>0</v>
      </c>
      <c r="AK189" s="399">
        <v>0</v>
      </c>
      <c r="AL189" s="399">
        <v>0.9348110777410531</v>
      </c>
      <c r="AM189" s="399"/>
      <c r="AN189" s="399">
        <v>3.9605164641784707E-2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1.6009912922651901</v>
      </c>
      <c r="BH189" s="399">
        <v>0</v>
      </c>
      <c r="BI189" s="399">
        <v>0</v>
      </c>
      <c r="BJ189" s="399">
        <v>0</v>
      </c>
      <c r="BK189" s="399">
        <v>0</v>
      </c>
      <c r="BL189" s="399">
        <v>0</v>
      </c>
      <c r="BM189" s="399"/>
      <c r="BN189" s="399"/>
      <c r="BO189" s="399"/>
      <c r="BP189" s="399"/>
      <c r="BQ189" s="399"/>
      <c r="BR189" s="399">
        <v>4.9169999999999989</v>
      </c>
      <c r="BS189" s="399"/>
      <c r="BT189" s="399"/>
      <c r="BU189" s="399"/>
      <c r="BV189" s="399">
        <v>18.138414062438191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36.061999999999998</v>
      </c>
      <c r="CJ189" s="399">
        <v>-0.16300000000001091</v>
      </c>
      <c r="CK189" s="399"/>
      <c r="CL189" s="399"/>
      <c r="CM189" s="399"/>
      <c r="CN189" s="399"/>
      <c r="CO189" s="399">
        <v>-2.402000000000001</v>
      </c>
      <c r="CP189" s="399">
        <v>2.250999999999999</v>
      </c>
      <c r="CQ189" s="399"/>
      <c r="CR189" s="399">
        <v>1.7653643119868505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0.24018597777145967</v>
      </c>
      <c r="DA189" s="399">
        <v>0</v>
      </c>
      <c r="DB189" s="399">
        <v>0</v>
      </c>
      <c r="DC189" s="399">
        <v>2.2515346650445984</v>
      </c>
      <c r="DD189" s="399">
        <v>0</v>
      </c>
      <c r="DE189" s="399">
        <v>0</v>
      </c>
      <c r="DF189" s="399">
        <v>0</v>
      </c>
      <c r="DG189" s="399">
        <v>0.21797153299310001</v>
      </c>
      <c r="DH189" s="399">
        <v>0</v>
      </c>
      <c r="DI189" s="399">
        <v>-0.83039765313518021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-0.10773100446018002</v>
      </c>
      <c r="DP189" s="399">
        <v>-6.1992062269533091E-3</v>
      </c>
      <c r="DQ189" s="399">
        <v>0</v>
      </c>
      <c r="DR189" s="399">
        <v>0</v>
      </c>
      <c r="DS189" s="399"/>
      <c r="DT189" s="399"/>
      <c r="DU189" s="399"/>
      <c r="DV189" s="399">
        <v>8.8614726247913893</v>
      </c>
      <c r="DW189" s="399">
        <v>0</v>
      </c>
      <c r="DX189" s="399">
        <v>0</v>
      </c>
      <c r="DY189" s="399">
        <v>-2.402000000000001</v>
      </c>
      <c r="DZ189" s="399">
        <v>2.2510000000000012</v>
      </c>
      <c r="EA189" s="399">
        <v>0</v>
      </c>
      <c r="EB189" s="399">
        <v>0</v>
      </c>
      <c r="EC189" s="399">
        <v>-1.915802568680939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1.1528996596429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215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189</v>
      </c>
      <c r="B190" s="399" t="s">
        <v>956</v>
      </c>
      <c r="C190" s="399" t="s">
        <v>2343</v>
      </c>
      <c r="D190" s="399" t="s">
        <v>2353</v>
      </c>
      <c r="E190" s="399" t="s">
        <v>894</v>
      </c>
      <c r="F190" s="399" t="s">
        <v>2363</v>
      </c>
      <c r="G190" s="399" t="s">
        <v>2362</v>
      </c>
      <c r="H190" s="399" t="s">
        <v>1239</v>
      </c>
      <c r="I190" s="399" t="s">
        <v>1239</v>
      </c>
      <c r="J190" s="399" t="s">
        <v>2344</v>
      </c>
      <c r="K190" s="791">
        <v>44531</v>
      </c>
      <c r="L190" s="399">
        <v>0</v>
      </c>
      <c r="M190" s="399">
        <v>0</v>
      </c>
      <c r="N190" s="399">
        <v>66.483000000000004</v>
      </c>
      <c r="O190" s="399">
        <v>26.5932</v>
      </c>
      <c r="P190" s="399">
        <v>66.483000000000004</v>
      </c>
      <c r="Q190" s="399">
        <v>26.5932</v>
      </c>
      <c r="R190" s="399"/>
      <c r="S190" s="399">
        <v>239.69</v>
      </c>
      <c r="T190" s="399">
        <v>171.61</v>
      </c>
      <c r="U190" s="399"/>
      <c r="V190" s="399">
        <v>27344.457900000001</v>
      </c>
      <c r="W190" s="399">
        <v>27344.457900000001</v>
      </c>
      <c r="X190" s="399">
        <v>27244.068570000003</v>
      </c>
      <c r="Y190" s="399">
        <v>0</v>
      </c>
      <c r="Z190" s="399">
        <v>4019.3826302815596</v>
      </c>
      <c r="AA190" s="399">
        <v>0</v>
      </c>
      <c r="AB190" s="399">
        <v>0</v>
      </c>
      <c r="AC190" s="399">
        <v>0</v>
      </c>
      <c r="AD190" s="399">
        <v>3545.9368244966731</v>
      </c>
      <c r="AE190" s="399">
        <v>5891.3728451400593</v>
      </c>
      <c r="AF190" s="399">
        <v>10994.574780294117</v>
      </c>
      <c r="AG190" s="399">
        <v>414.54523588318528</v>
      </c>
      <c r="AH190" s="399">
        <v>0</v>
      </c>
      <c r="AI190" s="399">
        <v>0</v>
      </c>
      <c r="AJ190" s="399">
        <v>0</v>
      </c>
      <c r="AK190" s="399">
        <v>0</v>
      </c>
      <c r="AL190" s="399">
        <v>621.4904488145844</v>
      </c>
      <c r="AM190" s="399"/>
      <c r="AN190" s="399">
        <v>26.330701608797725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1064.3870408366663</v>
      </c>
      <c r="BH190" s="399">
        <v>0</v>
      </c>
      <c r="BI190" s="399">
        <v>0</v>
      </c>
      <c r="BJ190" s="399">
        <v>0</v>
      </c>
      <c r="BK190" s="399">
        <v>0</v>
      </c>
      <c r="BL190" s="399">
        <v>0</v>
      </c>
      <c r="BM190" s="399"/>
      <c r="BN190" s="399"/>
      <c r="BO190" s="399"/>
      <c r="BP190" s="399"/>
      <c r="BQ190" s="399"/>
      <c r="BR190" s="399"/>
      <c r="BS190" s="399">
        <v>17654.028786000006</v>
      </c>
      <c r="BT190" s="399"/>
      <c r="BU190" s="399"/>
      <c r="BV190" s="399">
        <v>12058.961821130782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9588.8858</v>
      </c>
      <c r="CJ190" s="399">
        <v>-36.552940000001399</v>
      </c>
      <c r="CK190" s="399"/>
      <c r="CL190" s="399"/>
      <c r="CM190" s="399"/>
      <c r="CN190" s="399"/>
      <c r="CO190" s="399">
        <v>-1596.9216600000009</v>
      </c>
      <c r="CP190" s="399">
        <v>1496.5323299999995</v>
      </c>
      <c r="CQ190" s="399"/>
      <c r="CR190" s="399">
        <v>1173.66715553822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159.6828436017995</v>
      </c>
      <c r="DA190" s="399">
        <v>0</v>
      </c>
      <c r="DB190" s="399">
        <v>0</v>
      </c>
      <c r="DC190" s="399">
        <v>1496.8877913616016</v>
      </c>
      <c r="DD190" s="399">
        <v>0</v>
      </c>
      <c r="DE190" s="399">
        <v>0</v>
      </c>
      <c r="DF190" s="399">
        <v>0</v>
      </c>
      <c r="DG190" s="399">
        <v>144.91401427980259</v>
      </c>
      <c r="DH190" s="399">
        <v>0</v>
      </c>
      <c r="DI190" s="399">
        <v>-552.07327173386193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-71.622803695261496</v>
      </c>
      <c r="DP190" s="399">
        <v>-4.1214182758653628</v>
      </c>
      <c r="DQ190" s="399">
        <v>0</v>
      </c>
      <c r="DR190" s="399">
        <v>0</v>
      </c>
      <c r="DS190" s="399"/>
      <c r="DT190" s="399"/>
      <c r="DU190" s="399"/>
      <c r="DV190" s="399">
        <v>5891.3728451400593</v>
      </c>
      <c r="DW190" s="399">
        <v>0</v>
      </c>
      <c r="DX190" s="399">
        <v>0</v>
      </c>
      <c r="DY190" s="399">
        <v>-1596.92166</v>
      </c>
      <c r="DZ190" s="399">
        <v>1496.53233</v>
      </c>
      <c r="EA190" s="399">
        <v>0</v>
      </c>
      <c r="EB190" s="399">
        <v>0</v>
      </c>
      <c r="EC190" s="399">
        <v>-1273.6830217361485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766.48228072038921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215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190</v>
      </c>
      <c r="B191" s="399" t="s">
        <v>956</v>
      </c>
      <c r="C191" s="399" t="s">
        <v>2343</v>
      </c>
      <c r="D191" s="399" t="s">
        <v>1823</v>
      </c>
      <c r="E191" s="399" t="s">
        <v>889</v>
      </c>
      <c r="F191" s="399" t="s">
        <v>889</v>
      </c>
      <c r="G191" s="399" t="s">
        <v>1239</v>
      </c>
      <c r="H191" s="399" t="s">
        <v>1239</v>
      </c>
      <c r="I191" s="399" t="s">
        <v>1239</v>
      </c>
      <c r="J191" s="399" t="s">
        <v>2344</v>
      </c>
      <c r="K191" s="791">
        <v>44562</v>
      </c>
      <c r="L191" s="399">
        <v>0</v>
      </c>
      <c r="M191" s="399">
        <v>0</v>
      </c>
      <c r="N191" s="399">
        <v>1572.585</v>
      </c>
      <c r="O191" s="399">
        <v>1572.585</v>
      </c>
      <c r="P191" s="399">
        <v>1572.585</v>
      </c>
      <c r="Q191" s="399">
        <v>1572.585</v>
      </c>
      <c r="R191" s="399"/>
      <c r="S191" s="399">
        <v>239.69</v>
      </c>
      <c r="T191" s="399">
        <v>171.61</v>
      </c>
      <c r="U191" s="399"/>
      <c r="V191" s="399">
        <v>646804.21050000004</v>
      </c>
      <c r="W191" s="399">
        <v>646804.21050000004</v>
      </c>
      <c r="X191" s="399">
        <v>644429.60715000005</v>
      </c>
      <c r="Y191" s="399">
        <v>0</v>
      </c>
      <c r="Z191" s="399">
        <v>95074.242041444071</v>
      </c>
      <c r="AA191" s="399">
        <v>0</v>
      </c>
      <c r="AB191" s="399">
        <v>0</v>
      </c>
      <c r="AC191" s="399">
        <v>0</v>
      </c>
      <c r="AD191" s="399">
        <v>83875.382596319367</v>
      </c>
      <c r="AE191" s="399">
        <v>139354.18927657566</v>
      </c>
      <c r="AF191" s="399">
        <v>260065.02987032509</v>
      </c>
      <c r="AG191" s="399">
        <v>9805.6288039251976</v>
      </c>
      <c r="AH191" s="399">
        <v>0</v>
      </c>
      <c r="AI191" s="399">
        <v>0</v>
      </c>
      <c r="AJ191" s="399">
        <v>0</v>
      </c>
      <c r="AK191" s="399">
        <v>0</v>
      </c>
      <c r="AL191" s="399">
        <v>14700.69878689414</v>
      </c>
      <c r="AM191" s="399"/>
      <c r="AN191" s="399">
        <v>622.82487838200996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25176.948913468539</v>
      </c>
      <c r="BH191" s="399">
        <v>0</v>
      </c>
      <c r="BI191" s="399">
        <v>0</v>
      </c>
      <c r="BJ191" s="399">
        <v>0</v>
      </c>
      <c r="BK191" s="399">
        <v>219660.83</v>
      </c>
      <c r="BL191" s="399">
        <v>4727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285241.97878379363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644431.65609999991</v>
      </c>
      <c r="CJ191" s="399">
        <v>-2372.5844000001671</v>
      </c>
      <c r="CK191" s="399"/>
      <c r="CL191" s="399"/>
      <c r="CM191" s="399"/>
      <c r="CN191" s="399"/>
      <c r="CO191" s="399">
        <v>-37773.491700000021</v>
      </c>
      <c r="CP191" s="399">
        <v>35398.888349999987</v>
      </c>
      <c r="CQ191" s="399">
        <v>31</v>
      </c>
      <c r="CR191" s="399">
        <v>27761.854365658306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3777.1286585373164</v>
      </c>
      <c r="DA191" s="399">
        <v>0</v>
      </c>
      <c r="DB191" s="399">
        <v>0</v>
      </c>
      <c r="DC191" s="399">
        <v>35407.296412291616</v>
      </c>
      <c r="DD191" s="399">
        <v>0</v>
      </c>
      <c r="DE191" s="399">
        <v>0</v>
      </c>
      <c r="DF191" s="399">
        <v>0</v>
      </c>
      <c r="DG191" s="399">
        <v>3427.7876321195399</v>
      </c>
      <c r="DH191" s="399">
        <v>0</v>
      </c>
      <c r="DI191" s="399">
        <v>-13058.70893355587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-1694.1616164901225</v>
      </c>
      <c r="DP191" s="399">
        <v>-97.487787244133528</v>
      </c>
      <c r="DQ191" s="399">
        <v>0</v>
      </c>
      <c r="DR191" s="399">
        <v>0</v>
      </c>
      <c r="DS191" s="399"/>
      <c r="DT191" s="399"/>
      <c r="DU191" s="399"/>
      <c r="DV191" s="399">
        <v>139354.18927657566</v>
      </c>
      <c r="DW191" s="399">
        <v>0</v>
      </c>
      <c r="DX191" s="399">
        <v>0</v>
      </c>
      <c r="DY191" s="399">
        <v>-37773.491700000013</v>
      </c>
      <c r="DZ191" s="399">
        <v>35398.888349999965</v>
      </c>
      <c r="EA191" s="399">
        <v>0</v>
      </c>
      <c r="EB191" s="399">
        <v>0</v>
      </c>
      <c r="EC191" s="399">
        <v>-30127.623824691138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18130.3271125953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215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191</v>
      </c>
      <c r="B192" s="399" t="s">
        <v>2346</v>
      </c>
      <c r="C192" s="399" t="s">
        <v>2343</v>
      </c>
      <c r="D192" s="399" t="s">
        <v>1823</v>
      </c>
      <c r="E192" s="399" t="s">
        <v>889</v>
      </c>
      <c r="F192" s="399" t="s">
        <v>889</v>
      </c>
      <c r="G192" s="399" t="s">
        <v>1239</v>
      </c>
      <c r="H192" s="399" t="s">
        <v>1239</v>
      </c>
      <c r="I192" s="399" t="s">
        <v>1239</v>
      </c>
      <c r="J192" s="399" t="s">
        <v>2344</v>
      </c>
      <c r="K192" s="791">
        <v>44562</v>
      </c>
      <c r="L192" s="399">
        <v>0</v>
      </c>
      <c r="M192" s="399">
        <v>0</v>
      </c>
      <c r="N192" s="399">
        <v>2.008</v>
      </c>
      <c r="O192" s="399">
        <v>2.008</v>
      </c>
      <c r="P192" s="399">
        <v>2.008</v>
      </c>
      <c r="Q192" s="399">
        <v>2.008</v>
      </c>
      <c r="R192" s="399"/>
      <c r="S192" s="399">
        <v>239.69</v>
      </c>
      <c r="T192" s="399">
        <v>171.61</v>
      </c>
      <c r="U192" s="399"/>
      <c r="V192" s="399">
        <v>825.8904</v>
      </c>
      <c r="W192" s="399">
        <v>825.8904</v>
      </c>
      <c r="X192" s="399">
        <v>822.85832000000005</v>
      </c>
      <c r="Y192" s="399">
        <v>0</v>
      </c>
      <c r="Z192" s="399">
        <v>121.39825702217667</v>
      </c>
      <c r="AA192" s="399">
        <v>0</v>
      </c>
      <c r="AB192" s="399">
        <v>0</v>
      </c>
      <c r="AC192" s="399">
        <v>0</v>
      </c>
      <c r="AD192" s="399">
        <v>107.09867400071175</v>
      </c>
      <c r="AE192" s="399">
        <v>177.93837030581111</v>
      </c>
      <c r="AF192" s="399">
        <v>332.07144922507388</v>
      </c>
      <c r="AG192" s="399">
        <v>12.520596748844607</v>
      </c>
      <c r="AH192" s="399">
        <v>0</v>
      </c>
      <c r="AI192" s="399">
        <v>0</v>
      </c>
      <c r="AJ192" s="399">
        <v>0</v>
      </c>
      <c r="AK192" s="399">
        <v>0</v>
      </c>
      <c r="AL192" s="399">
        <v>18.771006441040345</v>
      </c>
      <c r="AM192" s="399"/>
      <c r="AN192" s="399">
        <v>0.79527170600703678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32.147905148685012</v>
      </c>
      <c r="BH192" s="399">
        <v>0</v>
      </c>
      <c r="BI192" s="399">
        <v>0</v>
      </c>
      <c r="BJ192" s="399">
        <v>0</v>
      </c>
      <c r="BK192" s="399">
        <v>849.02</v>
      </c>
      <c r="BL192" s="399">
        <v>12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>
        <v>364.2193543737589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823.67789999999991</v>
      </c>
      <c r="CJ192" s="399">
        <v>-2.2425000000000637</v>
      </c>
      <c r="CK192" s="399"/>
      <c r="CL192" s="399"/>
      <c r="CM192" s="399"/>
      <c r="CN192" s="399"/>
      <c r="CO192" s="399">
        <v>-48.232160000000022</v>
      </c>
      <c r="CP192" s="399">
        <v>45.200079999999978</v>
      </c>
      <c r="CQ192" s="399">
        <v>31</v>
      </c>
      <c r="CR192" s="399">
        <v>35.448515384695838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4.8229344336509143</v>
      </c>
      <c r="DA192" s="399">
        <v>0</v>
      </c>
      <c r="DB192" s="399">
        <v>0</v>
      </c>
      <c r="DC192" s="399">
        <v>45.210816074095533</v>
      </c>
      <c r="DD192" s="399">
        <v>0</v>
      </c>
      <c r="DE192" s="399">
        <v>0</v>
      </c>
      <c r="DF192" s="399">
        <v>0</v>
      </c>
      <c r="DG192" s="399">
        <v>4.3768683825014492</v>
      </c>
      <c r="DH192" s="399">
        <v>0</v>
      </c>
      <c r="DI192" s="399">
        <v>-16.674384874954427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-2.1632385695604128</v>
      </c>
      <c r="DP192" s="399">
        <v>-0.12448006103722231</v>
      </c>
      <c r="DQ192" s="399">
        <v>0</v>
      </c>
      <c r="DR192" s="399">
        <v>0</v>
      </c>
      <c r="DS192" s="399"/>
      <c r="DT192" s="399"/>
      <c r="DU192" s="399"/>
      <c r="DV192" s="399">
        <v>177.93837030581111</v>
      </c>
      <c r="DW192" s="399">
        <v>0</v>
      </c>
      <c r="DX192" s="399">
        <v>0</v>
      </c>
      <c r="DY192" s="399">
        <v>-48.232160000000022</v>
      </c>
      <c r="DZ192" s="399">
        <v>45.200079999999957</v>
      </c>
      <c r="EA192" s="399">
        <v>0</v>
      </c>
      <c r="EB192" s="399">
        <v>0</v>
      </c>
      <c r="EC192" s="399">
        <v>-38.469315579113271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23.150225165629433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215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192</v>
      </c>
      <c r="B193" s="399" t="s">
        <v>956</v>
      </c>
      <c r="C193" s="399" t="s">
        <v>2343</v>
      </c>
      <c r="D193" s="399" t="s">
        <v>1823</v>
      </c>
      <c r="E193" s="399" t="s">
        <v>889</v>
      </c>
      <c r="F193" s="399" t="s">
        <v>2347</v>
      </c>
      <c r="G193" s="399" t="s">
        <v>1239</v>
      </c>
      <c r="H193" s="399" t="s">
        <v>1239</v>
      </c>
      <c r="I193" s="399" t="s">
        <v>1239</v>
      </c>
      <c r="J193" s="399" t="s">
        <v>2344</v>
      </c>
      <c r="K193" s="791">
        <v>44562</v>
      </c>
      <c r="L193" s="399">
        <v>0</v>
      </c>
      <c r="M193" s="399">
        <v>0</v>
      </c>
      <c r="N193" s="399">
        <v>7.2</v>
      </c>
      <c r="O193" s="399">
        <v>7.2</v>
      </c>
      <c r="P193" s="399">
        <v>7.2</v>
      </c>
      <c r="Q193" s="399">
        <v>7.2</v>
      </c>
      <c r="R193" s="399"/>
      <c r="S193" s="399">
        <v>158.36000000000001</v>
      </c>
      <c r="T193" s="399">
        <v>171.61</v>
      </c>
      <c r="U193" s="399"/>
      <c r="V193" s="399">
        <v>2375.7840000000006</v>
      </c>
      <c r="W193" s="399">
        <v>2375.7840000000006</v>
      </c>
      <c r="X193" s="399">
        <v>2432.4480000000003</v>
      </c>
      <c r="Y193" s="399">
        <v>0</v>
      </c>
      <c r="Z193" s="399">
        <v>0</v>
      </c>
      <c r="AA193" s="399">
        <v>0</v>
      </c>
      <c r="AB193" s="399">
        <v>0</v>
      </c>
      <c r="AC193" s="399">
        <v>0</v>
      </c>
      <c r="AD193" s="399">
        <v>384.01914980334891</v>
      </c>
      <c r="AE193" s="399">
        <v>638.02602898498003</v>
      </c>
      <c r="AF193" s="399">
        <v>1190.694439452456</v>
      </c>
      <c r="AG193" s="399">
        <v>44.894570015777475</v>
      </c>
      <c r="AH193" s="399">
        <v>0</v>
      </c>
      <c r="AI193" s="399">
        <v>0</v>
      </c>
      <c r="AJ193" s="399">
        <v>0</v>
      </c>
      <c r="AK193" s="399">
        <v>0</v>
      </c>
      <c r="AL193" s="399">
        <v>0</v>
      </c>
      <c r="AM193" s="399"/>
      <c r="AN193" s="399">
        <v>2.8515718542084985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115.27137304309367</v>
      </c>
      <c r="BH193" s="399">
        <v>0</v>
      </c>
      <c r="BI193" s="399">
        <v>0</v>
      </c>
      <c r="BJ193" s="399">
        <v>0</v>
      </c>
      <c r="BK193" s="399">
        <v>115.2</v>
      </c>
      <c r="BL193" s="399">
        <v>2</v>
      </c>
      <c r="BM193" s="399"/>
      <c r="BN193" s="399"/>
      <c r="BO193" s="399"/>
      <c r="BP193" s="399"/>
      <c r="BQ193" s="399"/>
      <c r="BR193" s="399"/>
      <c r="BS193" s="399"/>
      <c r="BT193" s="399">
        <v>1581.1200000000001</v>
      </c>
      <c r="BU193" s="399"/>
      <c r="BV193" s="399">
        <v>1305.9658124955497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851.32799999999997</v>
      </c>
      <c r="CJ193" s="399">
        <v>19.841999999999985</v>
      </c>
      <c r="CK193" s="399"/>
      <c r="CL193" s="399"/>
      <c r="CM193" s="399"/>
      <c r="CN193" s="399"/>
      <c r="CO193" s="399">
        <v>-105.40800000000011</v>
      </c>
      <c r="CP193" s="399">
        <v>162.07199999999995</v>
      </c>
      <c r="CQ193" s="399">
        <v>31</v>
      </c>
      <c r="CR193" s="399">
        <v>194.65149380991897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17.293390399545103</v>
      </c>
      <c r="DA193" s="399">
        <v>0</v>
      </c>
      <c r="DB193" s="399">
        <v>0</v>
      </c>
      <c r="DC193" s="399">
        <v>162.11049588321134</v>
      </c>
      <c r="DD193" s="399">
        <v>0</v>
      </c>
      <c r="DE193" s="399">
        <v>0</v>
      </c>
      <c r="DF193" s="399">
        <v>0</v>
      </c>
      <c r="DG193" s="399">
        <v>15.693950375503206</v>
      </c>
      <c r="DH193" s="399">
        <v>0</v>
      </c>
      <c r="DI193" s="399">
        <v>0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0</v>
      </c>
      <c r="DP193" s="399">
        <v>-0.44634284834063775</v>
      </c>
      <c r="DQ193" s="399">
        <v>0</v>
      </c>
      <c r="DR193" s="399">
        <v>0</v>
      </c>
      <c r="DS193" s="399"/>
      <c r="DT193" s="399"/>
      <c r="DU193" s="399"/>
      <c r="DV193" s="399">
        <v>638.02602898498003</v>
      </c>
      <c r="DW193" s="399">
        <v>0</v>
      </c>
      <c r="DX193" s="399">
        <v>0</v>
      </c>
      <c r="DY193" s="399">
        <v>-105.40800000000013</v>
      </c>
      <c r="DZ193" s="399">
        <v>162.07199999999989</v>
      </c>
      <c r="EA193" s="399">
        <v>0</v>
      </c>
      <c r="EB193" s="399">
        <v>0</v>
      </c>
      <c r="EC193" s="399">
        <v>-137.93778494502766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215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193</v>
      </c>
      <c r="B194" s="399" t="s">
        <v>956</v>
      </c>
      <c r="C194" s="399" t="s">
        <v>2343</v>
      </c>
      <c r="D194" s="399" t="s">
        <v>1823</v>
      </c>
      <c r="E194" s="399" t="s">
        <v>889</v>
      </c>
      <c r="F194" s="399" t="s">
        <v>2348</v>
      </c>
      <c r="G194" s="399" t="s">
        <v>1239</v>
      </c>
      <c r="H194" s="399" t="s">
        <v>1239</v>
      </c>
      <c r="I194" s="399" t="s">
        <v>1239</v>
      </c>
      <c r="J194" s="399" t="s">
        <v>2344</v>
      </c>
      <c r="K194" s="791">
        <v>44562</v>
      </c>
      <c r="L194" s="399">
        <v>0</v>
      </c>
      <c r="M194" s="399">
        <v>0</v>
      </c>
      <c r="N194" s="399">
        <v>16.190999999999999</v>
      </c>
      <c r="O194" s="399">
        <v>16.190999999999999</v>
      </c>
      <c r="P194" s="399">
        <v>16.190999999999999</v>
      </c>
      <c r="Q194" s="399">
        <v>16.190999999999999</v>
      </c>
      <c r="R194" s="399"/>
      <c r="S194" s="399">
        <v>158.36000000000001</v>
      </c>
      <c r="T194" s="399">
        <v>171.61</v>
      </c>
      <c r="U194" s="399"/>
      <c r="V194" s="399">
        <v>5342.5442700000003</v>
      </c>
      <c r="W194" s="399">
        <v>5342.5442700000003</v>
      </c>
      <c r="X194" s="399">
        <v>5469.9674400000004</v>
      </c>
      <c r="Y194" s="399">
        <v>0</v>
      </c>
      <c r="Z194" s="399">
        <v>0</v>
      </c>
      <c r="AA194" s="399">
        <v>0</v>
      </c>
      <c r="AB194" s="399">
        <v>0</v>
      </c>
      <c r="AC194" s="399">
        <v>0</v>
      </c>
      <c r="AD194" s="399">
        <v>863.56306312028084</v>
      </c>
      <c r="AE194" s="399">
        <v>1434.7610326799738</v>
      </c>
      <c r="AF194" s="399">
        <v>2677.5741207187102</v>
      </c>
      <c r="AG194" s="399">
        <v>100.95666432297959</v>
      </c>
      <c r="AH194" s="399">
        <v>0</v>
      </c>
      <c r="AI194" s="399">
        <v>0</v>
      </c>
      <c r="AJ194" s="399">
        <v>0</v>
      </c>
      <c r="AK194" s="399">
        <v>0</v>
      </c>
      <c r="AL194" s="399">
        <v>0</v>
      </c>
      <c r="AM194" s="399"/>
      <c r="AN194" s="399">
        <v>6.4124722071513602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259.21650013065687</v>
      </c>
      <c r="BH194" s="399">
        <v>0</v>
      </c>
      <c r="BI194" s="399">
        <v>0</v>
      </c>
      <c r="BJ194" s="399">
        <v>0</v>
      </c>
      <c r="BK194" s="399">
        <v>445.04</v>
      </c>
      <c r="BL194" s="399">
        <v>19</v>
      </c>
      <c r="BM194" s="399"/>
      <c r="BN194" s="399"/>
      <c r="BO194" s="399"/>
      <c r="BP194" s="399"/>
      <c r="BQ194" s="399"/>
      <c r="BR194" s="399"/>
      <c r="BS194" s="399"/>
      <c r="BT194" s="399">
        <v>2188.0517399999999</v>
      </c>
      <c r="BU194" s="399"/>
      <c r="BV194" s="399">
        <v>2936.7906208493669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3281.7130000000002</v>
      </c>
      <c r="CJ194" s="399">
        <v>76.188819999999851</v>
      </c>
      <c r="CK194" s="399"/>
      <c r="CL194" s="399"/>
      <c r="CM194" s="399"/>
      <c r="CN194" s="399"/>
      <c r="CO194" s="399">
        <v>-237.03624000000022</v>
      </c>
      <c r="CP194" s="399">
        <v>364.45940999999982</v>
      </c>
      <c r="CQ194" s="399">
        <v>31</v>
      </c>
      <c r="CR194" s="399">
        <v>437.72254670505527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38.888511660976974</v>
      </c>
      <c r="DA194" s="399">
        <v>0</v>
      </c>
      <c r="DB194" s="399">
        <v>0</v>
      </c>
      <c r="DC194" s="399">
        <v>364.54597761737114</v>
      </c>
      <c r="DD194" s="399">
        <v>0</v>
      </c>
      <c r="DE194" s="399">
        <v>0</v>
      </c>
      <c r="DF194" s="399">
        <v>0</v>
      </c>
      <c r="DG194" s="399">
        <v>35.291770906912859</v>
      </c>
      <c r="DH194" s="399">
        <v>0</v>
      </c>
      <c r="DI194" s="399">
        <v>0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0</v>
      </c>
      <c r="DP194" s="399">
        <v>-1.0037134802060086</v>
      </c>
      <c r="DQ194" s="399">
        <v>0</v>
      </c>
      <c r="DR194" s="399">
        <v>0</v>
      </c>
      <c r="DS194" s="399"/>
      <c r="DT194" s="399"/>
      <c r="DU194" s="399"/>
      <c r="DV194" s="399">
        <v>1434.7610326799738</v>
      </c>
      <c r="DW194" s="399">
        <v>0</v>
      </c>
      <c r="DX194" s="399">
        <v>0</v>
      </c>
      <c r="DY194" s="399">
        <v>-237.03624000000036</v>
      </c>
      <c r="DZ194" s="399">
        <v>364.45940999999993</v>
      </c>
      <c r="EA194" s="399">
        <v>0</v>
      </c>
      <c r="EB194" s="399">
        <v>0</v>
      </c>
      <c r="EC194" s="399">
        <v>-310.18759389513093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215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194</v>
      </c>
      <c r="B195" s="399" t="s">
        <v>956</v>
      </c>
      <c r="C195" s="399" t="s">
        <v>2343</v>
      </c>
      <c r="D195" s="399" t="s">
        <v>1823</v>
      </c>
      <c r="E195" s="399" t="s">
        <v>889</v>
      </c>
      <c r="F195" s="399" t="s">
        <v>2349</v>
      </c>
      <c r="G195" s="399" t="s">
        <v>1239</v>
      </c>
      <c r="H195" s="399" t="s">
        <v>1239</v>
      </c>
      <c r="I195" s="399" t="s">
        <v>1239</v>
      </c>
      <c r="J195" s="399" t="s">
        <v>2344</v>
      </c>
      <c r="K195" s="791">
        <v>44562</v>
      </c>
      <c r="L195" s="399">
        <v>0</v>
      </c>
      <c r="M195" s="399">
        <v>0</v>
      </c>
      <c r="N195" s="399">
        <v>22.431999999999999</v>
      </c>
      <c r="O195" s="399">
        <v>22.431999999999999</v>
      </c>
      <c r="P195" s="399">
        <v>22.431999999999999</v>
      </c>
      <c r="Q195" s="399">
        <v>22.431999999999999</v>
      </c>
      <c r="R195" s="399"/>
      <c r="S195" s="399">
        <v>158.36000000000001</v>
      </c>
      <c r="T195" s="399">
        <v>171.61</v>
      </c>
      <c r="U195" s="399"/>
      <c r="V195" s="399">
        <v>7401.8870399999996</v>
      </c>
      <c r="W195" s="399">
        <v>7401.8870399999996</v>
      </c>
      <c r="X195" s="399">
        <v>7578.4268799999991</v>
      </c>
      <c r="Y195" s="399">
        <v>0</v>
      </c>
      <c r="Z195" s="399">
        <v>0</v>
      </c>
      <c r="AA195" s="399">
        <v>0</v>
      </c>
      <c r="AB195" s="399">
        <v>0</v>
      </c>
      <c r="AC195" s="399">
        <v>0</v>
      </c>
      <c r="AD195" s="399">
        <v>1196.4329956095448</v>
      </c>
      <c r="AE195" s="399">
        <v>1987.8055391932044</v>
      </c>
      <c r="AF195" s="399">
        <v>3709.6746758052072</v>
      </c>
      <c r="AG195" s="399">
        <v>139.87152702693336</v>
      </c>
      <c r="AH195" s="399">
        <v>0</v>
      </c>
      <c r="AI195" s="399">
        <v>0</v>
      </c>
      <c r="AJ195" s="399">
        <v>0</v>
      </c>
      <c r="AK195" s="399">
        <v>0</v>
      </c>
      <c r="AL195" s="399">
        <v>0</v>
      </c>
      <c r="AM195" s="399"/>
      <c r="AN195" s="399">
        <v>8.8842305324451445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359.13436668092737</v>
      </c>
      <c r="BH195" s="399">
        <v>0</v>
      </c>
      <c r="BI195" s="399">
        <v>0</v>
      </c>
      <c r="BJ195" s="399">
        <v>0</v>
      </c>
      <c r="BK195" s="399">
        <v>1665.16</v>
      </c>
      <c r="BL195" s="399">
        <v>74</v>
      </c>
      <c r="BM195" s="399"/>
      <c r="BN195" s="399"/>
      <c r="BO195" s="399"/>
      <c r="BP195" s="399"/>
      <c r="BQ195" s="399"/>
      <c r="BR195" s="399"/>
      <c r="BS195" s="399"/>
      <c r="BT195" s="399">
        <v>757.75296000000003</v>
      </c>
      <c r="BU195" s="399"/>
      <c r="BV195" s="399">
        <v>4068.8090424861348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6820.0658000000003</v>
      </c>
      <c r="CJ195" s="399">
        <v>158.40475999999944</v>
      </c>
      <c r="CK195" s="399"/>
      <c r="CL195" s="399"/>
      <c r="CM195" s="399"/>
      <c r="CN195" s="399"/>
      <c r="CO195" s="399">
        <v>-328.40448000000032</v>
      </c>
      <c r="CP195" s="399">
        <v>504.94431999999978</v>
      </c>
      <c r="CQ195" s="399">
        <v>31</v>
      </c>
      <c r="CR195" s="399">
        <v>606.44754293668029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53.87851853369375</v>
      </c>
      <c r="DA195" s="399">
        <v>0</v>
      </c>
      <c r="DB195" s="399">
        <v>0</v>
      </c>
      <c r="DC195" s="399">
        <v>505.06425606280436</v>
      </c>
      <c r="DD195" s="399">
        <v>0</v>
      </c>
      <c r="DE195" s="399">
        <v>0</v>
      </c>
      <c r="DF195" s="399">
        <v>0</v>
      </c>
      <c r="DG195" s="399">
        <v>48.895374281012209</v>
      </c>
      <c r="DH195" s="399">
        <v>0</v>
      </c>
      <c r="DI195" s="399">
        <v>0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0</v>
      </c>
      <c r="DP195" s="399">
        <v>-1.3906059408301656</v>
      </c>
      <c r="DQ195" s="399">
        <v>0</v>
      </c>
      <c r="DR195" s="399">
        <v>0</v>
      </c>
      <c r="DS195" s="399"/>
      <c r="DT195" s="399"/>
      <c r="DU195" s="399"/>
      <c r="DV195" s="399">
        <v>1987.8055391932044</v>
      </c>
      <c r="DW195" s="399">
        <v>0</v>
      </c>
      <c r="DX195" s="399">
        <v>0</v>
      </c>
      <c r="DY195" s="399">
        <v>-328.4044800000006</v>
      </c>
      <c r="DZ195" s="399">
        <v>504.94431999999961</v>
      </c>
      <c r="EA195" s="399">
        <v>0</v>
      </c>
      <c r="EB195" s="399">
        <v>0</v>
      </c>
      <c r="EC195" s="399">
        <v>-429.7528322065084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215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195</v>
      </c>
      <c r="B196" s="399" t="s">
        <v>956</v>
      </c>
      <c r="C196" s="399" t="s">
        <v>2343</v>
      </c>
      <c r="D196" s="399" t="s">
        <v>1823</v>
      </c>
      <c r="E196" s="399" t="s">
        <v>889</v>
      </c>
      <c r="F196" s="399" t="s">
        <v>2350</v>
      </c>
      <c r="G196" s="399" t="s">
        <v>1239</v>
      </c>
      <c r="H196" s="399" t="s">
        <v>1239</v>
      </c>
      <c r="I196" s="399" t="s">
        <v>1239</v>
      </c>
      <c r="J196" s="399" t="s">
        <v>2344</v>
      </c>
      <c r="K196" s="791">
        <v>44562</v>
      </c>
      <c r="L196" s="399">
        <v>0</v>
      </c>
      <c r="M196" s="399">
        <v>0</v>
      </c>
      <c r="N196" s="399">
        <v>24.042999999999999</v>
      </c>
      <c r="O196" s="399">
        <v>24.042999999999999</v>
      </c>
      <c r="P196" s="399">
        <v>24.042999999999999</v>
      </c>
      <c r="Q196" s="399">
        <v>24.042999999999999</v>
      </c>
      <c r="R196" s="399"/>
      <c r="S196" s="399">
        <v>158.36000000000001</v>
      </c>
      <c r="T196" s="399">
        <v>171.61</v>
      </c>
      <c r="U196" s="399"/>
      <c r="V196" s="399">
        <v>7933.4687100000001</v>
      </c>
      <c r="W196" s="399">
        <v>7933.4687100000001</v>
      </c>
      <c r="X196" s="399">
        <v>8122.6871200000005</v>
      </c>
      <c r="Y196" s="399">
        <v>0</v>
      </c>
      <c r="Z196" s="399">
        <v>0</v>
      </c>
      <c r="AA196" s="399">
        <v>0</v>
      </c>
      <c r="AB196" s="399">
        <v>0</v>
      </c>
      <c r="AC196" s="399">
        <v>0</v>
      </c>
      <c r="AD196" s="399">
        <v>1282.3572803780442</v>
      </c>
      <c r="AE196" s="399">
        <v>2130.5638631785937</v>
      </c>
      <c r="AF196" s="399">
        <v>3976.0925566326946</v>
      </c>
      <c r="AG196" s="399">
        <v>149.91668706796358</v>
      </c>
      <c r="AH196" s="399">
        <v>0</v>
      </c>
      <c r="AI196" s="399">
        <v>0</v>
      </c>
      <c r="AJ196" s="399">
        <v>0</v>
      </c>
      <c r="AK196" s="399">
        <v>0</v>
      </c>
      <c r="AL196" s="399">
        <v>0</v>
      </c>
      <c r="AM196" s="399"/>
      <c r="AN196" s="399">
        <v>9.5222697348242953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384.92633639931961</v>
      </c>
      <c r="BH196" s="399">
        <v>0</v>
      </c>
      <c r="BI196" s="399">
        <v>0</v>
      </c>
      <c r="BJ196" s="399">
        <v>0</v>
      </c>
      <c r="BK196" s="399">
        <v>2706.89</v>
      </c>
      <c r="BL196" s="399">
        <v>144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4361.0188930320146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8121.6736000000001</v>
      </c>
      <c r="CJ196" s="399">
        <v>188.17488999999932</v>
      </c>
      <c r="CK196" s="399"/>
      <c r="CL196" s="399"/>
      <c r="CM196" s="399"/>
      <c r="CN196" s="399"/>
      <c r="CO196" s="399">
        <v>-351.98952000000037</v>
      </c>
      <c r="CP196" s="399">
        <v>541.20792999999981</v>
      </c>
      <c r="CQ196" s="399">
        <v>31</v>
      </c>
      <c r="CR196" s="399">
        <v>650.00081467664859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57.747914635591997</v>
      </c>
      <c r="DA196" s="399">
        <v>0</v>
      </c>
      <c r="DB196" s="399">
        <v>0</v>
      </c>
      <c r="DC196" s="399">
        <v>541.33647951667308</v>
      </c>
      <c r="DD196" s="399">
        <v>0</v>
      </c>
      <c r="DE196" s="399">
        <v>0</v>
      </c>
      <c r="DF196" s="399">
        <v>0</v>
      </c>
      <c r="DG196" s="399">
        <v>52.406895677531054</v>
      </c>
      <c r="DH196" s="399">
        <v>0</v>
      </c>
      <c r="DI196" s="399">
        <v>0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0</v>
      </c>
      <c r="DP196" s="399">
        <v>-1.4904751531463827</v>
      </c>
      <c r="DQ196" s="399">
        <v>0</v>
      </c>
      <c r="DR196" s="399">
        <v>0</v>
      </c>
      <c r="DS196" s="399"/>
      <c r="DT196" s="399"/>
      <c r="DU196" s="399"/>
      <c r="DV196" s="399">
        <v>2130.5638631785937</v>
      </c>
      <c r="DW196" s="399">
        <v>0</v>
      </c>
      <c r="DX196" s="399">
        <v>0</v>
      </c>
      <c r="DY196" s="399">
        <v>-351.98952000000054</v>
      </c>
      <c r="DZ196" s="399">
        <v>541.20793000000049</v>
      </c>
      <c r="EA196" s="399">
        <v>0</v>
      </c>
      <c r="EB196" s="399">
        <v>0</v>
      </c>
      <c r="EC196" s="399">
        <v>-460.61641158795828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215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196</v>
      </c>
      <c r="B197" s="399" t="s">
        <v>956</v>
      </c>
      <c r="C197" s="399" t="s">
        <v>2343</v>
      </c>
      <c r="D197" s="399" t="s">
        <v>1826</v>
      </c>
      <c r="E197" s="399" t="s">
        <v>890</v>
      </c>
      <c r="F197" s="399" t="s">
        <v>1239</v>
      </c>
      <c r="G197" s="399" t="s">
        <v>1239</v>
      </c>
      <c r="H197" s="399" t="s">
        <v>1239</v>
      </c>
      <c r="I197" s="399" t="s">
        <v>1239</v>
      </c>
      <c r="J197" s="399" t="s">
        <v>2344</v>
      </c>
      <c r="K197" s="791">
        <v>44562</v>
      </c>
      <c r="L197" s="399">
        <v>0</v>
      </c>
      <c r="M197" s="399">
        <v>0</v>
      </c>
      <c r="N197" s="399">
        <v>168.566</v>
      </c>
      <c r="O197" s="399">
        <v>168.566</v>
      </c>
      <c r="P197" s="399">
        <v>168.566</v>
      </c>
      <c r="Q197" s="399">
        <v>168.566</v>
      </c>
      <c r="R197" s="399"/>
      <c r="S197" s="399">
        <v>239.69</v>
      </c>
      <c r="T197" s="399">
        <v>171.61</v>
      </c>
      <c r="U197" s="399"/>
      <c r="V197" s="399">
        <v>69331.195800000001</v>
      </c>
      <c r="W197" s="399">
        <v>69331.195800000001</v>
      </c>
      <c r="X197" s="399">
        <v>69076.661139999997</v>
      </c>
      <c r="Y197" s="399">
        <v>0</v>
      </c>
      <c r="Z197" s="399">
        <v>10191.045116135574</v>
      </c>
      <c r="AA197" s="399">
        <v>0</v>
      </c>
      <c r="AB197" s="399">
        <v>0</v>
      </c>
      <c r="AC197" s="399">
        <v>0</v>
      </c>
      <c r="AD197" s="399">
        <v>8990.635000798793</v>
      </c>
      <c r="AE197" s="399">
        <v>14937.429944705853</v>
      </c>
      <c r="AF197" s="399">
        <v>27876.47206676982</v>
      </c>
      <c r="AG197" s="399">
        <v>1051.0691790666035</v>
      </c>
      <c r="AH197" s="399">
        <v>0</v>
      </c>
      <c r="AI197" s="399">
        <v>0</v>
      </c>
      <c r="AJ197" s="399">
        <v>0</v>
      </c>
      <c r="AK197" s="399">
        <v>0</v>
      </c>
      <c r="AL197" s="399">
        <v>1575.7736413049836</v>
      </c>
      <c r="AM197" s="399"/>
      <c r="AN197" s="399">
        <v>66.760841830070802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2698.7269817197403</v>
      </c>
      <c r="BH197" s="399">
        <v>0</v>
      </c>
      <c r="BI197" s="399">
        <v>0</v>
      </c>
      <c r="BJ197" s="399">
        <v>0</v>
      </c>
      <c r="BK197" s="399">
        <v>31003.62</v>
      </c>
      <c r="BL197" s="399">
        <v>77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>
        <v>30575.199048489561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69078.300299999988</v>
      </c>
      <c r="CJ197" s="399">
        <v>-252.92550000001211</v>
      </c>
      <c r="CK197" s="399"/>
      <c r="CL197" s="399"/>
      <c r="CM197" s="399"/>
      <c r="CN197" s="399"/>
      <c r="CO197" s="399">
        <v>-4048.9553200000018</v>
      </c>
      <c r="CP197" s="399">
        <v>3794.4206599999984</v>
      </c>
      <c r="CQ197" s="399">
        <v>31</v>
      </c>
      <c r="CR197" s="399">
        <v>2975.8040061437496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404.87189529023999</v>
      </c>
      <c r="DA197" s="399">
        <v>0</v>
      </c>
      <c r="DB197" s="399">
        <v>0</v>
      </c>
      <c r="DC197" s="399">
        <v>3795.3219234790813</v>
      </c>
      <c r="DD197" s="399">
        <v>0</v>
      </c>
      <c r="DE197" s="399">
        <v>0</v>
      </c>
      <c r="DF197" s="399">
        <v>0</v>
      </c>
      <c r="DG197" s="399">
        <v>367.42589430514863</v>
      </c>
      <c r="DH197" s="399">
        <v>0</v>
      </c>
      <c r="DI197" s="399">
        <v>-1399.7681079838476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-181.59784497834698</v>
      </c>
      <c r="DP197" s="399">
        <v>-10.449753968526103</v>
      </c>
      <c r="DQ197" s="399">
        <v>0</v>
      </c>
      <c r="DR197" s="399">
        <v>0</v>
      </c>
      <c r="DS197" s="399"/>
      <c r="DT197" s="399"/>
      <c r="DU197" s="399"/>
      <c r="DV197" s="399">
        <v>14937.429944705853</v>
      </c>
      <c r="DW197" s="399">
        <v>0</v>
      </c>
      <c r="DX197" s="399">
        <v>0</v>
      </c>
      <c r="DY197" s="399">
        <v>-4048.9553200000082</v>
      </c>
      <c r="DZ197" s="399">
        <v>3794.4206599999998</v>
      </c>
      <c r="EA197" s="399">
        <v>0</v>
      </c>
      <c r="EB197" s="399">
        <v>0</v>
      </c>
      <c r="EC197" s="399">
        <v>-3229.3917579227127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1943.3968402736507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215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197</v>
      </c>
      <c r="B198" s="399" t="s">
        <v>2345</v>
      </c>
      <c r="C198" s="399" t="s">
        <v>2343</v>
      </c>
      <c r="D198" s="399" t="s">
        <v>1826</v>
      </c>
      <c r="E198" s="399" t="s">
        <v>890</v>
      </c>
      <c r="F198" s="399" t="s">
        <v>1239</v>
      </c>
      <c r="G198" s="399" t="s">
        <v>1239</v>
      </c>
      <c r="H198" s="399" t="s">
        <v>1239</v>
      </c>
      <c r="I198" s="399" t="s">
        <v>1239</v>
      </c>
      <c r="J198" s="399" t="s">
        <v>2344</v>
      </c>
      <c r="K198" s="791">
        <v>44562</v>
      </c>
      <c r="L198" s="399">
        <v>0</v>
      </c>
      <c r="M198" s="399">
        <v>0</v>
      </c>
      <c r="N198" s="399">
        <v>9.3940000000000001</v>
      </c>
      <c r="O198" s="399">
        <v>9.3940000000000001</v>
      </c>
      <c r="P198" s="399">
        <v>9.3940000000000001</v>
      </c>
      <c r="Q198" s="399">
        <v>9.3940000000000001</v>
      </c>
      <c r="R198" s="399"/>
      <c r="S198" s="399">
        <v>239.69</v>
      </c>
      <c r="T198" s="399">
        <v>171.61</v>
      </c>
      <c r="U198" s="399"/>
      <c r="V198" s="399">
        <v>3863.7521999999999</v>
      </c>
      <c r="W198" s="399">
        <v>3863.7521999999999</v>
      </c>
      <c r="X198" s="399">
        <v>3849.5672599999998</v>
      </c>
      <c r="Y198" s="399">
        <v>0</v>
      </c>
      <c r="Z198" s="399">
        <v>567.93586975414723</v>
      </c>
      <c r="AA198" s="399">
        <v>0</v>
      </c>
      <c r="AB198" s="399">
        <v>0</v>
      </c>
      <c r="AC198" s="399">
        <v>0</v>
      </c>
      <c r="AD198" s="399">
        <v>501.03831850731382</v>
      </c>
      <c r="AE198" s="399">
        <v>832.44673837290316</v>
      </c>
      <c r="AF198" s="399">
        <v>1553.5254950300516</v>
      </c>
      <c r="AG198" s="399">
        <v>58.574943156696335</v>
      </c>
      <c r="AH198" s="399">
        <v>0</v>
      </c>
      <c r="AI198" s="399">
        <v>0</v>
      </c>
      <c r="AJ198" s="399">
        <v>0</v>
      </c>
      <c r="AK198" s="399">
        <v>0</v>
      </c>
      <c r="AL198" s="399">
        <v>87.816152642994524</v>
      </c>
      <c r="AM198" s="399"/>
      <c r="AN198" s="399">
        <v>3.7205091664492551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150.39712199539196</v>
      </c>
      <c r="BH198" s="399">
        <v>0</v>
      </c>
      <c r="BI198" s="399">
        <v>0</v>
      </c>
      <c r="BJ198" s="399">
        <v>0</v>
      </c>
      <c r="BK198" s="399">
        <v>1726.57</v>
      </c>
      <c r="BL198" s="399">
        <v>0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>
        <v>1703.9226170254435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3847.9281000000001</v>
      </c>
      <c r="CJ198" s="399">
        <v>-15.854100000000471</v>
      </c>
      <c r="CK198" s="399"/>
      <c r="CL198" s="399"/>
      <c r="CM198" s="399"/>
      <c r="CN198" s="399"/>
      <c r="CO198" s="399">
        <v>-225.64388000000011</v>
      </c>
      <c r="CP198" s="399">
        <v>211.45893999999993</v>
      </c>
      <c r="CQ198" s="399">
        <v>31</v>
      </c>
      <c r="CR198" s="399">
        <v>165.83832346804502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22.563070751850944</v>
      </c>
      <c r="DA198" s="399">
        <v>0</v>
      </c>
      <c r="DB198" s="399">
        <v>0</v>
      </c>
      <c r="DC198" s="399">
        <v>211.50916643428968</v>
      </c>
      <c r="DD198" s="399">
        <v>0</v>
      </c>
      <c r="DE198" s="399">
        <v>0</v>
      </c>
      <c r="DF198" s="399">
        <v>0</v>
      </c>
      <c r="DG198" s="399">
        <v>20.47624580937179</v>
      </c>
      <c r="DH198" s="399">
        <v>0</v>
      </c>
      <c r="DI198" s="399">
        <v>-78.007555535518861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-10.120250558989312</v>
      </c>
      <c r="DP198" s="399">
        <v>-0.58235343295999353</v>
      </c>
      <c r="DQ198" s="399">
        <v>0</v>
      </c>
      <c r="DR198" s="399">
        <v>0</v>
      </c>
      <c r="DS198" s="399"/>
      <c r="DT198" s="399"/>
      <c r="DU198" s="399"/>
      <c r="DV198" s="399">
        <v>832.44673837290316</v>
      </c>
      <c r="DW198" s="399">
        <v>0</v>
      </c>
      <c r="DX198" s="399">
        <v>0</v>
      </c>
      <c r="DY198" s="399">
        <v>-225.64388000000008</v>
      </c>
      <c r="DZ198" s="399">
        <v>211.45893999999998</v>
      </c>
      <c r="EA198" s="399">
        <v>0</v>
      </c>
      <c r="EB198" s="399">
        <v>0</v>
      </c>
      <c r="EC198" s="399">
        <v>-179.97049330188747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108.30339402685402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215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198</v>
      </c>
      <c r="B199" s="399" t="s">
        <v>2346</v>
      </c>
      <c r="C199" s="399" t="s">
        <v>2343</v>
      </c>
      <c r="D199" s="399" t="s">
        <v>1826</v>
      </c>
      <c r="E199" s="399" t="s">
        <v>890</v>
      </c>
      <c r="F199" s="399" t="s">
        <v>1239</v>
      </c>
      <c r="G199" s="399" t="s">
        <v>1239</v>
      </c>
      <c r="H199" s="399" t="s">
        <v>1239</v>
      </c>
      <c r="I199" s="399" t="s">
        <v>1239</v>
      </c>
      <c r="J199" s="399" t="s">
        <v>2344</v>
      </c>
      <c r="K199" s="791">
        <v>44562</v>
      </c>
      <c r="L199" s="399">
        <v>0</v>
      </c>
      <c r="M199" s="399">
        <v>0</v>
      </c>
      <c r="N199" s="399">
        <v>6.2190000000000003</v>
      </c>
      <c r="O199" s="399">
        <v>6.2190000000000003</v>
      </c>
      <c r="P199" s="399">
        <v>6.2190000000000003</v>
      </c>
      <c r="Q199" s="399">
        <v>6.2190000000000003</v>
      </c>
      <c r="R199" s="399"/>
      <c r="S199" s="399">
        <v>239.69</v>
      </c>
      <c r="T199" s="399">
        <v>171.61</v>
      </c>
      <c r="U199" s="399"/>
      <c r="V199" s="399">
        <v>2557.8747000000003</v>
      </c>
      <c r="W199" s="399">
        <v>2557.8747000000003</v>
      </c>
      <c r="X199" s="399">
        <v>2548.4840100000001</v>
      </c>
      <c r="Y199" s="399">
        <v>0</v>
      </c>
      <c r="Z199" s="399">
        <v>375.98394443272741</v>
      </c>
      <c r="AA199" s="399">
        <v>0</v>
      </c>
      <c r="AB199" s="399">
        <v>0</v>
      </c>
      <c r="AC199" s="399">
        <v>0</v>
      </c>
      <c r="AD199" s="399">
        <v>331.69654064264262</v>
      </c>
      <c r="AE199" s="399">
        <v>551.09498253577658</v>
      </c>
      <c r="AF199" s="399">
        <v>1028.4623220770591</v>
      </c>
      <c r="AG199" s="399">
        <v>38.777684851127795</v>
      </c>
      <c r="AH199" s="399">
        <v>0</v>
      </c>
      <c r="AI199" s="399">
        <v>0</v>
      </c>
      <c r="AJ199" s="399">
        <v>0</v>
      </c>
      <c r="AK199" s="399">
        <v>0</v>
      </c>
      <c r="AL199" s="399">
        <v>58.135900924716097</v>
      </c>
      <c r="AM199" s="399"/>
      <c r="AN199" s="399">
        <v>2.4630451890725906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99.565648465972174</v>
      </c>
      <c r="BH199" s="399">
        <v>0</v>
      </c>
      <c r="BI199" s="399">
        <v>0</v>
      </c>
      <c r="BJ199" s="399">
        <v>0</v>
      </c>
      <c r="BK199" s="399">
        <v>1212.74</v>
      </c>
      <c r="BL199" s="399">
        <v>5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1128.0279705430312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2548.8937999999998</v>
      </c>
      <c r="CJ199" s="399">
        <v>-9.0109000000002197</v>
      </c>
      <c r="CK199" s="399"/>
      <c r="CL199" s="399"/>
      <c r="CM199" s="399"/>
      <c r="CN199" s="399"/>
      <c r="CO199" s="399">
        <v>-149.38038000000006</v>
      </c>
      <c r="CP199" s="399">
        <v>139.98968999999994</v>
      </c>
      <c r="CQ199" s="399">
        <v>31</v>
      </c>
      <c r="CR199" s="399">
        <v>109.78800656246244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14.937165957607078</v>
      </c>
      <c r="DA199" s="399">
        <v>0</v>
      </c>
      <c r="DB199" s="399">
        <v>0</v>
      </c>
      <c r="DC199" s="399">
        <v>140.02294081912351</v>
      </c>
      <c r="DD199" s="399">
        <v>0</v>
      </c>
      <c r="DE199" s="399">
        <v>0</v>
      </c>
      <c r="DF199" s="399">
        <v>0</v>
      </c>
      <c r="DG199" s="399">
        <v>13.555649636840883</v>
      </c>
      <c r="DH199" s="399">
        <v>0</v>
      </c>
      <c r="DI199" s="399">
        <v>-51.642430048476854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-6.6997911673785993</v>
      </c>
      <c r="DP199" s="399">
        <v>-0.38552863525422598</v>
      </c>
      <c r="DQ199" s="399">
        <v>0</v>
      </c>
      <c r="DR199" s="399">
        <v>0</v>
      </c>
      <c r="DS199" s="399"/>
      <c r="DT199" s="399"/>
      <c r="DU199" s="399"/>
      <c r="DV199" s="399">
        <v>551.09498253577658</v>
      </c>
      <c r="DW199" s="399">
        <v>0</v>
      </c>
      <c r="DX199" s="399">
        <v>0</v>
      </c>
      <c r="DY199" s="399">
        <v>-149.38038000000006</v>
      </c>
      <c r="DZ199" s="399">
        <v>139.98969000000011</v>
      </c>
      <c r="EA199" s="399">
        <v>0</v>
      </c>
      <c r="EB199" s="399">
        <v>0</v>
      </c>
      <c r="EC199" s="399">
        <v>-119.14376174626767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71.698829833191951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215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199</v>
      </c>
      <c r="B200" s="399" t="s">
        <v>956</v>
      </c>
      <c r="C200" s="399" t="s">
        <v>2351</v>
      </c>
      <c r="D200" s="399" t="s">
        <v>533</v>
      </c>
      <c r="E200" s="399" t="s">
        <v>890</v>
      </c>
      <c r="F200" s="399" t="s">
        <v>1239</v>
      </c>
      <c r="G200" s="399" t="s">
        <v>1239</v>
      </c>
      <c r="H200" s="399" t="s">
        <v>1239</v>
      </c>
      <c r="I200" s="399" t="s">
        <v>893</v>
      </c>
      <c r="J200" s="399" t="s">
        <v>2344</v>
      </c>
      <c r="K200" s="791">
        <v>44562</v>
      </c>
      <c r="L200" s="399">
        <v>19406</v>
      </c>
      <c r="M200" s="399">
        <v>19406</v>
      </c>
      <c r="N200" s="399">
        <v>878.91</v>
      </c>
      <c r="O200" s="399">
        <v>878.91</v>
      </c>
      <c r="P200" s="399">
        <v>878.91</v>
      </c>
      <c r="Q200" s="399">
        <v>878.91</v>
      </c>
      <c r="R200" s="399">
        <v>37.64</v>
      </c>
      <c r="S200" s="399">
        <v>78.42</v>
      </c>
      <c r="T200" s="399">
        <v>171.61</v>
      </c>
      <c r="U200" s="399">
        <v>730441.84</v>
      </c>
      <c r="V200" s="399">
        <v>219753.86729999998</v>
      </c>
      <c r="W200" s="399">
        <v>950195.70729999989</v>
      </c>
      <c r="X200" s="399">
        <v>888286.92640000011</v>
      </c>
      <c r="Y200" s="399">
        <v>0</v>
      </c>
      <c r="Z200" s="399">
        <v>46228.776697731228</v>
      </c>
      <c r="AA200" s="399">
        <v>0</v>
      </c>
      <c r="AB200" s="399">
        <v>0</v>
      </c>
      <c r="AC200" s="399">
        <v>0</v>
      </c>
      <c r="AD200" s="399">
        <v>317173.90063288674</v>
      </c>
      <c r="AE200" s="399">
        <v>413201.85584170808</v>
      </c>
      <c r="AF200" s="399">
        <v>145349.0624693275</v>
      </c>
      <c r="AG200" s="399">
        <v>5480.3175739676362</v>
      </c>
      <c r="AH200" s="399">
        <v>0</v>
      </c>
      <c r="AI200" s="399">
        <v>0</v>
      </c>
      <c r="AJ200" s="399">
        <v>0</v>
      </c>
      <c r="AK200" s="399">
        <v>0</v>
      </c>
      <c r="AL200" s="399">
        <v>8216.1480433738889</v>
      </c>
      <c r="AM200" s="399"/>
      <c r="AN200" s="399">
        <v>232.08539196592187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5432.7965085484029</v>
      </c>
      <c r="BH200" s="399">
        <v>0</v>
      </c>
      <c r="BI200" s="399">
        <v>0</v>
      </c>
      <c r="BJ200" s="399">
        <v>0</v>
      </c>
      <c r="BK200" s="399">
        <v>0</v>
      </c>
      <c r="BL200" s="399">
        <v>0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150781.85897787591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888286.92640000011</v>
      </c>
      <c r="CJ200" s="399">
        <v>-61908.810899999808</v>
      </c>
      <c r="CK200" s="399"/>
      <c r="CL200" s="399"/>
      <c r="CM200" s="399"/>
      <c r="CN200" s="399"/>
      <c r="CO200" s="399">
        <v>-81693.044999999955</v>
      </c>
      <c r="CP200" s="399">
        <v>19784.264099999993</v>
      </c>
      <c r="CQ200" s="399">
        <v>31</v>
      </c>
      <c r="CR200" s="399">
        <v>27478.964725057129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14283.173354765808</v>
      </c>
      <c r="DA200" s="399">
        <v>0</v>
      </c>
      <c r="DB200" s="399">
        <v>0</v>
      </c>
      <c r="DC200" s="399">
        <v>19788.963324543496</v>
      </c>
      <c r="DD200" s="399">
        <v>0</v>
      </c>
      <c r="DE200" s="399">
        <v>0</v>
      </c>
      <c r="DF200" s="399">
        <v>0</v>
      </c>
      <c r="DG200" s="399">
        <v>739.66360037620962</v>
      </c>
      <c r="DH200" s="399">
        <v>0</v>
      </c>
      <c r="DI200" s="399">
        <v>-6349.6497714582001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-946.85857130096792</v>
      </c>
      <c r="DP200" s="399">
        <v>-36.327211869285634</v>
      </c>
      <c r="DQ200" s="399">
        <v>0</v>
      </c>
      <c r="DR200" s="399">
        <v>0</v>
      </c>
      <c r="DS200" s="399"/>
      <c r="DT200" s="399"/>
      <c r="DU200" s="399">
        <v>413201.85584170808</v>
      </c>
      <c r="DV200" s="399">
        <v>0</v>
      </c>
      <c r="DW200" s="399">
        <v>0</v>
      </c>
      <c r="DX200" s="399">
        <v>0</v>
      </c>
      <c r="DY200" s="399">
        <v>-81693.044999999809</v>
      </c>
      <c r="DZ200" s="399">
        <v>19784.2641</v>
      </c>
      <c r="EA200" s="399">
        <v>0</v>
      </c>
      <c r="EB200" s="399">
        <v>0</v>
      </c>
      <c r="EC200" s="399">
        <v>-89332.011768630764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8815.6668467536219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215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200</v>
      </c>
      <c r="B201" s="399" t="s">
        <v>2346</v>
      </c>
      <c r="C201" s="399" t="s">
        <v>2351</v>
      </c>
      <c r="D201" s="399" t="s">
        <v>533</v>
      </c>
      <c r="E201" s="399" t="s">
        <v>890</v>
      </c>
      <c r="F201" s="399" t="s">
        <v>1239</v>
      </c>
      <c r="G201" s="399" t="s">
        <v>1239</v>
      </c>
      <c r="H201" s="399" t="s">
        <v>1239</v>
      </c>
      <c r="I201" s="399" t="s">
        <v>893</v>
      </c>
      <c r="J201" s="399" t="s">
        <v>2344</v>
      </c>
      <c r="K201" s="791">
        <v>44562</v>
      </c>
      <c r="L201" s="399">
        <v>1580</v>
      </c>
      <c r="M201" s="399">
        <v>1580</v>
      </c>
      <c r="N201" s="399">
        <v>80.210999999999999</v>
      </c>
      <c r="O201" s="399">
        <v>80.210999999999999</v>
      </c>
      <c r="P201" s="399">
        <v>80.210999999999999</v>
      </c>
      <c r="Q201" s="399">
        <v>80.210999999999999</v>
      </c>
      <c r="R201" s="399">
        <v>37.64</v>
      </c>
      <c r="S201" s="399">
        <v>78.42</v>
      </c>
      <c r="T201" s="399">
        <v>171.61</v>
      </c>
      <c r="U201" s="399">
        <v>59471.200000000004</v>
      </c>
      <c r="V201" s="399">
        <v>20055.156330000002</v>
      </c>
      <c r="W201" s="399">
        <v>79526.35633000001</v>
      </c>
      <c r="X201" s="399">
        <v>74615.723440000002</v>
      </c>
      <c r="Y201" s="399">
        <v>0</v>
      </c>
      <c r="Z201" s="399">
        <v>4218.9261786778161</v>
      </c>
      <c r="AA201" s="399">
        <v>0</v>
      </c>
      <c r="AB201" s="399">
        <v>0</v>
      </c>
      <c r="AC201" s="399">
        <v>0</v>
      </c>
      <c r="AD201" s="399">
        <v>25823.70210244054</v>
      </c>
      <c r="AE201" s="399">
        <v>33642.117501283043</v>
      </c>
      <c r="AF201" s="399">
        <v>13264.832178183466</v>
      </c>
      <c r="AG201" s="399">
        <v>500.14421604660095</v>
      </c>
      <c r="AH201" s="399">
        <v>0</v>
      </c>
      <c r="AI201" s="399">
        <v>0</v>
      </c>
      <c r="AJ201" s="399">
        <v>0</v>
      </c>
      <c r="AK201" s="399">
        <v>0</v>
      </c>
      <c r="AL201" s="399">
        <v>749.82131356687603</v>
      </c>
      <c r="AM201" s="399"/>
      <c r="AN201" s="399">
        <v>21.180554749608671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495.80735313874675</v>
      </c>
      <c r="BH201" s="399">
        <v>0</v>
      </c>
      <c r="BI201" s="399">
        <v>0</v>
      </c>
      <c r="BJ201" s="399">
        <v>0</v>
      </c>
      <c r="BK201" s="399">
        <v>0</v>
      </c>
      <c r="BL201" s="399">
        <v>0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13760.639531322213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74615.458400000003</v>
      </c>
      <c r="CJ201" s="399">
        <v>-4910.9279299999907</v>
      </c>
      <c r="CK201" s="399"/>
      <c r="CL201" s="399"/>
      <c r="CM201" s="399"/>
      <c r="CN201" s="399"/>
      <c r="CO201" s="399">
        <v>-6716.1824999999953</v>
      </c>
      <c r="CP201" s="399">
        <v>1805.5496099999993</v>
      </c>
      <c r="CQ201" s="399">
        <v>31</v>
      </c>
      <c r="CR201" s="399">
        <v>2367.1821397218519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1162.909095152525</v>
      </c>
      <c r="DA201" s="399">
        <v>0</v>
      </c>
      <c r="DB201" s="399">
        <v>0</v>
      </c>
      <c r="DC201" s="399">
        <v>1805.9784701789231</v>
      </c>
      <c r="DD201" s="399">
        <v>0</v>
      </c>
      <c r="DE201" s="399">
        <v>0</v>
      </c>
      <c r="DF201" s="399">
        <v>0</v>
      </c>
      <c r="DG201" s="399">
        <v>67.503108452260449</v>
      </c>
      <c r="DH201" s="399">
        <v>0</v>
      </c>
      <c r="DI201" s="399">
        <v>-579.48112755394004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-86.412115987555012</v>
      </c>
      <c r="DP201" s="399">
        <v>-3.3152905203573368</v>
      </c>
      <c r="DQ201" s="399">
        <v>0</v>
      </c>
      <c r="DR201" s="399">
        <v>0</v>
      </c>
      <c r="DS201" s="399"/>
      <c r="DT201" s="399"/>
      <c r="DU201" s="399">
        <v>33642.117501283043</v>
      </c>
      <c r="DV201" s="399">
        <v>0</v>
      </c>
      <c r="DW201" s="399">
        <v>0</v>
      </c>
      <c r="DX201" s="399">
        <v>0</v>
      </c>
      <c r="DY201" s="399">
        <v>-6716.1825000000026</v>
      </c>
      <c r="DZ201" s="399">
        <v>1805.54961</v>
      </c>
      <c r="EA201" s="399">
        <v>0</v>
      </c>
      <c r="EB201" s="399">
        <v>0</v>
      </c>
      <c r="EC201" s="399">
        <v>-7273.2442849859071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804.53454101666239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215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201</v>
      </c>
      <c r="B202" s="399" t="s">
        <v>956</v>
      </c>
      <c r="C202" s="399" t="s">
        <v>2351</v>
      </c>
      <c r="D202" s="399" t="s">
        <v>533</v>
      </c>
      <c r="E202" s="399" t="s">
        <v>890</v>
      </c>
      <c r="F202" s="399" t="s">
        <v>1239</v>
      </c>
      <c r="G202" s="399" t="s">
        <v>1239</v>
      </c>
      <c r="H202" s="399" t="s">
        <v>1239</v>
      </c>
      <c r="I202" s="399" t="s">
        <v>2326</v>
      </c>
      <c r="J202" s="399" t="s">
        <v>2344</v>
      </c>
      <c r="K202" s="791">
        <v>44562</v>
      </c>
      <c r="L202" s="399">
        <v>21542</v>
      </c>
      <c r="M202" s="399">
        <v>21542</v>
      </c>
      <c r="N202" s="399">
        <v>7529.5959999999995</v>
      </c>
      <c r="O202" s="399">
        <v>7529.5959999999995</v>
      </c>
      <c r="P202" s="399">
        <v>7529.5959999999995</v>
      </c>
      <c r="Q202" s="399">
        <v>7529.5959999999995</v>
      </c>
      <c r="R202" s="399">
        <v>12.58</v>
      </c>
      <c r="S202" s="399">
        <v>78.42</v>
      </c>
      <c r="T202" s="399">
        <v>171.61</v>
      </c>
      <c r="U202" s="399">
        <v>270998.36</v>
      </c>
      <c r="V202" s="399">
        <v>1882624.8878800001</v>
      </c>
      <c r="W202" s="399">
        <v>2153623.2478800002</v>
      </c>
      <c r="X202" s="399">
        <v>2245315.9038399998</v>
      </c>
      <c r="Y202" s="399">
        <v>0</v>
      </c>
      <c r="Z202" s="399">
        <v>396040.56400328845</v>
      </c>
      <c r="AA202" s="399">
        <v>0</v>
      </c>
      <c r="AB202" s="399">
        <v>0</v>
      </c>
      <c r="AC202" s="399">
        <v>0</v>
      </c>
      <c r="AD202" s="399">
        <v>142768.30003931231</v>
      </c>
      <c r="AE202" s="399">
        <v>128168.63182534366</v>
      </c>
      <c r="AF202" s="399">
        <v>1245201.1234060354</v>
      </c>
      <c r="AG202" s="399">
        <v>46949.718723960832</v>
      </c>
      <c r="AH202" s="399">
        <v>0</v>
      </c>
      <c r="AI202" s="399">
        <v>0</v>
      </c>
      <c r="AJ202" s="399">
        <v>0</v>
      </c>
      <c r="AK202" s="399">
        <v>0</v>
      </c>
      <c r="AL202" s="399">
        <v>70387.497517147218</v>
      </c>
      <c r="AM202" s="399"/>
      <c r="AN202" s="399">
        <v>1988.2686953215202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46542.607160664935</v>
      </c>
      <c r="BH202" s="399">
        <v>0</v>
      </c>
      <c r="BI202" s="399">
        <v>0</v>
      </c>
      <c r="BJ202" s="399">
        <v>0</v>
      </c>
      <c r="BK202" s="399">
        <v>0</v>
      </c>
      <c r="BL202" s="399">
        <v>0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1291743.7305667002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2245316.9640000002</v>
      </c>
      <c r="CJ202" s="399">
        <v>91693.686120000202</v>
      </c>
      <c r="CK202" s="399"/>
      <c r="CL202" s="399"/>
      <c r="CM202" s="399"/>
      <c r="CN202" s="399"/>
      <c r="CO202" s="399">
        <v>-77798.55</v>
      </c>
      <c r="CP202" s="399">
        <v>169491.20595999993</v>
      </c>
      <c r="CQ202" s="399">
        <v>31</v>
      </c>
      <c r="CR202" s="399">
        <v>119477.18609059346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6429.2313300613023</v>
      </c>
      <c r="DA202" s="399">
        <v>0</v>
      </c>
      <c r="DB202" s="399">
        <v>0</v>
      </c>
      <c r="DC202" s="399">
        <v>169531.46407781146</v>
      </c>
      <c r="DD202" s="399">
        <v>0</v>
      </c>
      <c r="DE202" s="399">
        <v>0</v>
      </c>
      <c r="DF202" s="399">
        <v>0</v>
      </c>
      <c r="DG202" s="399">
        <v>6336.6762088704345</v>
      </c>
      <c r="DH202" s="399">
        <v>0</v>
      </c>
      <c r="DI202" s="399">
        <v>-54397.261972867069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-8111.7094025935367</v>
      </c>
      <c r="DP202" s="399">
        <v>-311.21415068906435</v>
      </c>
      <c r="DQ202" s="399">
        <v>0</v>
      </c>
      <c r="DR202" s="399">
        <v>0</v>
      </c>
      <c r="DS202" s="399"/>
      <c r="DT202" s="399"/>
      <c r="DU202" s="399">
        <v>128168.63182534366</v>
      </c>
      <c r="DV202" s="399">
        <v>0</v>
      </c>
      <c r="DW202" s="399">
        <v>0</v>
      </c>
      <c r="DX202" s="399">
        <v>0</v>
      </c>
      <c r="DY202" s="399">
        <v>-77798.54999999993</v>
      </c>
      <c r="DZ202" s="399">
        <v>169491.20595999993</v>
      </c>
      <c r="EA202" s="399">
        <v>0</v>
      </c>
      <c r="EB202" s="399">
        <v>0</v>
      </c>
      <c r="EC202" s="399">
        <v>-27709.366656323153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75523.55739114208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215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202</v>
      </c>
      <c r="B203" s="399" t="s">
        <v>2346</v>
      </c>
      <c r="C203" s="399" t="s">
        <v>2351</v>
      </c>
      <c r="D203" s="399" t="s">
        <v>533</v>
      </c>
      <c r="E203" s="399" t="s">
        <v>890</v>
      </c>
      <c r="F203" s="399" t="s">
        <v>1239</v>
      </c>
      <c r="G203" s="399" t="s">
        <v>1239</v>
      </c>
      <c r="H203" s="399" t="s">
        <v>1239</v>
      </c>
      <c r="I203" s="399" t="s">
        <v>2326</v>
      </c>
      <c r="J203" s="399" t="s">
        <v>2344</v>
      </c>
      <c r="K203" s="791">
        <v>44562</v>
      </c>
      <c r="L203" s="399">
        <v>2000</v>
      </c>
      <c r="M203" s="399">
        <v>2000</v>
      </c>
      <c r="N203" s="399">
        <v>697.65599999999995</v>
      </c>
      <c r="O203" s="399">
        <v>697.65599999999995</v>
      </c>
      <c r="P203" s="399">
        <v>697.65599999999995</v>
      </c>
      <c r="Q203" s="399">
        <v>697.65599999999995</v>
      </c>
      <c r="R203" s="399">
        <v>12.58</v>
      </c>
      <c r="S203" s="399">
        <v>78.42</v>
      </c>
      <c r="T203" s="399">
        <v>171.61</v>
      </c>
      <c r="U203" s="399">
        <v>25160</v>
      </c>
      <c r="V203" s="399">
        <v>174434.92968</v>
      </c>
      <c r="W203" s="399">
        <v>199594.92968</v>
      </c>
      <c r="X203" s="399">
        <v>208086.74624000001</v>
      </c>
      <c r="Y203" s="399">
        <v>0</v>
      </c>
      <c r="Z203" s="399">
        <v>36695.205920779576</v>
      </c>
      <c r="AA203" s="399">
        <v>0</v>
      </c>
      <c r="AB203" s="399">
        <v>0</v>
      </c>
      <c r="AC203" s="399">
        <v>0</v>
      </c>
      <c r="AD203" s="399">
        <v>13254.878844983039</v>
      </c>
      <c r="AE203" s="399">
        <v>11899.418050816421</v>
      </c>
      <c r="AF203" s="399">
        <v>115374.32220147813</v>
      </c>
      <c r="AG203" s="399">
        <v>4350.134185962118</v>
      </c>
      <c r="AH203" s="399">
        <v>0</v>
      </c>
      <c r="AI203" s="399">
        <v>0</v>
      </c>
      <c r="AJ203" s="399">
        <v>0</v>
      </c>
      <c r="AK203" s="399">
        <v>0</v>
      </c>
      <c r="AL203" s="399">
        <v>6521.7655725251207</v>
      </c>
      <c r="AM203" s="399"/>
      <c r="AN203" s="399">
        <v>184.22337465426173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4312.4131947160049</v>
      </c>
      <c r="BH203" s="399">
        <v>0</v>
      </c>
      <c r="BI203" s="399">
        <v>0</v>
      </c>
      <c r="BJ203" s="399">
        <v>0</v>
      </c>
      <c r="BK203" s="399">
        <v>0</v>
      </c>
      <c r="BL203" s="399">
        <v>0</v>
      </c>
      <c r="BM203" s="399"/>
      <c r="BN203" s="399"/>
      <c r="BO203" s="399"/>
      <c r="BP203" s="399"/>
      <c r="BQ203" s="399"/>
      <c r="BR203" s="399"/>
      <c r="BS203" s="399"/>
      <c r="BT203" s="399"/>
      <c r="BU203" s="399"/>
      <c r="BV203" s="399">
        <v>119686.73539619414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208087.8064</v>
      </c>
      <c r="CJ203" s="399">
        <v>8492.8467200000014</v>
      </c>
      <c r="CK203" s="399"/>
      <c r="CL203" s="399"/>
      <c r="CM203" s="399"/>
      <c r="CN203" s="399"/>
      <c r="CO203" s="399">
        <v>-7212.42</v>
      </c>
      <c r="CP203" s="399">
        <v>15704.236559999992</v>
      </c>
      <c r="CQ203" s="399">
        <v>31</v>
      </c>
      <c r="CR203" s="399">
        <v>11071.379494962806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596.90198960740054</v>
      </c>
      <c r="DA203" s="399">
        <v>0</v>
      </c>
      <c r="DB203" s="399">
        <v>0</v>
      </c>
      <c r="DC203" s="399">
        <v>15707.966682763552</v>
      </c>
      <c r="DD203" s="399">
        <v>0</v>
      </c>
      <c r="DE203" s="399">
        <v>0</v>
      </c>
      <c r="DF203" s="399">
        <v>0</v>
      </c>
      <c r="DG203" s="399">
        <v>587.12581354639951</v>
      </c>
      <c r="DH203" s="399">
        <v>0</v>
      </c>
      <c r="DI203" s="399">
        <v>-5040.1875743323471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-751.59181647671357</v>
      </c>
      <c r="DP203" s="399">
        <v>-28.8356001454965</v>
      </c>
      <c r="DQ203" s="399">
        <v>0</v>
      </c>
      <c r="DR203" s="399">
        <v>0</v>
      </c>
      <c r="DS203" s="399"/>
      <c r="DT203" s="399"/>
      <c r="DU203" s="399">
        <v>11899.418050816421</v>
      </c>
      <c r="DV203" s="399">
        <v>0</v>
      </c>
      <c r="DW203" s="399">
        <v>0</v>
      </c>
      <c r="DX203" s="399">
        <v>0</v>
      </c>
      <c r="DY203" s="399">
        <v>-7212.4199999999837</v>
      </c>
      <c r="DZ203" s="399">
        <v>15704.236560000005</v>
      </c>
      <c r="EA203" s="399">
        <v>0</v>
      </c>
      <c r="EB203" s="399">
        <v>0</v>
      </c>
      <c r="EC203" s="399">
        <v>-2572.5899783050008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6997.6480750460732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215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203</v>
      </c>
      <c r="B204" s="399" t="s">
        <v>956</v>
      </c>
      <c r="C204" s="399" t="s">
        <v>2351</v>
      </c>
      <c r="D204" s="399" t="s">
        <v>533</v>
      </c>
      <c r="E204" s="399" t="s">
        <v>890</v>
      </c>
      <c r="F204" s="399" t="s">
        <v>1239</v>
      </c>
      <c r="G204" s="399" t="s">
        <v>1239</v>
      </c>
      <c r="H204" s="399" t="s">
        <v>1239</v>
      </c>
      <c r="I204" s="399" t="s">
        <v>1239</v>
      </c>
      <c r="J204" s="399" t="s">
        <v>2344</v>
      </c>
      <c r="K204" s="791">
        <v>44562</v>
      </c>
      <c r="L204" s="399">
        <v>0</v>
      </c>
      <c r="M204" s="399">
        <v>0</v>
      </c>
      <c r="N204" s="399">
        <v>0</v>
      </c>
      <c r="O204" s="399">
        <v>0</v>
      </c>
      <c r="P204" s="399">
        <v>0</v>
      </c>
      <c r="Q204" s="399">
        <v>0</v>
      </c>
      <c r="R204" s="399"/>
      <c r="S204" s="399"/>
      <c r="T204" s="399"/>
      <c r="U204" s="399"/>
      <c r="V204" s="399"/>
      <c r="W204" s="399"/>
      <c r="X204" s="399"/>
      <c r="Y204" s="399"/>
      <c r="Z204" s="399"/>
      <c r="AA204" s="399">
        <v>0</v>
      </c>
      <c r="AB204" s="399"/>
      <c r="AC204" s="399"/>
      <c r="AD204" s="399"/>
      <c r="AE204" s="399"/>
      <c r="AF204" s="399"/>
      <c r="AG204" s="399"/>
      <c r="AH204" s="399"/>
      <c r="AI204" s="399"/>
      <c r="AJ204" s="399"/>
      <c r="AK204" s="399"/>
      <c r="AL204" s="399"/>
      <c r="AM204" s="399"/>
      <c r="AN204" s="399"/>
      <c r="AO204" s="399"/>
      <c r="AP204" s="399"/>
      <c r="AQ204" s="399"/>
      <c r="AR204" s="399"/>
      <c r="AS204" s="399"/>
      <c r="AT204" s="399"/>
      <c r="AU204" s="399"/>
      <c r="AV204" s="399"/>
      <c r="AW204" s="399"/>
      <c r="AX204" s="399"/>
      <c r="AY204" s="399"/>
      <c r="AZ204" s="399">
        <v>0</v>
      </c>
      <c r="BA204" s="399"/>
      <c r="BB204" s="399"/>
      <c r="BC204" s="399"/>
      <c r="BD204" s="399"/>
      <c r="BE204" s="399"/>
      <c r="BF204" s="399"/>
      <c r="BG204" s="399"/>
      <c r="BH204" s="399"/>
      <c r="BI204" s="399">
        <v>0</v>
      </c>
      <c r="BJ204" s="399">
        <v>0</v>
      </c>
      <c r="BK204" s="399">
        <v>1424584.94</v>
      </c>
      <c r="BL204" s="399">
        <v>22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/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/>
      <c r="CJ204" s="399">
        <v>-0.03</v>
      </c>
      <c r="CK204" s="399"/>
      <c r="CL204" s="399"/>
      <c r="CM204" s="399"/>
      <c r="CN204" s="399"/>
      <c r="CO204" s="399">
        <v>0</v>
      </c>
      <c r="CP204" s="399">
        <v>0</v>
      </c>
      <c r="CQ204" s="399">
        <v>31</v>
      </c>
      <c r="CR204" s="399"/>
      <c r="CS204" s="399"/>
      <c r="CT204" s="399"/>
      <c r="CU204" s="399"/>
      <c r="CV204" s="399"/>
      <c r="CW204" s="399"/>
      <c r="CX204" s="399"/>
      <c r="CY204" s="399"/>
      <c r="CZ204" s="399"/>
      <c r="DA204" s="399"/>
      <c r="DB204" s="399"/>
      <c r="DC204" s="399"/>
      <c r="DD204" s="399"/>
      <c r="DE204" s="399"/>
      <c r="DF204" s="399"/>
      <c r="DG204" s="399"/>
      <c r="DH204" s="399"/>
      <c r="DI204" s="399"/>
      <c r="DJ204" s="399"/>
      <c r="DK204" s="399">
        <v>0</v>
      </c>
      <c r="DL204" s="399"/>
      <c r="DM204" s="399"/>
      <c r="DN204" s="399"/>
      <c r="DO204" s="399"/>
      <c r="DP204" s="399"/>
      <c r="DQ204" s="399"/>
      <c r="DR204" s="399"/>
      <c r="DS204" s="399"/>
      <c r="DT204" s="399"/>
      <c r="DU204" s="399"/>
      <c r="DV204" s="399"/>
      <c r="DW204" s="399"/>
      <c r="DX204" s="399"/>
      <c r="DY204" s="399"/>
      <c r="DZ204" s="399"/>
      <c r="EA204" s="399"/>
      <c r="EB204" s="399"/>
      <c r="EC204" s="399"/>
      <c r="ED204" s="399"/>
      <c r="EE204" s="399"/>
      <c r="EF204" s="399"/>
      <c r="EG204" s="399"/>
      <c r="EH204" s="399"/>
      <c r="EI204" s="399"/>
      <c r="EJ204" s="399"/>
      <c r="EK204" s="399"/>
      <c r="EL204" s="399"/>
      <c r="EM204" s="399"/>
      <c r="EN204" s="399"/>
      <c r="EO204" s="399"/>
      <c r="EP204" s="399"/>
      <c r="EQ204" s="399"/>
      <c r="ER204" s="399"/>
      <c r="ES204" s="399"/>
      <c r="ET204" s="399"/>
      <c r="EU204" s="399"/>
      <c r="EV204" s="399">
        <v>215</v>
      </c>
      <c r="EW204" s="399"/>
      <c r="EX204" s="399"/>
      <c r="EY204" s="399"/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204</v>
      </c>
      <c r="B205" s="399" t="s">
        <v>2346</v>
      </c>
      <c r="C205" s="399" t="s">
        <v>2351</v>
      </c>
      <c r="D205" s="399" t="s">
        <v>533</v>
      </c>
      <c r="E205" s="399" t="s">
        <v>890</v>
      </c>
      <c r="F205" s="399" t="s">
        <v>1239</v>
      </c>
      <c r="G205" s="399" t="s">
        <v>1239</v>
      </c>
      <c r="H205" s="399" t="s">
        <v>1239</v>
      </c>
      <c r="I205" s="399" t="s">
        <v>1239</v>
      </c>
      <c r="J205" s="399" t="s">
        <v>2344</v>
      </c>
      <c r="K205" s="791">
        <v>44562</v>
      </c>
      <c r="L205" s="399">
        <v>0</v>
      </c>
      <c r="M205" s="399">
        <v>0</v>
      </c>
      <c r="N205" s="399">
        <v>0</v>
      </c>
      <c r="O205" s="399">
        <v>0</v>
      </c>
      <c r="P205" s="399">
        <v>0</v>
      </c>
      <c r="Q205" s="399">
        <v>0</v>
      </c>
      <c r="R205" s="399"/>
      <c r="S205" s="399"/>
      <c r="T205" s="399"/>
      <c r="U205" s="399"/>
      <c r="V205" s="399"/>
      <c r="W205" s="399"/>
      <c r="X205" s="399"/>
      <c r="Y205" s="399"/>
      <c r="Z205" s="399"/>
      <c r="AA205" s="399">
        <v>0</v>
      </c>
      <c r="AB205" s="399"/>
      <c r="AC205" s="399"/>
      <c r="AD205" s="399"/>
      <c r="AE205" s="399"/>
      <c r="AF205" s="399"/>
      <c r="AG205" s="399"/>
      <c r="AH205" s="399"/>
      <c r="AI205" s="399"/>
      <c r="AJ205" s="399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>
        <v>0</v>
      </c>
      <c r="BA205" s="399"/>
      <c r="BB205" s="399"/>
      <c r="BC205" s="399"/>
      <c r="BD205" s="399"/>
      <c r="BE205" s="399"/>
      <c r="BF205" s="399"/>
      <c r="BG205" s="399"/>
      <c r="BH205" s="399"/>
      <c r="BI205" s="399">
        <v>0</v>
      </c>
      <c r="BJ205" s="399">
        <v>0</v>
      </c>
      <c r="BK205" s="399">
        <v>130000.82</v>
      </c>
      <c r="BL205" s="399">
        <v>3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/>
      <c r="CJ205" s="399">
        <v>-0.03</v>
      </c>
      <c r="CK205" s="399"/>
      <c r="CL205" s="399"/>
      <c r="CM205" s="399"/>
      <c r="CN205" s="399"/>
      <c r="CO205" s="399">
        <v>0</v>
      </c>
      <c r="CP205" s="399">
        <v>0</v>
      </c>
      <c r="CQ205" s="399">
        <v>31</v>
      </c>
      <c r="CR205" s="399"/>
      <c r="CS205" s="399"/>
      <c r="CT205" s="399"/>
      <c r="CU205" s="399"/>
      <c r="CV205" s="399"/>
      <c r="CW205" s="399"/>
      <c r="CX205" s="399"/>
      <c r="CY205" s="399"/>
      <c r="CZ205" s="399"/>
      <c r="DA205" s="399"/>
      <c r="DB205" s="399"/>
      <c r="DC205" s="399"/>
      <c r="DD205" s="399"/>
      <c r="DE205" s="399"/>
      <c r="DF205" s="399"/>
      <c r="DG205" s="399"/>
      <c r="DH205" s="399"/>
      <c r="DI205" s="399"/>
      <c r="DJ205" s="399"/>
      <c r="DK205" s="399">
        <v>0</v>
      </c>
      <c r="DL205" s="399"/>
      <c r="DM205" s="399"/>
      <c r="DN205" s="399"/>
      <c r="DO205" s="399"/>
      <c r="DP205" s="399"/>
      <c r="DQ205" s="399"/>
      <c r="DR205" s="399"/>
      <c r="DS205" s="399"/>
      <c r="DT205" s="399"/>
      <c r="DU205" s="399"/>
      <c r="DV205" s="399"/>
      <c r="DW205" s="399"/>
      <c r="DX205" s="399"/>
      <c r="DY205" s="399"/>
      <c r="DZ205" s="399"/>
      <c r="EA205" s="399"/>
      <c r="EB205" s="399"/>
      <c r="EC205" s="399"/>
      <c r="ED205" s="399"/>
      <c r="EE205" s="399"/>
      <c r="EF205" s="399"/>
      <c r="EG205" s="399"/>
      <c r="EH205" s="399"/>
      <c r="EI205" s="399"/>
      <c r="EJ205" s="399"/>
      <c r="EK205" s="399"/>
      <c r="EL205" s="399"/>
      <c r="EM205" s="399"/>
      <c r="EN205" s="399"/>
      <c r="EO205" s="399"/>
      <c r="EP205" s="399"/>
      <c r="EQ205" s="399"/>
      <c r="ER205" s="399"/>
      <c r="ES205" s="399"/>
      <c r="ET205" s="399"/>
      <c r="EU205" s="399"/>
      <c r="EV205" s="399">
        <v>215</v>
      </c>
      <c r="EW205" s="399"/>
      <c r="EX205" s="399"/>
      <c r="EY205" s="399"/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205</v>
      </c>
      <c r="B206" s="399" t="s">
        <v>956</v>
      </c>
      <c r="C206" s="399" t="s">
        <v>2352</v>
      </c>
      <c r="D206" s="399" t="s">
        <v>533</v>
      </c>
      <c r="E206" s="399" t="s">
        <v>890</v>
      </c>
      <c r="F206" s="399" t="s">
        <v>1239</v>
      </c>
      <c r="G206" s="399" t="s">
        <v>1239</v>
      </c>
      <c r="H206" s="399" t="s">
        <v>1239</v>
      </c>
      <c r="I206" s="399" t="s">
        <v>893</v>
      </c>
      <c r="J206" s="399" t="s">
        <v>2344</v>
      </c>
      <c r="K206" s="791">
        <v>44562</v>
      </c>
      <c r="L206" s="399">
        <v>0</v>
      </c>
      <c r="M206" s="399">
        <v>0</v>
      </c>
      <c r="N206" s="399">
        <v>153.42099999999999</v>
      </c>
      <c r="O206" s="399">
        <v>153.42099999999999</v>
      </c>
      <c r="P206" s="399">
        <v>153.42099999999999</v>
      </c>
      <c r="Q206" s="399">
        <v>153.42099999999999</v>
      </c>
      <c r="R206" s="399"/>
      <c r="S206" s="399">
        <v>984.21</v>
      </c>
      <c r="T206" s="399">
        <v>171.61</v>
      </c>
      <c r="U206" s="399"/>
      <c r="V206" s="399">
        <v>177327.06021999998</v>
      </c>
      <c r="W206" s="399">
        <v>177327.06021999998</v>
      </c>
      <c r="X206" s="399">
        <v>165364.82485</v>
      </c>
      <c r="Y206" s="399">
        <v>0</v>
      </c>
      <c r="Z206" s="399">
        <v>8069.614806683986</v>
      </c>
      <c r="AA206" s="399">
        <v>0</v>
      </c>
      <c r="AB206" s="399">
        <v>0</v>
      </c>
      <c r="AC206" s="399">
        <v>0</v>
      </c>
      <c r="AD206" s="399">
        <v>60403.177154309924</v>
      </c>
      <c r="AE206" s="399">
        <v>78564.151056495815</v>
      </c>
      <c r="AF206" s="399">
        <v>25371.879388227117</v>
      </c>
      <c r="AG206" s="399">
        <v>956.63469810980496</v>
      </c>
      <c r="AH206" s="399">
        <v>0</v>
      </c>
      <c r="AI206" s="399">
        <v>0</v>
      </c>
      <c r="AJ206" s="399">
        <v>0</v>
      </c>
      <c r="AK206" s="399">
        <v>0</v>
      </c>
      <c r="AL206" s="399">
        <v>1434.1965035811011</v>
      </c>
      <c r="AM206" s="399"/>
      <c r="AN206" s="399">
        <v>40.512422114668965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948.33950363291399</v>
      </c>
      <c r="BH206" s="399">
        <v>0</v>
      </c>
      <c r="BI206" s="399">
        <v>0</v>
      </c>
      <c r="BJ206" s="399">
        <v>0</v>
      </c>
      <c r="BK206" s="399">
        <v>0</v>
      </c>
      <c r="BL206" s="399">
        <v>0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26320.21889186003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165363.747</v>
      </c>
      <c r="CJ206" s="399">
        <v>-11963.34322000001</v>
      </c>
      <c r="CK206" s="399"/>
      <c r="CL206" s="399"/>
      <c r="CM206" s="399"/>
      <c r="CN206" s="399"/>
      <c r="CO206" s="399">
        <v>-15415.742080000002</v>
      </c>
      <c r="CP206" s="399">
        <v>3453.5067099999983</v>
      </c>
      <c r="CQ206" s="399">
        <v>31</v>
      </c>
      <c r="CR206" s="399">
        <v>5023.5480073567014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2720.1136308887508</v>
      </c>
      <c r="DA206" s="399">
        <v>0</v>
      </c>
      <c r="DB206" s="399">
        <v>0</v>
      </c>
      <c r="DC206" s="399">
        <v>3454.3269984580766</v>
      </c>
      <c r="DD206" s="399">
        <v>0</v>
      </c>
      <c r="DE206" s="399">
        <v>0</v>
      </c>
      <c r="DF206" s="399">
        <v>0</v>
      </c>
      <c r="DG206" s="399">
        <v>129.11439081739729</v>
      </c>
      <c r="DH206" s="399">
        <v>0</v>
      </c>
      <c r="DI206" s="399">
        <v>-1108.3838135723654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-165.28198435285299</v>
      </c>
      <c r="DP206" s="399">
        <v>-6.3412148822947429</v>
      </c>
      <c r="DQ206" s="399">
        <v>0</v>
      </c>
      <c r="DR206" s="399">
        <v>0</v>
      </c>
      <c r="DS206" s="399"/>
      <c r="DT206" s="399"/>
      <c r="DU206" s="399"/>
      <c r="DV206" s="399">
        <v>78564.151056495815</v>
      </c>
      <c r="DW206" s="399">
        <v>0</v>
      </c>
      <c r="DX206" s="399">
        <v>0</v>
      </c>
      <c r="DY206" s="399">
        <v>-15415.742079999996</v>
      </c>
      <c r="DZ206" s="399">
        <v>3453.5067099999978</v>
      </c>
      <c r="EA206" s="399">
        <v>0</v>
      </c>
      <c r="EB206" s="399">
        <v>0</v>
      </c>
      <c r="EC206" s="399">
        <v>-16985.145559123717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1538.8474625340336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215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206</v>
      </c>
      <c r="B207" s="399" t="s">
        <v>2346</v>
      </c>
      <c r="C207" s="399" t="s">
        <v>2352</v>
      </c>
      <c r="D207" s="399" t="s">
        <v>533</v>
      </c>
      <c r="E207" s="399" t="s">
        <v>890</v>
      </c>
      <c r="F207" s="399" t="s">
        <v>1239</v>
      </c>
      <c r="G207" s="399" t="s">
        <v>1239</v>
      </c>
      <c r="H207" s="399" t="s">
        <v>1239</v>
      </c>
      <c r="I207" s="399" t="s">
        <v>893</v>
      </c>
      <c r="J207" s="399" t="s">
        <v>2344</v>
      </c>
      <c r="K207" s="791">
        <v>44562</v>
      </c>
      <c r="L207" s="399">
        <v>0</v>
      </c>
      <c r="M207" s="399">
        <v>0</v>
      </c>
      <c r="N207" s="399">
        <v>1.1659999999999999</v>
      </c>
      <c r="O207" s="399">
        <v>1.1659999999999999</v>
      </c>
      <c r="P207" s="399">
        <v>1.1659999999999999</v>
      </c>
      <c r="Q207" s="399">
        <v>1.1659999999999999</v>
      </c>
      <c r="R207" s="399"/>
      <c r="S207" s="399">
        <v>984.21</v>
      </c>
      <c r="T207" s="399">
        <v>171.61</v>
      </c>
      <c r="U207" s="399"/>
      <c r="V207" s="399">
        <v>1347.6861200000001</v>
      </c>
      <c r="W207" s="399">
        <v>1347.6861200000001</v>
      </c>
      <c r="X207" s="399">
        <v>1256.7730999999999</v>
      </c>
      <c r="Y207" s="399">
        <v>0</v>
      </c>
      <c r="Z207" s="399">
        <v>61.329093569938458</v>
      </c>
      <c r="AA207" s="399">
        <v>0</v>
      </c>
      <c r="AB207" s="399">
        <v>0</v>
      </c>
      <c r="AC207" s="399">
        <v>0</v>
      </c>
      <c r="AD207" s="399">
        <v>459.06430385622156</v>
      </c>
      <c r="AE207" s="399">
        <v>597.08775286221658</v>
      </c>
      <c r="AF207" s="399">
        <v>192.82634950021716</v>
      </c>
      <c r="AG207" s="399">
        <v>7.2704261997772965</v>
      </c>
      <c r="AH207" s="399">
        <v>0</v>
      </c>
      <c r="AI207" s="399">
        <v>0</v>
      </c>
      <c r="AJ207" s="399">
        <v>0</v>
      </c>
      <c r="AK207" s="399">
        <v>0</v>
      </c>
      <c r="AL207" s="399">
        <v>10.899897166460677</v>
      </c>
      <c r="AM207" s="399"/>
      <c r="AN207" s="399">
        <v>0.30789451369567405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7.2073827001256525</v>
      </c>
      <c r="BH207" s="399">
        <v>0</v>
      </c>
      <c r="BI207" s="399">
        <v>0</v>
      </c>
      <c r="BJ207" s="399">
        <v>0</v>
      </c>
      <c r="BK207" s="399">
        <v>0</v>
      </c>
      <c r="BL207" s="399">
        <v>0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200.03373220034283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1261.0844999999999</v>
      </c>
      <c r="CJ207" s="399">
        <v>-86.631620000000112</v>
      </c>
      <c r="CK207" s="399"/>
      <c r="CL207" s="399"/>
      <c r="CM207" s="399"/>
      <c r="CN207" s="399"/>
      <c r="CO207" s="399">
        <v>-117.15968000000001</v>
      </c>
      <c r="CP207" s="399">
        <v>26.246659999999988</v>
      </c>
      <c r="CQ207" s="399">
        <v>31</v>
      </c>
      <c r="CR207" s="399">
        <v>38.178977953330445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20.672870686648423</v>
      </c>
      <c r="DA207" s="399">
        <v>0</v>
      </c>
      <c r="DB207" s="399">
        <v>0</v>
      </c>
      <c r="DC207" s="399">
        <v>26.252894194420037</v>
      </c>
      <c r="DD207" s="399">
        <v>0</v>
      </c>
      <c r="DE207" s="399">
        <v>0</v>
      </c>
      <c r="DF207" s="399">
        <v>0</v>
      </c>
      <c r="DG207" s="399">
        <v>0.981269706839905</v>
      </c>
      <c r="DH207" s="399">
        <v>0</v>
      </c>
      <c r="DI207" s="399">
        <v>-8.4237198729338161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-1.2561435120056981</v>
      </c>
      <c r="DP207" s="399">
        <v>-4.819324963828725E-2</v>
      </c>
      <c r="DQ207" s="399">
        <v>0</v>
      </c>
      <c r="DR207" s="399">
        <v>0</v>
      </c>
      <c r="DS207" s="399"/>
      <c r="DT207" s="399"/>
      <c r="DU207" s="399"/>
      <c r="DV207" s="399">
        <v>597.08775286221658</v>
      </c>
      <c r="DW207" s="399">
        <v>0</v>
      </c>
      <c r="DX207" s="399">
        <v>0</v>
      </c>
      <c r="DY207" s="399">
        <v>-117.15968000000021</v>
      </c>
      <c r="DZ207" s="399">
        <v>26.246659999999991</v>
      </c>
      <c r="EA207" s="399">
        <v>0</v>
      </c>
      <c r="EB207" s="399">
        <v>0</v>
      </c>
      <c r="EC207" s="399">
        <v>-129.08715053309692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11.69524472734947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215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207</v>
      </c>
      <c r="B208" s="399" t="s">
        <v>956</v>
      </c>
      <c r="C208" s="399" t="s">
        <v>2352</v>
      </c>
      <c r="D208" s="399" t="s">
        <v>533</v>
      </c>
      <c r="E208" s="399" t="s">
        <v>890</v>
      </c>
      <c r="F208" s="399" t="s">
        <v>1239</v>
      </c>
      <c r="G208" s="399" t="s">
        <v>1239</v>
      </c>
      <c r="H208" s="399" t="s">
        <v>1239</v>
      </c>
      <c r="I208" s="399" t="s">
        <v>2326</v>
      </c>
      <c r="J208" s="399" t="s">
        <v>2344</v>
      </c>
      <c r="K208" s="791">
        <v>44562</v>
      </c>
      <c r="L208" s="399">
        <v>0</v>
      </c>
      <c r="M208" s="399">
        <v>0</v>
      </c>
      <c r="N208" s="399">
        <v>1788.13</v>
      </c>
      <c r="O208" s="399">
        <v>1788.13</v>
      </c>
      <c r="P208" s="399">
        <v>1788.13</v>
      </c>
      <c r="Q208" s="399">
        <v>1788.13</v>
      </c>
      <c r="R208" s="399"/>
      <c r="S208" s="399">
        <v>78.42</v>
      </c>
      <c r="T208" s="399">
        <v>171.61</v>
      </c>
      <c r="U208" s="399"/>
      <c r="V208" s="399">
        <v>447086.14390000002</v>
      </c>
      <c r="W208" s="399">
        <v>447086.14390000002</v>
      </c>
      <c r="X208" s="399">
        <v>473925.97520000004</v>
      </c>
      <c r="Y208" s="399">
        <v>0</v>
      </c>
      <c r="Z208" s="399">
        <v>94051.794241178446</v>
      </c>
      <c r="AA208" s="399">
        <v>0</v>
      </c>
      <c r="AB208" s="399">
        <v>0</v>
      </c>
      <c r="AC208" s="399">
        <v>0</v>
      </c>
      <c r="AD208" s="399">
        <v>0</v>
      </c>
      <c r="AE208" s="399">
        <v>0</v>
      </c>
      <c r="AF208" s="399">
        <v>295710.6177802945</v>
      </c>
      <c r="AG208" s="399">
        <v>11149.628816987803</v>
      </c>
      <c r="AH208" s="399">
        <v>0</v>
      </c>
      <c r="AI208" s="399">
        <v>0</v>
      </c>
      <c r="AJ208" s="399">
        <v>0</v>
      </c>
      <c r="AK208" s="399">
        <v>0</v>
      </c>
      <c r="AL208" s="399">
        <v>16715.637324411095</v>
      </c>
      <c r="AM208" s="399"/>
      <c r="AN208" s="399">
        <v>472.1744569250821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11052.947879567482</v>
      </c>
      <c r="BH208" s="399">
        <v>0</v>
      </c>
      <c r="BI208" s="399">
        <v>0</v>
      </c>
      <c r="BJ208" s="399">
        <v>0</v>
      </c>
      <c r="BK208" s="399">
        <v>0</v>
      </c>
      <c r="BL208" s="399">
        <v>0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306763.56565986201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473925.97520000004</v>
      </c>
      <c r="CJ208" s="399">
        <v>26839.801299999992</v>
      </c>
      <c r="CK208" s="399"/>
      <c r="CL208" s="399"/>
      <c r="CM208" s="399"/>
      <c r="CN208" s="399"/>
      <c r="CO208" s="399">
        <v>-13410.975</v>
      </c>
      <c r="CP208" s="399">
        <v>40250.806299999989</v>
      </c>
      <c r="CQ208" s="399">
        <v>31</v>
      </c>
      <c r="CR208" s="399">
        <v>26846.651446631528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0</v>
      </c>
      <c r="DA208" s="399">
        <v>0</v>
      </c>
      <c r="DB208" s="399">
        <v>0</v>
      </c>
      <c r="DC208" s="399">
        <v>40260.366806061997</v>
      </c>
      <c r="DD208" s="399">
        <v>0</v>
      </c>
      <c r="DE208" s="399">
        <v>0</v>
      </c>
      <c r="DF208" s="399">
        <v>0</v>
      </c>
      <c r="DG208" s="399">
        <v>1504.8351637149572</v>
      </c>
      <c r="DH208" s="399">
        <v>0</v>
      </c>
      <c r="DI208" s="399">
        <v>-12918.272912855187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-1926.370410053818</v>
      </c>
      <c r="DP208" s="399">
        <v>-73.907200236458493</v>
      </c>
      <c r="DQ208" s="399">
        <v>0</v>
      </c>
      <c r="DR208" s="399">
        <v>0</v>
      </c>
      <c r="DS208" s="399"/>
      <c r="DT208" s="399"/>
      <c r="DU208" s="399"/>
      <c r="DV208" s="399">
        <v>0</v>
      </c>
      <c r="DW208" s="399">
        <v>0</v>
      </c>
      <c r="DX208" s="399">
        <v>0</v>
      </c>
      <c r="DY208" s="399">
        <v>-13410.974999999991</v>
      </c>
      <c r="DZ208" s="399">
        <v>40250.806299999997</v>
      </c>
      <c r="EA208" s="399">
        <v>0</v>
      </c>
      <c r="EB208" s="399">
        <v>0</v>
      </c>
      <c r="EC208" s="399">
        <v>0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17935.349875056098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215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208</v>
      </c>
      <c r="B209" s="399" t="s">
        <v>2346</v>
      </c>
      <c r="C209" s="399" t="s">
        <v>2352</v>
      </c>
      <c r="D209" s="399" t="s">
        <v>533</v>
      </c>
      <c r="E209" s="399" t="s">
        <v>890</v>
      </c>
      <c r="F209" s="399" t="s">
        <v>1239</v>
      </c>
      <c r="G209" s="399" t="s">
        <v>1239</v>
      </c>
      <c r="H209" s="399" t="s">
        <v>1239</v>
      </c>
      <c r="I209" s="399" t="s">
        <v>2326</v>
      </c>
      <c r="J209" s="399" t="s">
        <v>2344</v>
      </c>
      <c r="K209" s="791">
        <v>44562</v>
      </c>
      <c r="L209" s="399">
        <v>0</v>
      </c>
      <c r="M209" s="399">
        <v>0</v>
      </c>
      <c r="N209" s="399">
        <v>28.181999999999999</v>
      </c>
      <c r="O209" s="399">
        <v>28.181999999999999</v>
      </c>
      <c r="P209" s="399">
        <v>28.181999999999999</v>
      </c>
      <c r="Q209" s="399">
        <v>28.181999999999999</v>
      </c>
      <c r="R209" s="399"/>
      <c r="S209" s="399">
        <v>78.42</v>
      </c>
      <c r="T209" s="399">
        <v>171.61</v>
      </c>
      <c r="U209" s="399"/>
      <c r="V209" s="399">
        <v>7046.3454600000005</v>
      </c>
      <c r="W209" s="399">
        <v>7046.3454600000005</v>
      </c>
      <c r="X209" s="399">
        <v>7469.3572800000002</v>
      </c>
      <c r="Y209" s="399">
        <v>0</v>
      </c>
      <c r="Z209" s="399">
        <v>1482.3126200583238</v>
      </c>
      <c r="AA209" s="399">
        <v>0</v>
      </c>
      <c r="AB209" s="399">
        <v>0</v>
      </c>
      <c r="AC209" s="399">
        <v>0</v>
      </c>
      <c r="AD209" s="399">
        <v>0</v>
      </c>
      <c r="AE209" s="399">
        <v>0</v>
      </c>
      <c r="AF209" s="399">
        <v>4660.5764850901551</v>
      </c>
      <c r="AG209" s="399">
        <v>175.72482947008899</v>
      </c>
      <c r="AH209" s="399">
        <v>0</v>
      </c>
      <c r="AI209" s="399">
        <v>0</v>
      </c>
      <c r="AJ209" s="399">
        <v>0</v>
      </c>
      <c r="AK209" s="399">
        <v>0</v>
      </c>
      <c r="AL209" s="399">
        <v>263.44845792898354</v>
      </c>
      <c r="AM209" s="399"/>
      <c r="AN209" s="399">
        <v>7.441752302719971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174.20107997850869</v>
      </c>
      <c r="BH209" s="399">
        <v>0</v>
      </c>
      <c r="BI209" s="399">
        <v>0</v>
      </c>
      <c r="BJ209" s="399">
        <v>0</v>
      </c>
      <c r="BK209" s="399">
        <v>0</v>
      </c>
      <c r="BL209" s="399">
        <v>0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4834.7775650686635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7468.8271999999997</v>
      </c>
      <c r="CJ209" s="399">
        <v>422.45173999999861</v>
      </c>
      <c r="CK209" s="399"/>
      <c r="CL209" s="399"/>
      <c r="CM209" s="399"/>
      <c r="CN209" s="399"/>
      <c r="CO209" s="399">
        <v>-211.36499999999998</v>
      </c>
      <c r="CP209" s="399">
        <v>634.37681999999973</v>
      </c>
      <c r="CQ209" s="399">
        <v>31</v>
      </c>
      <c r="CR209" s="399">
        <v>423.11930959660094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0</v>
      </c>
      <c r="DA209" s="399">
        <v>0</v>
      </c>
      <c r="DB209" s="399">
        <v>0</v>
      </c>
      <c r="DC209" s="399">
        <v>634.52749930286882</v>
      </c>
      <c r="DD209" s="399">
        <v>0</v>
      </c>
      <c r="DE209" s="399">
        <v>0</v>
      </c>
      <c r="DF209" s="399">
        <v>0</v>
      </c>
      <c r="DG209" s="399">
        <v>23.717103669092808</v>
      </c>
      <c r="DH209" s="399">
        <v>0</v>
      </c>
      <c r="DI209" s="399">
        <v>-203.59971994770217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-30.360751676967908</v>
      </c>
      <c r="DP209" s="399">
        <v>-1.1648217506914333</v>
      </c>
      <c r="DQ209" s="399">
        <v>0</v>
      </c>
      <c r="DR209" s="399">
        <v>0</v>
      </c>
      <c r="DS209" s="399"/>
      <c r="DT209" s="399"/>
      <c r="DU209" s="399"/>
      <c r="DV209" s="399">
        <v>0</v>
      </c>
      <c r="DW209" s="399">
        <v>0</v>
      </c>
      <c r="DX209" s="399">
        <v>0</v>
      </c>
      <c r="DY209" s="399">
        <v>-211.36500000000001</v>
      </c>
      <c r="DZ209" s="399">
        <v>634.3768199999995</v>
      </c>
      <c r="EA209" s="399">
        <v>0</v>
      </c>
      <c r="EB209" s="399">
        <v>0</v>
      </c>
      <c r="EC209" s="399">
        <v>0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282.67185841008813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215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209</v>
      </c>
      <c r="B210" s="399" t="s">
        <v>956</v>
      </c>
      <c r="C210" s="399" t="s">
        <v>2352</v>
      </c>
      <c r="D210" s="399" t="s">
        <v>533</v>
      </c>
      <c r="E210" s="399" t="s">
        <v>890</v>
      </c>
      <c r="F210" s="399" t="s">
        <v>1239</v>
      </c>
      <c r="G210" s="399" t="s">
        <v>1239</v>
      </c>
      <c r="H210" s="399" t="s">
        <v>1239</v>
      </c>
      <c r="I210" s="399" t="s">
        <v>1239</v>
      </c>
      <c r="J210" s="399" t="s">
        <v>2344</v>
      </c>
      <c r="K210" s="791">
        <v>44562</v>
      </c>
      <c r="L210" s="399">
        <v>9733</v>
      </c>
      <c r="M210" s="399">
        <v>9733</v>
      </c>
      <c r="N210" s="399">
        <v>0</v>
      </c>
      <c r="O210" s="399">
        <v>0</v>
      </c>
      <c r="P210" s="399">
        <v>0</v>
      </c>
      <c r="Q210" s="399">
        <v>0</v>
      </c>
      <c r="R210" s="399">
        <v>12.58</v>
      </c>
      <c r="S210" s="399"/>
      <c r="T210" s="399"/>
      <c r="U210" s="399">
        <v>122441.14</v>
      </c>
      <c r="V210" s="399"/>
      <c r="W210" s="399">
        <v>122441.14</v>
      </c>
      <c r="X210" s="399">
        <v>112805.47</v>
      </c>
      <c r="Y210" s="399">
        <v>0</v>
      </c>
      <c r="Z210" s="399">
        <v>0</v>
      </c>
      <c r="AA210" s="399">
        <v>0</v>
      </c>
      <c r="AB210" s="399">
        <v>0</v>
      </c>
      <c r="AC210" s="399">
        <v>0</v>
      </c>
      <c r="AD210" s="399">
        <v>64504.867899109966</v>
      </c>
      <c r="AE210" s="399">
        <v>57908.51794429811</v>
      </c>
      <c r="AF210" s="399"/>
      <c r="AG210" s="399"/>
      <c r="AH210" s="399"/>
      <c r="AI210" s="399">
        <v>0</v>
      </c>
      <c r="AJ210" s="399">
        <v>0</v>
      </c>
      <c r="AK210" s="399">
        <v>0</v>
      </c>
      <c r="AL210" s="399">
        <v>0</v>
      </c>
      <c r="AM210" s="399"/>
      <c r="AN210" s="399">
        <v>0</v>
      </c>
      <c r="AO210" s="399">
        <v>0</v>
      </c>
      <c r="AP210" s="399">
        <v>0</v>
      </c>
      <c r="AQ210" s="399">
        <v>0</v>
      </c>
      <c r="AR210" s="399">
        <v>0</v>
      </c>
      <c r="AS210" s="399"/>
      <c r="AT210" s="399"/>
      <c r="AU210" s="399">
        <v>0</v>
      </c>
      <c r="AV210" s="399">
        <v>0</v>
      </c>
      <c r="AW210" s="399">
        <v>0</v>
      </c>
      <c r="AX210" s="399"/>
      <c r="AY210" s="399"/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/>
      <c r="BG210" s="399">
        <v>0</v>
      </c>
      <c r="BH210" s="399">
        <v>0</v>
      </c>
      <c r="BI210" s="399">
        <v>0</v>
      </c>
      <c r="BJ210" s="399">
        <v>0</v>
      </c>
      <c r="BK210" s="399">
        <v>341388.95</v>
      </c>
      <c r="BL210" s="399">
        <v>51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0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112805.47</v>
      </c>
      <c r="CJ210" s="399">
        <v>-9635.6999999999825</v>
      </c>
      <c r="CK210" s="399"/>
      <c r="CL210" s="399"/>
      <c r="CM210" s="399"/>
      <c r="CN210" s="399"/>
      <c r="CO210" s="399">
        <v>-9635.6700000000019</v>
      </c>
      <c r="CP210" s="399">
        <v>0</v>
      </c>
      <c r="CQ210" s="399">
        <v>31</v>
      </c>
      <c r="CR210" s="399">
        <v>2904.8235324244088</v>
      </c>
      <c r="CS210" s="399">
        <v>0</v>
      </c>
      <c r="CT210" s="399">
        <v>0</v>
      </c>
      <c r="CU210" s="399">
        <v>0</v>
      </c>
      <c r="CV210" s="399">
        <v>0</v>
      </c>
      <c r="CW210" s="399"/>
      <c r="CX210" s="399"/>
      <c r="CY210" s="399"/>
      <c r="CZ210" s="399">
        <v>2904.8235324244088</v>
      </c>
      <c r="DA210" s="399">
        <v>0</v>
      </c>
      <c r="DB210" s="399">
        <v>0</v>
      </c>
      <c r="DC210" s="399"/>
      <c r="DD210" s="399"/>
      <c r="DE210" s="399">
        <v>0</v>
      </c>
      <c r="DF210" s="399">
        <v>0</v>
      </c>
      <c r="DG210" s="399">
        <v>0</v>
      </c>
      <c r="DH210" s="399">
        <v>0</v>
      </c>
      <c r="DI210" s="399">
        <v>0</v>
      </c>
      <c r="DJ210" s="399"/>
      <c r="DK210" s="399">
        <v>0</v>
      </c>
      <c r="DL210" s="399">
        <v>0</v>
      </c>
      <c r="DM210" s="399"/>
      <c r="DN210" s="399">
        <v>0</v>
      </c>
      <c r="DO210" s="399">
        <v>0</v>
      </c>
      <c r="DP210" s="399">
        <v>0</v>
      </c>
      <c r="DQ210" s="399">
        <v>0</v>
      </c>
      <c r="DR210" s="399">
        <v>0</v>
      </c>
      <c r="DS210" s="399"/>
      <c r="DT210" s="399"/>
      <c r="DU210" s="399">
        <v>57908.51794429811</v>
      </c>
      <c r="DV210" s="399"/>
      <c r="DW210" s="399">
        <v>0</v>
      </c>
      <c r="DX210" s="399">
        <v>0</v>
      </c>
      <c r="DY210" s="399">
        <v>-9635.6699999999983</v>
      </c>
      <c r="DZ210" s="399"/>
      <c r="EA210" s="399">
        <v>0</v>
      </c>
      <c r="EB210" s="399"/>
      <c r="EC210" s="399">
        <v>-12519.509129421283</v>
      </c>
      <c r="ED210" s="399"/>
      <c r="EE210" s="399">
        <v>0</v>
      </c>
      <c r="EF210" s="399">
        <v>0</v>
      </c>
      <c r="EG210" s="399"/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/>
      <c r="EN210" s="399"/>
      <c r="EO210" s="399">
        <v>0</v>
      </c>
      <c r="EP210" s="399">
        <v>0</v>
      </c>
      <c r="EQ210" s="399"/>
      <c r="ER210" s="399">
        <v>0</v>
      </c>
      <c r="ES210" s="399"/>
      <c r="ET210" s="399">
        <v>0</v>
      </c>
      <c r="EU210" s="399"/>
      <c r="EV210" s="399">
        <v>215</v>
      </c>
      <c r="EW210" s="399"/>
      <c r="EX210" s="399"/>
      <c r="EY210" s="399"/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210</v>
      </c>
      <c r="B211" s="399" t="s">
        <v>2346</v>
      </c>
      <c r="C211" s="399" t="s">
        <v>2352</v>
      </c>
      <c r="D211" s="399" t="s">
        <v>533</v>
      </c>
      <c r="E211" s="399" t="s">
        <v>890</v>
      </c>
      <c r="F211" s="399" t="s">
        <v>1239</v>
      </c>
      <c r="G211" s="399" t="s">
        <v>1239</v>
      </c>
      <c r="H211" s="399" t="s">
        <v>1239</v>
      </c>
      <c r="I211" s="399" t="s">
        <v>1239</v>
      </c>
      <c r="J211" s="399" t="s">
        <v>2344</v>
      </c>
      <c r="K211" s="791">
        <v>44562</v>
      </c>
      <c r="L211" s="399">
        <v>826</v>
      </c>
      <c r="M211" s="399">
        <v>826</v>
      </c>
      <c r="N211" s="399">
        <v>0</v>
      </c>
      <c r="O211" s="399">
        <v>0</v>
      </c>
      <c r="P211" s="399">
        <v>0</v>
      </c>
      <c r="Q211" s="399">
        <v>0</v>
      </c>
      <c r="R211" s="399">
        <v>12.58</v>
      </c>
      <c r="S211" s="399"/>
      <c r="T211" s="399"/>
      <c r="U211" s="399">
        <v>10391.08</v>
      </c>
      <c r="V211" s="399"/>
      <c r="W211" s="399">
        <v>10391.08</v>
      </c>
      <c r="X211" s="399">
        <v>9573.34</v>
      </c>
      <c r="Y211" s="399">
        <v>0</v>
      </c>
      <c r="Z211" s="399">
        <v>0</v>
      </c>
      <c r="AA211" s="399">
        <v>0</v>
      </c>
      <c r="AB211" s="399">
        <v>0</v>
      </c>
      <c r="AC211" s="399">
        <v>0</v>
      </c>
      <c r="AD211" s="399">
        <v>5474.2649629779953</v>
      </c>
      <c r="AE211" s="399">
        <v>4914.4596549871812</v>
      </c>
      <c r="AF211" s="399"/>
      <c r="AG211" s="399"/>
      <c r="AH211" s="399"/>
      <c r="AI211" s="399">
        <v>0</v>
      </c>
      <c r="AJ211" s="399">
        <v>0</v>
      </c>
      <c r="AK211" s="399">
        <v>0</v>
      </c>
      <c r="AL211" s="399">
        <v>0</v>
      </c>
      <c r="AM211" s="399"/>
      <c r="AN211" s="399">
        <v>0</v>
      </c>
      <c r="AO211" s="399">
        <v>0</v>
      </c>
      <c r="AP211" s="399">
        <v>0</v>
      </c>
      <c r="AQ211" s="399">
        <v>0</v>
      </c>
      <c r="AR211" s="399">
        <v>0</v>
      </c>
      <c r="AS211" s="399"/>
      <c r="AT211" s="399"/>
      <c r="AU211" s="399">
        <v>0</v>
      </c>
      <c r="AV211" s="399">
        <v>0</v>
      </c>
      <c r="AW211" s="399">
        <v>0</v>
      </c>
      <c r="AX211" s="399"/>
      <c r="AY211" s="399"/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/>
      <c r="BG211" s="399">
        <v>0</v>
      </c>
      <c r="BH211" s="399">
        <v>0</v>
      </c>
      <c r="BI211" s="399">
        <v>0</v>
      </c>
      <c r="BJ211" s="399">
        <v>0</v>
      </c>
      <c r="BK211" s="399">
        <v>7757.37</v>
      </c>
      <c r="BL211" s="399">
        <v>3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0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9573.34</v>
      </c>
      <c r="CJ211" s="399">
        <v>-817.77000000000044</v>
      </c>
      <c r="CK211" s="399"/>
      <c r="CL211" s="399"/>
      <c r="CM211" s="399"/>
      <c r="CN211" s="399"/>
      <c r="CO211" s="399">
        <v>-817.74000000000012</v>
      </c>
      <c r="CP211" s="399">
        <v>0</v>
      </c>
      <c r="CQ211" s="399">
        <v>31</v>
      </c>
      <c r="CR211" s="399">
        <v>246.52052170785646</v>
      </c>
      <c r="CS211" s="399">
        <v>0</v>
      </c>
      <c r="CT211" s="399">
        <v>0</v>
      </c>
      <c r="CU211" s="399">
        <v>0</v>
      </c>
      <c r="CV211" s="399">
        <v>0</v>
      </c>
      <c r="CW211" s="399"/>
      <c r="CX211" s="399"/>
      <c r="CY211" s="399"/>
      <c r="CZ211" s="399">
        <v>246.52052170785646</v>
      </c>
      <c r="DA211" s="399">
        <v>0</v>
      </c>
      <c r="DB211" s="399">
        <v>0</v>
      </c>
      <c r="DC211" s="399"/>
      <c r="DD211" s="399"/>
      <c r="DE211" s="399">
        <v>0</v>
      </c>
      <c r="DF211" s="399">
        <v>0</v>
      </c>
      <c r="DG211" s="399">
        <v>0</v>
      </c>
      <c r="DH211" s="399">
        <v>0</v>
      </c>
      <c r="DI211" s="399">
        <v>0</v>
      </c>
      <c r="DJ211" s="399"/>
      <c r="DK211" s="399">
        <v>0</v>
      </c>
      <c r="DL211" s="399">
        <v>0</v>
      </c>
      <c r="DM211" s="399"/>
      <c r="DN211" s="399">
        <v>0</v>
      </c>
      <c r="DO211" s="399">
        <v>0</v>
      </c>
      <c r="DP211" s="399">
        <v>0</v>
      </c>
      <c r="DQ211" s="399">
        <v>0</v>
      </c>
      <c r="DR211" s="399">
        <v>0</v>
      </c>
      <c r="DS211" s="399"/>
      <c r="DT211" s="399"/>
      <c r="DU211" s="399">
        <v>4914.4596549871812</v>
      </c>
      <c r="DV211" s="399"/>
      <c r="DW211" s="399">
        <v>0</v>
      </c>
      <c r="DX211" s="399">
        <v>0</v>
      </c>
      <c r="DY211" s="399">
        <v>-817.73999999999978</v>
      </c>
      <c r="DZ211" s="399"/>
      <c r="EA211" s="399">
        <v>0</v>
      </c>
      <c r="EB211" s="399"/>
      <c r="EC211" s="399">
        <v>-1062.4796610399649</v>
      </c>
      <c r="ED211" s="399"/>
      <c r="EE211" s="399">
        <v>0</v>
      </c>
      <c r="EF211" s="399">
        <v>0</v>
      </c>
      <c r="EG211" s="399"/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/>
      <c r="EN211" s="399"/>
      <c r="EO211" s="399">
        <v>0</v>
      </c>
      <c r="EP211" s="399">
        <v>0</v>
      </c>
      <c r="EQ211" s="399"/>
      <c r="ER211" s="399">
        <v>0</v>
      </c>
      <c r="ES211" s="399"/>
      <c r="ET211" s="399">
        <v>0</v>
      </c>
      <c r="EU211" s="399"/>
      <c r="EV211" s="399">
        <v>215</v>
      </c>
      <c r="EW211" s="399"/>
      <c r="EX211" s="399"/>
      <c r="EY211" s="399"/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211</v>
      </c>
      <c r="B212" s="399" t="s">
        <v>956</v>
      </c>
      <c r="C212" s="399" t="s">
        <v>2343</v>
      </c>
      <c r="D212" s="399" t="s">
        <v>1826</v>
      </c>
      <c r="E212" s="399" t="s">
        <v>918</v>
      </c>
      <c r="F212" s="399" t="s">
        <v>1239</v>
      </c>
      <c r="G212" s="399" t="s">
        <v>1239</v>
      </c>
      <c r="H212" s="399" t="s">
        <v>1239</v>
      </c>
      <c r="I212" s="399" t="s">
        <v>1239</v>
      </c>
      <c r="J212" s="399" t="s">
        <v>2344</v>
      </c>
      <c r="K212" s="791">
        <v>44562</v>
      </c>
      <c r="L212" s="399">
        <v>0</v>
      </c>
      <c r="M212" s="399">
        <v>0</v>
      </c>
      <c r="N212" s="399">
        <v>574.92600000000004</v>
      </c>
      <c r="O212" s="399">
        <v>574.92600000000004</v>
      </c>
      <c r="P212" s="399">
        <v>574.92600000000004</v>
      </c>
      <c r="Q212" s="399">
        <v>574.92600000000004</v>
      </c>
      <c r="R212" s="399"/>
      <c r="S212" s="399">
        <v>239.69</v>
      </c>
      <c r="T212" s="399">
        <v>171.61</v>
      </c>
      <c r="U212" s="399"/>
      <c r="V212" s="399">
        <v>236467.06380000003</v>
      </c>
      <c r="W212" s="399">
        <v>236467.06380000003</v>
      </c>
      <c r="X212" s="399">
        <v>235598.92554000003</v>
      </c>
      <c r="Y212" s="399">
        <v>0</v>
      </c>
      <c r="Z212" s="399">
        <v>34758.473265304754</v>
      </c>
      <c r="AA212" s="399">
        <v>0</v>
      </c>
      <c r="AB212" s="399">
        <v>0</v>
      </c>
      <c r="AC212" s="399">
        <v>0</v>
      </c>
      <c r="AD212" s="399">
        <v>30664.249127755582</v>
      </c>
      <c r="AE212" s="399">
        <v>50946.91010280815</v>
      </c>
      <c r="AF212" s="399">
        <v>95077.943235644838</v>
      </c>
      <c r="AG212" s="399">
        <v>3584.8688279015114</v>
      </c>
      <c r="AH212" s="399">
        <v>0</v>
      </c>
      <c r="AI212" s="399">
        <v>0</v>
      </c>
      <c r="AJ212" s="399">
        <v>0</v>
      </c>
      <c r="AK212" s="399">
        <v>0</v>
      </c>
      <c r="AL212" s="399">
        <v>5374.4719368135275</v>
      </c>
      <c r="AM212" s="399"/>
      <c r="AN212" s="399">
        <v>227.70038886842713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9204.5151969685667</v>
      </c>
      <c r="BH212" s="399">
        <v>0</v>
      </c>
      <c r="BI212" s="399">
        <v>0</v>
      </c>
      <c r="BJ212" s="399">
        <v>0</v>
      </c>
      <c r="BK212" s="399">
        <v>105528.94</v>
      </c>
      <c r="BL212" s="399">
        <v>553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104282.45843261341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235600.56469999999</v>
      </c>
      <c r="CJ212" s="399">
        <v>-866.5291000000725</v>
      </c>
      <c r="CK212" s="399"/>
      <c r="CL212" s="399"/>
      <c r="CM212" s="399"/>
      <c r="CN212" s="399"/>
      <c r="CO212" s="399">
        <v>-13809.722520000007</v>
      </c>
      <c r="CP212" s="399">
        <v>12941.584259999996</v>
      </c>
      <c r="CQ212" s="399">
        <v>31</v>
      </c>
      <c r="CR212" s="399">
        <v>10149.538424333528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1380.8916345623438</v>
      </c>
      <c r="DA212" s="399">
        <v>0</v>
      </c>
      <c r="DB212" s="399">
        <v>0</v>
      </c>
      <c r="DC212" s="399">
        <v>12944.658188354311</v>
      </c>
      <c r="DD212" s="399">
        <v>0</v>
      </c>
      <c r="DE212" s="399">
        <v>0</v>
      </c>
      <c r="DF212" s="399">
        <v>0</v>
      </c>
      <c r="DG212" s="399">
        <v>1253.1750157759107</v>
      </c>
      <c r="DH212" s="399">
        <v>0</v>
      </c>
      <c r="DI212" s="399">
        <v>-4774.1720112639669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-619.37355470273451</v>
      </c>
      <c r="DP212" s="399">
        <v>-35.640848392373528</v>
      </c>
      <c r="DQ212" s="399">
        <v>0</v>
      </c>
      <c r="DR212" s="399">
        <v>0</v>
      </c>
      <c r="DS212" s="399"/>
      <c r="DT212" s="399"/>
      <c r="DU212" s="399"/>
      <c r="DV212" s="399">
        <v>50946.91010280815</v>
      </c>
      <c r="DW212" s="399">
        <v>0</v>
      </c>
      <c r="DX212" s="399">
        <v>0</v>
      </c>
      <c r="DY212" s="399">
        <v>-13809.72252000001</v>
      </c>
      <c r="DZ212" s="399">
        <v>12941.584259999989</v>
      </c>
      <c r="EA212" s="399">
        <v>0</v>
      </c>
      <c r="EB212" s="399">
        <v>0</v>
      </c>
      <c r="EC212" s="399">
        <v>-11014.447076014585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6628.3198971985394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215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212</v>
      </c>
      <c r="B213" s="399" t="s">
        <v>2346</v>
      </c>
      <c r="C213" s="399" t="s">
        <v>2343</v>
      </c>
      <c r="D213" s="399" t="s">
        <v>1826</v>
      </c>
      <c r="E213" s="399" t="s">
        <v>918</v>
      </c>
      <c r="F213" s="399" t="s">
        <v>1239</v>
      </c>
      <c r="G213" s="399" t="s">
        <v>1239</v>
      </c>
      <c r="H213" s="399" t="s">
        <v>1239</v>
      </c>
      <c r="I213" s="399" t="s">
        <v>1239</v>
      </c>
      <c r="J213" s="399" t="s">
        <v>2344</v>
      </c>
      <c r="K213" s="791">
        <v>44562</v>
      </c>
      <c r="L213" s="399">
        <v>0</v>
      </c>
      <c r="M213" s="399">
        <v>0</v>
      </c>
      <c r="N213" s="399">
        <v>2.488</v>
      </c>
      <c r="O213" s="399">
        <v>2.488</v>
      </c>
      <c r="P213" s="399">
        <v>2.488</v>
      </c>
      <c r="Q213" s="399">
        <v>2.488</v>
      </c>
      <c r="R213" s="399"/>
      <c r="S213" s="399">
        <v>239.69</v>
      </c>
      <c r="T213" s="399">
        <v>171.61</v>
      </c>
      <c r="U213" s="399"/>
      <c r="V213" s="399">
        <v>1023.3144</v>
      </c>
      <c r="W213" s="399">
        <v>1023.3144</v>
      </c>
      <c r="X213" s="399">
        <v>1019.5575200000001</v>
      </c>
      <c r="Y213" s="399">
        <v>0</v>
      </c>
      <c r="Z213" s="399">
        <v>150.4177606928165</v>
      </c>
      <c r="AA213" s="399">
        <v>0</v>
      </c>
      <c r="AB213" s="399">
        <v>0</v>
      </c>
      <c r="AC213" s="399">
        <v>0</v>
      </c>
      <c r="AD213" s="399">
        <v>132.69995065426835</v>
      </c>
      <c r="AE213" s="399">
        <v>220.47343890480977</v>
      </c>
      <c r="AF213" s="399">
        <v>411.45107852190426</v>
      </c>
      <c r="AG213" s="399">
        <v>15.513568083229771</v>
      </c>
      <c r="AH213" s="399">
        <v>0</v>
      </c>
      <c r="AI213" s="399">
        <v>0</v>
      </c>
      <c r="AJ213" s="399">
        <v>0</v>
      </c>
      <c r="AK213" s="399">
        <v>0</v>
      </c>
      <c r="AL213" s="399">
        <v>23.258099614197402</v>
      </c>
      <c r="AM213" s="399"/>
      <c r="AN213" s="399">
        <v>0.98537649628760338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39.832663351557926</v>
      </c>
      <c r="BH213" s="399">
        <v>0</v>
      </c>
      <c r="BI213" s="399">
        <v>0</v>
      </c>
      <c r="BJ213" s="399">
        <v>0</v>
      </c>
      <c r="BK213" s="399">
        <v>1377.23</v>
      </c>
      <c r="BL213" s="399">
        <v>8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451.28374187346219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1020.3771000000002</v>
      </c>
      <c r="CJ213" s="399">
        <v>-2.9672999999997955</v>
      </c>
      <c r="CK213" s="399"/>
      <c r="CL213" s="399"/>
      <c r="CM213" s="399"/>
      <c r="CN213" s="399"/>
      <c r="CO213" s="399">
        <v>-59.761760000000024</v>
      </c>
      <c r="CP213" s="399">
        <v>56.004879999999979</v>
      </c>
      <c r="CQ213" s="399">
        <v>31</v>
      </c>
      <c r="CR213" s="399">
        <v>43.922264082232687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5.9758271269539023</v>
      </c>
      <c r="DA213" s="399">
        <v>0</v>
      </c>
      <c r="DB213" s="399">
        <v>0</v>
      </c>
      <c r="DC213" s="399">
        <v>56.018182466309611</v>
      </c>
      <c r="DD213" s="399">
        <v>0</v>
      </c>
      <c r="DE213" s="399">
        <v>0</v>
      </c>
      <c r="DF213" s="399">
        <v>0</v>
      </c>
      <c r="DG213" s="399">
        <v>5.4231317408683282</v>
      </c>
      <c r="DH213" s="399">
        <v>0</v>
      </c>
      <c r="DI213" s="399">
        <v>-20.660293610003293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-2.6803473909692812</v>
      </c>
      <c r="DP213" s="399">
        <v>-0.15423625092659821</v>
      </c>
      <c r="DQ213" s="399">
        <v>0</v>
      </c>
      <c r="DR213" s="399">
        <v>0</v>
      </c>
      <c r="DS213" s="399"/>
      <c r="DT213" s="399"/>
      <c r="DU213" s="399"/>
      <c r="DV213" s="399">
        <v>220.47343890480977</v>
      </c>
      <c r="DW213" s="399">
        <v>0</v>
      </c>
      <c r="DX213" s="399">
        <v>0</v>
      </c>
      <c r="DY213" s="399">
        <v>-59.761759999999981</v>
      </c>
      <c r="DZ213" s="399">
        <v>56.004880000000014</v>
      </c>
      <c r="EA213" s="399">
        <v>0</v>
      </c>
      <c r="EB213" s="399">
        <v>0</v>
      </c>
      <c r="EC213" s="399">
        <v>-47.665167908781768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28.68414353191535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215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213</v>
      </c>
      <c r="B214" s="399" t="s">
        <v>956</v>
      </c>
      <c r="C214" s="399" t="s">
        <v>2352</v>
      </c>
      <c r="D214" s="399" t="s">
        <v>533</v>
      </c>
      <c r="E214" s="399" t="s">
        <v>918</v>
      </c>
      <c r="F214" s="399" t="s">
        <v>1239</v>
      </c>
      <c r="G214" s="399" t="s">
        <v>1239</v>
      </c>
      <c r="H214" s="399" t="s">
        <v>1239</v>
      </c>
      <c r="I214" s="399" t="s">
        <v>893</v>
      </c>
      <c r="J214" s="399" t="s">
        <v>2344</v>
      </c>
      <c r="K214" s="791">
        <v>44562</v>
      </c>
      <c r="L214" s="399">
        <v>0</v>
      </c>
      <c r="M214" s="399">
        <v>0</v>
      </c>
      <c r="N214" s="399">
        <v>8.5909999999999993</v>
      </c>
      <c r="O214" s="399">
        <v>8.5909999999999993</v>
      </c>
      <c r="P214" s="399">
        <v>8.5909999999999993</v>
      </c>
      <c r="Q214" s="399">
        <v>8.5909999999999993</v>
      </c>
      <c r="R214" s="399"/>
      <c r="S214" s="399">
        <v>984.21</v>
      </c>
      <c r="T214" s="399">
        <v>171.61</v>
      </c>
      <c r="U214" s="399"/>
      <c r="V214" s="399">
        <v>9929.6496199999983</v>
      </c>
      <c r="W214" s="399">
        <v>9929.6496199999983</v>
      </c>
      <c r="X214" s="399">
        <v>9259.8093499999995</v>
      </c>
      <c r="Y214" s="399">
        <v>0</v>
      </c>
      <c r="Z214" s="399">
        <v>451.86813281247106</v>
      </c>
      <c r="AA214" s="399">
        <v>0</v>
      </c>
      <c r="AB214" s="399">
        <v>0</v>
      </c>
      <c r="AC214" s="399">
        <v>0</v>
      </c>
      <c r="AD214" s="399">
        <v>3382.3511444500855</v>
      </c>
      <c r="AE214" s="399">
        <v>4399.2974998621803</v>
      </c>
      <c r="AF214" s="399">
        <v>1420.7299901855624</v>
      </c>
      <c r="AG214" s="399">
        <v>53.567951528547816</v>
      </c>
      <c r="AH214" s="399">
        <v>0</v>
      </c>
      <c r="AI214" s="399">
        <v>0</v>
      </c>
      <c r="AJ214" s="399">
        <v>0</v>
      </c>
      <c r="AK214" s="399">
        <v>0</v>
      </c>
      <c r="AL214" s="399">
        <v>80.309619688733861</v>
      </c>
      <c r="AM214" s="399"/>
      <c r="AN214" s="399">
        <v>2.2685435395879381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53.10345178111448</v>
      </c>
      <c r="BH214" s="399">
        <v>0</v>
      </c>
      <c r="BI214" s="399">
        <v>0</v>
      </c>
      <c r="BJ214" s="399">
        <v>0</v>
      </c>
      <c r="BK214" s="399">
        <v>0</v>
      </c>
      <c r="BL214" s="399">
        <v>0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1473.8334419666769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9258.7314999999999</v>
      </c>
      <c r="CJ214" s="399">
        <v>-670.94811999999911</v>
      </c>
      <c r="CK214" s="399"/>
      <c r="CL214" s="399"/>
      <c r="CM214" s="399"/>
      <c r="CN214" s="399"/>
      <c r="CO214" s="399">
        <v>-863.22368000000006</v>
      </c>
      <c r="CP214" s="399">
        <v>193.38340999999991</v>
      </c>
      <c r="CQ214" s="399">
        <v>31</v>
      </c>
      <c r="CR214" s="399">
        <v>281.29982812784056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152.31615100256977</v>
      </c>
      <c r="DA214" s="399">
        <v>0</v>
      </c>
      <c r="DB214" s="399">
        <v>0</v>
      </c>
      <c r="DC214" s="399">
        <v>193.4293430739815</v>
      </c>
      <c r="DD214" s="399">
        <v>0</v>
      </c>
      <c r="DE214" s="399">
        <v>0</v>
      </c>
      <c r="DF214" s="399">
        <v>0</v>
      </c>
      <c r="DG214" s="399">
        <v>7.2299211419053364</v>
      </c>
      <c r="DH214" s="399">
        <v>0</v>
      </c>
      <c r="DI214" s="399">
        <v>-62.065332271333091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-9.2551705931740571</v>
      </c>
      <c r="DP214" s="399">
        <v>-0.35508422610851276</v>
      </c>
      <c r="DQ214" s="399">
        <v>0</v>
      </c>
      <c r="DR214" s="399">
        <v>0</v>
      </c>
      <c r="DS214" s="399"/>
      <c r="DT214" s="399"/>
      <c r="DU214" s="399"/>
      <c r="DV214" s="399">
        <v>4399.2974998621803</v>
      </c>
      <c r="DW214" s="399">
        <v>0</v>
      </c>
      <c r="DX214" s="399">
        <v>0</v>
      </c>
      <c r="DY214" s="399">
        <v>-863.22367999999915</v>
      </c>
      <c r="DZ214" s="399">
        <v>193.38340999999991</v>
      </c>
      <c r="EA214" s="399">
        <v>0</v>
      </c>
      <c r="EB214" s="399">
        <v>0</v>
      </c>
      <c r="EC214" s="399">
        <v>-951.1043827014023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86.169680491131473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215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214</v>
      </c>
      <c r="B215" s="399" t="s">
        <v>956</v>
      </c>
      <c r="C215" s="399" t="s">
        <v>2352</v>
      </c>
      <c r="D215" s="399" t="s">
        <v>533</v>
      </c>
      <c r="E215" s="399" t="s">
        <v>918</v>
      </c>
      <c r="F215" s="399" t="s">
        <v>1239</v>
      </c>
      <c r="G215" s="399" t="s">
        <v>1239</v>
      </c>
      <c r="H215" s="399" t="s">
        <v>1239</v>
      </c>
      <c r="I215" s="399" t="s">
        <v>2326</v>
      </c>
      <c r="J215" s="399" t="s">
        <v>2344</v>
      </c>
      <c r="K215" s="791">
        <v>44562</v>
      </c>
      <c r="L215" s="399">
        <v>0</v>
      </c>
      <c r="M215" s="399">
        <v>0</v>
      </c>
      <c r="N215" s="399">
        <v>96.287999999999997</v>
      </c>
      <c r="O215" s="399">
        <v>96.287999999999997</v>
      </c>
      <c r="P215" s="399">
        <v>96.287999999999997</v>
      </c>
      <c r="Q215" s="399">
        <v>96.287999999999997</v>
      </c>
      <c r="R215" s="399"/>
      <c r="S215" s="399">
        <v>78.42</v>
      </c>
      <c r="T215" s="399">
        <v>171.61</v>
      </c>
      <c r="U215" s="399"/>
      <c r="V215" s="399">
        <v>24074.888640000001</v>
      </c>
      <c r="W215" s="399">
        <v>24074.888640000001</v>
      </c>
      <c r="X215" s="399">
        <v>25520.17152</v>
      </c>
      <c r="Y215" s="399">
        <v>0</v>
      </c>
      <c r="Z215" s="399">
        <v>5064.5418196074052</v>
      </c>
      <c r="AA215" s="399">
        <v>0</v>
      </c>
      <c r="AB215" s="399">
        <v>0</v>
      </c>
      <c r="AC215" s="399">
        <v>0</v>
      </c>
      <c r="AD215" s="399">
        <v>0</v>
      </c>
      <c r="AE215" s="399">
        <v>0</v>
      </c>
      <c r="AF215" s="399">
        <v>15923.553636944178</v>
      </c>
      <c r="AG215" s="399">
        <v>600.39004967766402</v>
      </c>
      <c r="AH215" s="399">
        <v>0</v>
      </c>
      <c r="AI215" s="399">
        <v>0</v>
      </c>
      <c r="AJ215" s="399">
        <v>0</v>
      </c>
      <c r="AK215" s="399">
        <v>0</v>
      </c>
      <c r="AL215" s="399">
        <v>900.1108905353052</v>
      </c>
      <c r="AM215" s="399"/>
      <c r="AN215" s="399">
        <v>25.425855004055801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595.18393261552217</v>
      </c>
      <c r="BH215" s="399">
        <v>0</v>
      </c>
      <c r="BI215" s="399">
        <v>0</v>
      </c>
      <c r="BJ215" s="399">
        <v>0</v>
      </c>
      <c r="BK215" s="399">
        <v>0</v>
      </c>
      <c r="BL215" s="399">
        <v>0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16518.7375695597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25520.7016</v>
      </c>
      <c r="CJ215" s="399">
        <v>1445.7829600000005</v>
      </c>
      <c r="CK215" s="399"/>
      <c r="CL215" s="399"/>
      <c r="CM215" s="399"/>
      <c r="CN215" s="399"/>
      <c r="CO215" s="399">
        <v>-722.16</v>
      </c>
      <c r="CP215" s="399">
        <v>2167.4428799999991</v>
      </c>
      <c r="CQ215" s="399">
        <v>31</v>
      </c>
      <c r="CR215" s="399">
        <v>1445.6501342146621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0</v>
      </c>
      <c r="DA215" s="399">
        <v>0</v>
      </c>
      <c r="DB215" s="399">
        <v>0</v>
      </c>
      <c r="DC215" s="399">
        <v>2167.9576982781455</v>
      </c>
      <c r="DD215" s="399">
        <v>0</v>
      </c>
      <c r="DE215" s="399">
        <v>0</v>
      </c>
      <c r="DF215" s="399">
        <v>0</v>
      </c>
      <c r="DG215" s="399">
        <v>81.033016751458717</v>
      </c>
      <c r="DH215" s="399">
        <v>0</v>
      </c>
      <c r="DI215" s="399">
        <v>-695.62876425819195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-103.7320295746182</v>
      </c>
      <c r="DP215" s="399">
        <v>-3.9797869821367087</v>
      </c>
      <c r="DQ215" s="399">
        <v>0</v>
      </c>
      <c r="DR215" s="399">
        <v>0</v>
      </c>
      <c r="DS215" s="399"/>
      <c r="DT215" s="399"/>
      <c r="DU215" s="399"/>
      <c r="DV215" s="399">
        <v>0</v>
      </c>
      <c r="DW215" s="399">
        <v>0</v>
      </c>
      <c r="DX215" s="399">
        <v>0</v>
      </c>
      <c r="DY215" s="399">
        <v>-722.15999999999985</v>
      </c>
      <c r="DZ215" s="399">
        <v>2167.4428799999987</v>
      </c>
      <c r="EA215" s="399">
        <v>0</v>
      </c>
      <c r="EB215" s="399">
        <v>0</v>
      </c>
      <c r="EC215" s="399">
        <v>0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965.79050112094842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215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215</v>
      </c>
      <c r="B216" s="399" t="s">
        <v>956</v>
      </c>
      <c r="C216" s="399" t="s">
        <v>2352</v>
      </c>
      <c r="D216" s="399" t="s">
        <v>533</v>
      </c>
      <c r="E216" s="399" t="s">
        <v>918</v>
      </c>
      <c r="F216" s="399" t="s">
        <v>1239</v>
      </c>
      <c r="G216" s="399" t="s">
        <v>1239</v>
      </c>
      <c r="H216" s="399" t="s">
        <v>1239</v>
      </c>
      <c r="I216" s="399" t="s">
        <v>1239</v>
      </c>
      <c r="J216" s="399" t="s">
        <v>2344</v>
      </c>
      <c r="K216" s="791">
        <v>44562</v>
      </c>
      <c r="L216" s="399">
        <v>537</v>
      </c>
      <c r="M216" s="399">
        <v>537</v>
      </c>
      <c r="N216" s="399">
        <v>0</v>
      </c>
      <c r="O216" s="399">
        <v>0</v>
      </c>
      <c r="P216" s="399">
        <v>0</v>
      </c>
      <c r="Q216" s="399">
        <v>0</v>
      </c>
      <c r="R216" s="399">
        <v>12.58</v>
      </c>
      <c r="S216" s="399"/>
      <c r="T216" s="399"/>
      <c r="U216" s="399">
        <v>6755.46</v>
      </c>
      <c r="V216" s="399"/>
      <c r="W216" s="399">
        <v>6755.46</v>
      </c>
      <c r="X216" s="399">
        <v>6223.83</v>
      </c>
      <c r="Y216" s="399">
        <v>0</v>
      </c>
      <c r="Z216" s="399">
        <v>0</v>
      </c>
      <c r="AA216" s="399">
        <v>0</v>
      </c>
      <c r="AB216" s="399">
        <v>0</v>
      </c>
      <c r="AC216" s="399">
        <v>0</v>
      </c>
      <c r="AD216" s="399">
        <v>3558.9349698779461</v>
      </c>
      <c r="AE216" s="399">
        <v>3194.9937466442088</v>
      </c>
      <c r="AF216" s="399"/>
      <c r="AG216" s="399"/>
      <c r="AH216" s="399"/>
      <c r="AI216" s="399">
        <v>0</v>
      </c>
      <c r="AJ216" s="399">
        <v>0</v>
      </c>
      <c r="AK216" s="399">
        <v>0</v>
      </c>
      <c r="AL216" s="399">
        <v>0</v>
      </c>
      <c r="AM216" s="399"/>
      <c r="AN216" s="399">
        <v>0</v>
      </c>
      <c r="AO216" s="399">
        <v>0</v>
      </c>
      <c r="AP216" s="399">
        <v>0</v>
      </c>
      <c r="AQ216" s="399">
        <v>0</v>
      </c>
      <c r="AR216" s="399">
        <v>0</v>
      </c>
      <c r="AS216" s="399"/>
      <c r="AT216" s="399"/>
      <c r="AU216" s="399">
        <v>0</v>
      </c>
      <c r="AV216" s="399">
        <v>0</v>
      </c>
      <c r="AW216" s="399">
        <v>0</v>
      </c>
      <c r="AX216" s="399"/>
      <c r="AY216" s="399"/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/>
      <c r="BG216" s="399">
        <v>0</v>
      </c>
      <c r="BH216" s="399">
        <v>0</v>
      </c>
      <c r="BI216" s="399">
        <v>0</v>
      </c>
      <c r="BJ216" s="399">
        <v>0</v>
      </c>
      <c r="BK216" s="399">
        <v>19825.91</v>
      </c>
      <c r="BL216" s="399">
        <v>5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0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6223.83</v>
      </c>
      <c r="CJ216" s="399">
        <v>-531.66000000000076</v>
      </c>
      <c r="CK216" s="399"/>
      <c r="CL216" s="399"/>
      <c r="CM216" s="399"/>
      <c r="CN216" s="399"/>
      <c r="CO216" s="399">
        <v>-531.63000000000011</v>
      </c>
      <c r="CP216" s="399">
        <v>0</v>
      </c>
      <c r="CQ216" s="399">
        <v>31</v>
      </c>
      <c r="CR216" s="399">
        <v>160.26818420958671</v>
      </c>
      <c r="CS216" s="399">
        <v>0</v>
      </c>
      <c r="CT216" s="399">
        <v>0</v>
      </c>
      <c r="CU216" s="399">
        <v>0</v>
      </c>
      <c r="CV216" s="399">
        <v>0</v>
      </c>
      <c r="CW216" s="399"/>
      <c r="CX216" s="399"/>
      <c r="CY216" s="399"/>
      <c r="CZ216" s="399">
        <v>160.26818420958671</v>
      </c>
      <c r="DA216" s="399">
        <v>0</v>
      </c>
      <c r="DB216" s="399">
        <v>0</v>
      </c>
      <c r="DC216" s="399"/>
      <c r="DD216" s="399"/>
      <c r="DE216" s="399">
        <v>0</v>
      </c>
      <c r="DF216" s="399">
        <v>0</v>
      </c>
      <c r="DG216" s="399">
        <v>0</v>
      </c>
      <c r="DH216" s="399">
        <v>0</v>
      </c>
      <c r="DI216" s="399">
        <v>0</v>
      </c>
      <c r="DJ216" s="399"/>
      <c r="DK216" s="399">
        <v>0</v>
      </c>
      <c r="DL216" s="399">
        <v>0</v>
      </c>
      <c r="DM216" s="399"/>
      <c r="DN216" s="399">
        <v>0</v>
      </c>
      <c r="DO216" s="399">
        <v>0</v>
      </c>
      <c r="DP216" s="399">
        <v>0</v>
      </c>
      <c r="DQ216" s="399">
        <v>0</v>
      </c>
      <c r="DR216" s="399">
        <v>0</v>
      </c>
      <c r="DS216" s="399"/>
      <c r="DT216" s="399"/>
      <c r="DU216" s="399">
        <v>3194.9937466442088</v>
      </c>
      <c r="DV216" s="399"/>
      <c r="DW216" s="399">
        <v>0</v>
      </c>
      <c r="DX216" s="399">
        <v>0</v>
      </c>
      <c r="DY216" s="399">
        <v>-531.63000000000011</v>
      </c>
      <c r="DZ216" s="399"/>
      <c r="EA216" s="399">
        <v>0</v>
      </c>
      <c r="EB216" s="399"/>
      <c r="EC216" s="399">
        <v>-690.74040917489265</v>
      </c>
      <c r="ED216" s="399"/>
      <c r="EE216" s="399">
        <v>0</v>
      </c>
      <c r="EF216" s="399">
        <v>0</v>
      </c>
      <c r="EG216" s="399"/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/>
      <c r="EN216" s="399"/>
      <c r="EO216" s="399">
        <v>0</v>
      </c>
      <c r="EP216" s="399">
        <v>0</v>
      </c>
      <c r="EQ216" s="399"/>
      <c r="ER216" s="399">
        <v>0</v>
      </c>
      <c r="ES216" s="399"/>
      <c r="ET216" s="399">
        <v>0</v>
      </c>
      <c r="EU216" s="399"/>
      <c r="EV216" s="399">
        <v>215</v>
      </c>
      <c r="EW216" s="399"/>
      <c r="EX216" s="399"/>
      <c r="EY216" s="399"/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216</v>
      </c>
      <c r="B217" s="399" t="s">
        <v>956</v>
      </c>
      <c r="C217" s="399" t="s">
        <v>2343</v>
      </c>
      <c r="D217" s="399" t="s">
        <v>2353</v>
      </c>
      <c r="E217" s="399" t="s">
        <v>894</v>
      </c>
      <c r="F217" s="399" t="s">
        <v>1239</v>
      </c>
      <c r="G217" s="399" t="s">
        <v>1239</v>
      </c>
      <c r="H217" s="399" t="s">
        <v>1239</v>
      </c>
      <c r="I217" s="399" t="s">
        <v>1239</v>
      </c>
      <c r="J217" s="399" t="s">
        <v>2344</v>
      </c>
      <c r="K217" s="791">
        <v>44562</v>
      </c>
      <c r="L217" s="399">
        <v>0</v>
      </c>
      <c r="M217" s="399">
        <v>0</v>
      </c>
      <c r="N217" s="399">
        <v>685.76099999999997</v>
      </c>
      <c r="O217" s="399">
        <v>685.76099999999997</v>
      </c>
      <c r="P217" s="399">
        <v>685.76099999999997</v>
      </c>
      <c r="Q217" s="399">
        <v>685.76099999999997</v>
      </c>
      <c r="R217" s="399"/>
      <c r="S217" s="399">
        <v>239.69</v>
      </c>
      <c r="T217" s="399">
        <v>171.61</v>
      </c>
      <c r="U217" s="399"/>
      <c r="V217" s="399">
        <v>282053.49930000002</v>
      </c>
      <c r="W217" s="399">
        <v>282053.49930000002</v>
      </c>
      <c r="X217" s="399">
        <v>281018.00018999999</v>
      </c>
      <c r="Y217" s="399">
        <v>0</v>
      </c>
      <c r="Z217" s="399">
        <v>41459.258034753431</v>
      </c>
      <c r="AA217" s="399">
        <v>0</v>
      </c>
      <c r="AB217" s="399">
        <v>0</v>
      </c>
      <c r="AC217" s="399">
        <v>0</v>
      </c>
      <c r="AD217" s="399">
        <v>36575.743915040883</v>
      </c>
      <c r="AE217" s="399">
        <v>60768.523286495678</v>
      </c>
      <c r="AF217" s="399">
        <v>113407.19576296606</v>
      </c>
      <c r="AG217" s="399">
        <v>4275.9646150818853</v>
      </c>
      <c r="AH217" s="399">
        <v>0</v>
      </c>
      <c r="AI217" s="399">
        <v>0</v>
      </c>
      <c r="AJ217" s="399">
        <v>0</v>
      </c>
      <c r="AK217" s="399">
        <v>0</v>
      </c>
      <c r="AL217" s="399">
        <v>6410.569794827823</v>
      </c>
      <c r="AM217" s="399"/>
      <c r="AN217" s="399">
        <v>271.59677309914917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10978.973895750689</v>
      </c>
      <c r="BH217" s="399">
        <v>0</v>
      </c>
      <c r="BI217" s="399">
        <v>0</v>
      </c>
      <c r="BJ217" s="399">
        <v>0</v>
      </c>
      <c r="BK217" s="399">
        <v>96369.81</v>
      </c>
      <c r="BL217" s="399">
        <v>727</v>
      </c>
      <c r="BM217" s="399"/>
      <c r="BN217" s="399"/>
      <c r="BO217" s="399"/>
      <c r="BP217" s="399"/>
      <c r="BQ217" s="399"/>
      <c r="BR217" s="399">
        <v>33718.868369999989</v>
      </c>
      <c r="BS217" s="399"/>
      <c r="BT217" s="399"/>
      <c r="BU217" s="399"/>
      <c r="BV217" s="399">
        <v>124386.16965871675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247298.77120000002</v>
      </c>
      <c r="CJ217" s="399">
        <v>-912.45275000002584</v>
      </c>
      <c r="CK217" s="399"/>
      <c r="CL217" s="399"/>
      <c r="CM217" s="399"/>
      <c r="CN217" s="399"/>
      <c r="CO217" s="399">
        <v>-16471.979220000005</v>
      </c>
      <c r="CP217" s="399">
        <v>15436.480109999993</v>
      </c>
      <c r="CQ217" s="399">
        <v>31</v>
      </c>
      <c r="CR217" s="399">
        <v>12106.179959524132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1647.1017630253409</v>
      </c>
      <c r="DA217" s="399">
        <v>0</v>
      </c>
      <c r="DB217" s="399">
        <v>0</v>
      </c>
      <c r="DC217" s="399">
        <v>15440.146634356497</v>
      </c>
      <c r="DD217" s="399">
        <v>0</v>
      </c>
      <c r="DE217" s="399">
        <v>0</v>
      </c>
      <c r="DF217" s="399">
        <v>0</v>
      </c>
      <c r="DG217" s="399">
        <v>1494.7637643688122</v>
      </c>
      <c r="DH217" s="399">
        <v>0</v>
      </c>
      <c r="DI217" s="399">
        <v>-5694.543250116345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-738.77721349617514</v>
      </c>
      <c r="DP217" s="399">
        <v>-42.511738614017247</v>
      </c>
      <c r="DQ217" s="399">
        <v>0</v>
      </c>
      <c r="DR217" s="399">
        <v>0</v>
      </c>
      <c r="DS217" s="399"/>
      <c r="DT217" s="399"/>
      <c r="DU217" s="399"/>
      <c r="DV217" s="399">
        <v>60768.523286495678</v>
      </c>
      <c r="DW217" s="399">
        <v>0</v>
      </c>
      <c r="DX217" s="399">
        <v>0</v>
      </c>
      <c r="DY217" s="399">
        <v>-16471.979220000008</v>
      </c>
      <c r="DZ217" s="399">
        <v>15436.480110000004</v>
      </c>
      <c r="EA217" s="399">
        <v>0</v>
      </c>
      <c r="EB217" s="399">
        <v>0</v>
      </c>
      <c r="EC217" s="399">
        <v>-13137.826853012099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7906.1362349637466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215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217</v>
      </c>
      <c r="B218" s="399" t="s">
        <v>2346</v>
      </c>
      <c r="C218" s="399" t="s">
        <v>2343</v>
      </c>
      <c r="D218" s="399" t="s">
        <v>2353</v>
      </c>
      <c r="E218" s="399" t="s">
        <v>894</v>
      </c>
      <c r="F218" s="399" t="s">
        <v>1239</v>
      </c>
      <c r="G218" s="399" t="s">
        <v>1239</v>
      </c>
      <c r="H218" s="399" t="s">
        <v>1239</v>
      </c>
      <c r="I218" s="399" t="s">
        <v>1239</v>
      </c>
      <c r="J218" s="399" t="s">
        <v>2344</v>
      </c>
      <c r="K218" s="791">
        <v>44562</v>
      </c>
      <c r="L218" s="399">
        <v>0</v>
      </c>
      <c r="M218" s="399">
        <v>0</v>
      </c>
      <c r="N218" s="399">
        <v>42.182000000000002</v>
      </c>
      <c r="O218" s="399">
        <v>42.182000000000002</v>
      </c>
      <c r="P218" s="399">
        <v>42.182000000000002</v>
      </c>
      <c r="Q218" s="399">
        <v>42.182000000000002</v>
      </c>
      <c r="R218" s="399"/>
      <c r="S218" s="399">
        <v>239.69</v>
      </c>
      <c r="T218" s="399">
        <v>171.61</v>
      </c>
      <c r="U218" s="399"/>
      <c r="V218" s="399">
        <v>17349.456600000001</v>
      </c>
      <c r="W218" s="399">
        <v>17349.456600000001</v>
      </c>
      <c r="X218" s="399">
        <v>17285.761780000001</v>
      </c>
      <c r="Y218" s="399">
        <v>0</v>
      </c>
      <c r="Z218" s="399">
        <v>2550.2097996561038</v>
      </c>
      <c r="AA218" s="399">
        <v>0</v>
      </c>
      <c r="AB218" s="399">
        <v>0</v>
      </c>
      <c r="AC218" s="399">
        <v>0</v>
      </c>
      <c r="AD218" s="399">
        <v>2249.8188579173425</v>
      </c>
      <c r="AE218" s="399">
        <v>3737.9463825895041</v>
      </c>
      <c r="AF218" s="399">
        <v>6975.8156729143757</v>
      </c>
      <c r="AG218" s="399">
        <v>263.01982672298965</v>
      </c>
      <c r="AH218" s="399">
        <v>0</v>
      </c>
      <c r="AI218" s="399">
        <v>0</v>
      </c>
      <c r="AJ218" s="399">
        <v>0</v>
      </c>
      <c r="AK218" s="399">
        <v>0</v>
      </c>
      <c r="AL218" s="399">
        <v>394.32200881273104</v>
      </c>
      <c r="AM218" s="399"/>
      <c r="AN218" s="399">
        <v>16.706250549197623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675.33014690330242</v>
      </c>
      <c r="BH218" s="399">
        <v>0</v>
      </c>
      <c r="BI218" s="399">
        <v>0</v>
      </c>
      <c r="BJ218" s="399">
        <v>0</v>
      </c>
      <c r="BK218" s="399">
        <v>9133.89</v>
      </c>
      <c r="BL218" s="399">
        <v>10</v>
      </c>
      <c r="BM218" s="399"/>
      <c r="BN218" s="399"/>
      <c r="BO218" s="399"/>
      <c r="BP218" s="399"/>
      <c r="BQ218" s="399"/>
      <c r="BR218" s="399">
        <v>2074.0889399999996</v>
      </c>
      <c r="BS218" s="399"/>
      <c r="BT218" s="399"/>
      <c r="BU218" s="399"/>
      <c r="BV218" s="399">
        <v>7651.1458198176779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15210.9516</v>
      </c>
      <c r="CJ218" s="399">
        <v>-56.853300000002491</v>
      </c>
      <c r="CK218" s="399"/>
      <c r="CL218" s="399"/>
      <c r="CM218" s="399"/>
      <c r="CN218" s="399"/>
      <c r="CO218" s="399">
        <v>-1013.2116400000004</v>
      </c>
      <c r="CP218" s="399">
        <v>949.51681999999971</v>
      </c>
      <c r="CQ218" s="399">
        <v>31</v>
      </c>
      <c r="CR218" s="399">
        <v>744.66597408229245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101.31524914355714</v>
      </c>
      <c r="DA218" s="399">
        <v>0</v>
      </c>
      <c r="DB218" s="399">
        <v>0</v>
      </c>
      <c r="DC218" s="399">
        <v>949.74235240911275</v>
      </c>
      <c r="DD218" s="399">
        <v>0</v>
      </c>
      <c r="DE218" s="399">
        <v>0</v>
      </c>
      <c r="DF218" s="399">
        <v>0</v>
      </c>
      <c r="DG218" s="399">
        <v>91.94475204714945</v>
      </c>
      <c r="DH218" s="399">
        <v>0</v>
      </c>
      <c r="DI218" s="399">
        <v>-350.27833804548163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-45.443092301393165</v>
      </c>
      <c r="DP218" s="399">
        <v>-2.6149491706534409</v>
      </c>
      <c r="DQ218" s="399">
        <v>0</v>
      </c>
      <c r="DR218" s="399">
        <v>0</v>
      </c>
      <c r="DS218" s="399"/>
      <c r="DT218" s="399"/>
      <c r="DU218" s="399"/>
      <c r="DV218" s="399">
        <v>3737.9463825895041</v>
      </c>
      <c r="DW218" s="399">
        <v>0</v>
      </c>
      <c r="DX218" s="399">
        <v>0</v>
      </c>
      <c r="DY218" s="399">
        <v>-1013.2116400000014</v>
      </c>
      <c r="DZ218" s="399">
        <v>949.51681999999892</v>
      </c>
      <c r="EA218" s="399">
        <v>0</v>
      </c>
      <c r="EB218" s="399">
        <v>0</v>
      </c>
      <c r="EC218" s="399">
        <v>-808.1238395209939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486.31613443056807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215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218</v>
      </c>
      <c r="B219" s="399" t="s">
        <v>956</v>
      </c>
      <c r="C219" s="399" t="s">
        <v>2352</v>
      </c>
      <c r="D219" s="399" t="s">
        <v>533</v>
      </c>
      <c r="E219" s="399" t="s">
        <v>894</v>
      </c>
      <c r="F219" s="399" t="s">
        <v>1239</v>
      </c>
      <c r="G219" s="399" t="s">
        <v>1239</v>
      </c>
      <c r="H219" s="399" t="s">
        <v>1239</v>
      </c>
      <c r="I219" s="399" t="s">
        <v>893</v>
      </c>
      <c r="J219" s="399" t="s">
        <v>2344</v>
      </c>
      <c r="K219" s="791">
        <v>44562</v>
      </c>
      <c r="L219" s="399">
        <v>0</v>
      </c>
      <c r="M219" s="399">
        <v>0</v>
      </c>
      <c r="N219" s="399">
        <v>24.062000000000001</v>
      </c>
      <c r="O219" s="399">
        <v>23.099519999999998</v>
      </c>
      <c r="P219" s="399">
        <v>24.062000000000001</v>
      </c>
      <c r="Q219" s="399">
        <v>23.099519999999998</v>
      </c>
      <c r="R219" s="399"/>
      <c r="S219" s="399">
        <v>984.21</v>
      </c>
      <c r="T219" s="399">
        <v>171.61</v>
      </c>
      <c r="U219" s="399"/>
      <c r="V219" s="399">
        <v>27811.340840000001</v>
      </c>
      <c r="W219" s="399">
        <v>27811.340840000001</v>
      </c>
      <c r="X219" s="399">
        <v>25935.226700000003</v>
      </c>
      <c r="Y219" s="399">
        <v>0</v>
      </c>
      <c r="Z219" s="399">
        <v>1265.609476397821</v>
      </c>
      <c r="AA219" s="399">
        <v>0</v>
      </c>
      <c r="AB219" s="399">
        <v>0</v>
      </c>
      <c r="AC219" s="399">
        <v>0</v>
      </c>
      <c r="AD219" s="399">
        <v>9473.4179068511185</v>
      </c>
      <c r="AE219" s="399">
        <v>12321.719990883925</v>
      </c>
      <c r="AF219" s="399">
        <v>3979.2346669590274</v>
      </c>
      <c r="AG219" s="399">
        <v>150.03515884994968</v>
      </c>
      <c r="AH219" s="399">
        <v>0</v>
      </c>
      <c r="AI219" s="399">
        <v>0</v>
      </c>
      <c r="AJ219" s="399">
        <v>0</v>
      </c>
      <c r="AK219" s="399">
        <v>0</v>
      </c>
      <c r="AL219" s="399">
        <v>224.9342415260522</v>
      </c>
      <c r="AM219" s="399"/>
      <c r="AN219" s="399">
        <v>6.3538231462652739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148.7341702662294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/>
      <c r="BR219" s="399">
        <v>1037.4090680000031</v>
      </c>
      <c r="BS219" s="399"/>
      <c r="BT219" s="399"/>
      <c r="BU219" s="399"/>
      <c r="BV219" s="399">
        <v>4127.9688372252567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24898.334999999999</v>
      </c>
      <c r="CJ219" s="399">
        <v>-1800.5822063999949</v>
      </c>
      <c r="CK219" s="399"/>
      <c r="CL219" s="399"/>
      <c r="CM219" s="399"/>
      <c r="CN219" s="399"/>
      <c r="CO219" s="399">
        <v>-2417.7497600000006</v>
      </c>
      <c r="CP219" s="399">
        <v>541.63561999999979</v>
      </c>
      <c r="CQ219" s="399">
        <v>31</v>
      </c>
      <c r="CR219" s="399">
        <v>787.87527230964042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426.61287689719938</v>
      </c>
      <c r="DA219" s="399">
        <v>0</v>
      </c>
      <c r="DB219" s="399">
        <v>0</v>
      </c>
      <c r="DC219" s="399">
        <v>541.76427110303166</v>
      </c>
      <c r="DD219" s="399">
        <v>0</v>
      </c>
      <c r="DE219" s="399">
        <v>0</v>
      </c>
      <c r="DF219" s="399">
        <v>0</v>
      </c>
      <c r="DG219" s="399">
        <v>20.249838495696224</v>
      </c>
      <c r="DH219" s="399">
        <v>0</v>
      </c>
      <c r="DI219" s="399">
        <v>-173.83494646872509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-25.922234293208533</v>
      </c>
      <c r="DP219" s="399">
        <v>-0.99453342435374559</v>
      </c>
      <c r="DQ219" s="399">
        <v>0</v>
      </c>
      <c r="DR219" s="399">
        <v>0</v>
      </c>
      <c r="DS219" s="399"/>
      <c r="DT219" s="399"/>
      <c r="DU219" s="399"/>
      <c r="DV219" s="399">
        <v>12321.719990883925</v>
      </c>
      <c r="DW219" s="399">
        <v>0</v>
      </c>
      <c r="DX219" s="399">
        <v>0</v>
      </c>
      <c r="DY219" s="399">
        <v>-2417.7497599999988</v>
      </c>
      <c r="DZ219" s="399">
        <v>541.63562000000002</v>
      </c>
      <c r="EA219" s="399">
        <v>0</v>
      </c>
      <c r="EB219" s="399">
        <v>0</v>
      </c>
      <c r="EC219" s="399">
        <v>-2663.8893791829996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241.3473230098482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215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219</v>
      </c>
      <c r="B220" s="399" t="s">
        <v>956</v>
      </c>
      <c r="C220" s="399" t="s">
        <v>2352</v>
      </c>
      <c r="D220" s="399" t="s">
        <v>533</v>
      </c>
      <c r="E220" s="399" t="s">
        <v>894</v>
      </c>
      <c r="F220" s="399" t="s">
        <v>1239</v>
      </c>
      <c r="G220" s="399" t="s">
        <v>1239</v>
      </c>
      <c r="H220" s="399" t="s">
        <v>1239</v>
      </c>
      <c r="I220" s="399" t="s">
        <v>2326</v>
      </c>
      <c r="J220" s="399" t="s">
        <v>2344</v>
      </c>
      <c r="K220" s="791">
        <v>44562</v>
      </c>
      <c r="L220" s="399">
        <v>0</v>
      </c>
      <c r="M220" s="399">
        <v>0</v>
      </c>
      <c r="N220" s="399">
        <v>308.15600000000001</v>
      </c>
      <c r="O220" s="399">
        <v>295.82976000000002</v>
      </c>
      <c r="P220" s="399">
        <v>308.15600000000001</v>
      </c>
      <c r="Q220" s="399">
        <v>295.82976000000002</v>
      </c>
      <c r="R220" s="399"/>
      <c r="S220" s="399">
        <v>78.42</v>
      </c>
      <c r="T220" s="399">
        <v>171.61</v>
      </c>
      <c r="U220" s="399"/>
      <c r="V220" s="399">
        <v>77048.244680000003</v>
      </c>
      <c r="W220" s="399">
        <v>77048.244680000003</v>
      </c>
      <c r="X220" s="399">
        <v>81673.666240000006</v>
      </c>
      <c r="Y220" s="399">
        <v>0</v>
      </c>
      <c r="Z220" s="399">
        <v>16208.34318879756</v>
      </c>
      <c r="AA220" s="399">
        <v>0</v>
      </c>
      <c r="AB220" s="399">
        <v>0</v>
      </c>
      <c r="AC220" s="399">
        <v>0</v>
      </c>
      <c r="AD220" s="399">
        <v>0</v>
      </c>
      <c r="AE220" s="399">
        <v>0</v>
      </c>
      <c r="AF220" s="399">
        <v>50961.060511654316</v>
      </c>
      <c r="AG220" s="399">
        <v>1921.4626552474895</v>
      </c>
      <c r="AH220" s="399">
        <v>0</v>
      </c>
      <c r="AI220" s="399">
        <v>0</v>
      </c>
      <c r="AJ220" s="399">
        <v>0</v>
      </c>
      <c r="AK220" s="399">
        <v>0</v>
      </c>
      <c r="AL220" s="399">
        <v>2880.6764247237197</v>
      </c>
      <c r="AM220" s="399"/>
      <c r="AN220" s="399">
        <v>81.371819693314009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1904.8012207031911</v>
      </c>
      <c r="BH220" s="399">
        <v>0</v>
      </c>
      <c r="BI220" s="399">
        <v>0</v>
      </c>
      <c r="BJ220" s="399">
        <v>0</v>
      </c>
      <c r="BK220" s="399">
        <v>0</v>
      </c>
      <c r="BL220" s="399">
        <v>0</v>
      </c>
      <c r="BM220" s="399"/>
      <c r="BN220" s="399"/>
      <c r="BO220" s="399"/>
      <c r="BP220" s="399"/>
      <c r="BQ220" s="399"/>
      <c r="BR220" s="399">
        <v>3266.9466495999959</v>
      </c>
      <c r="BS220" s="399"/>
      <c r="BT220" s="399"/>
      <c r="BU220" s="399"/>
      <c r="BV220" s="399">
        <v>52865.861732357509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78406.783200000005</v>
      </c>
      <c r="CJ220" s="399">
        <v>4440.4383072000055</v>
      </c>
      <c r="CK220" s="399"/>
      <c r="CL220" s="399"/>
      <c r="CM220" s="399"/>
      <c r="CN220" s="399"/>
      <c r="CO220" s="399">
        <v>-2311.17</v>
      </c>
      <c r="CP220" s="399">
        <v>6936.5915599999971</v>
      </c>
      <c r="CQ220" s="399">
        <v>31</v>
      </c>
      <c r="CR220" s="399">
        <v>4626.5969046927057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0</v>
      </c>
      <c r="DA220" s="399">
        <v>0</v>
      </c>
      <c r="DB220" s="399">
        <v>0</v>
      </c>
      <c r="DC220" s="399">
        <v>6938.2391624148295</v>
      </c>
      <c r="DD220" s="399">
        <v>0</v>
      </c>
      <c r="DE220" s="399">
        <v>0</v>
      </c>
      <c r="DF220" s="399">
        <v>0</v>
      </c>
      <c r="DG220" s="399">
        <v>259.33460358572711</v>
      </c>
      <c r="DH220" s="399">
        <v>0</v>
      </c>
      <c r="DI220" s="399">
        <v>-2226.2605670358425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-331.97955410431268</v>
      </c>
      <c r="DP220" s="399">
        <v>-12.736740167698144</v>
      </c>
      <c r="DQ220" s="399">
        <v>0</v>
      </c>
      <c r="DR220" s="399">
        <v>0</v>
      </c>
      <c r="DS220" s="399"/>
      <c r="DT220" s="399"/>
      <c r="DU220" s="399"/>
      <c r="DV220" s="399">
        <v>0</v>
      </c>
      <c r="DW220" s="399">
        <v>0</v>
      </c>
      <c r="DX220" s="399">
        <v>0</v>
      </c>
      <c r="DY220" s="399">
        <v>-2311.1700000000019</v>
      </c>
      <c r="DZ220" s="399">
        <v>6936.5915599999935</v>
      </c>
      <c r="EA220" s="399">
        <v>0</v>
      </c>
      <c r="EB220" s="399">
        <v>0</v>
      </c>
      <c r="EC220" s="399">
        <v>0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3090.8746433971728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215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220</v>
      </c>
      <c r="B221" s="399" t="s">
        <v>956</v>
      </c>
      <c r="C221" s="399" t="s">
        <v>2352</v>
      </c>
      <c r="D221" s="399" t="s">
        <v>533</v>
      </c>
      <c r="E221" s="399" t="s">
        <v>894</v>
      </c>
      <c r="F221" s="399" t="s">
        <v>1239</v>
      </c>
      <c r="G221" s="399" t="s">
        <v>1239</v>
      </c>
      <c r="H221" s="399" t="s">
        <v>1239</v>
      </c>
      <c r="I221" s="399" t="s">
        <v>1239</v>
      </c>
      <c r="J221" s="399" t="s">
        <v>2344</v>
      </c>
      <c r="K221" s="791">
        <v>44562</v>
      </c>
      <c r="L221" s="399">
        <v>1319</v>
      </c>
      <c r="M221" s="399">
        <v>1266.24</v>
      </c>
      <c r="N221" s="399">
        <v>0</v>
      </c>
      <c r="O221" s="399">
        <v>0</v>
      </c>
      <c r="P221" s="399">
        <v>0</v>
      </c>
      <c r="Q221" s="399">
        <v>0</v>
      </c>
      <c r="R221" s="399">
        <v>12.58</v>
      </c>
      <c r="S221" s="399"/>
      <c r="T221" s="399"/>
      <c r="U221" s="399">
        <v>16593.02</v>
      </c>
      <c r="V221" s="399"/>
      <c r="W221" s="399">
        <v>16593.02</v>
      </c>
      <c r="X221" s="399">
        <v>15287.21</v>
      </c>
      <c r="Y221" s="399">
        <v>0</v>
      </c>
      <c r="Z221" s="399">
        <v>0</v>
      </c>
      <c r="AA221" s="399">
        <v>0</v>
      </c>
      <c r="AB221" s="399">
        <v>0</v>
      </c>
      <c r="AC221" s="399">
        <v>0</v>
      </c>
      <c r="AD221" s="399">
        <v>8741.5925982663139</v>
      </c>
      <c r="AE221" s="399">
        <v>7847.666204513429</v>
      </c>
      <c r="AF221" s="399"/>
      <c r="AG221" s="399"/>
      <c r="AH221" s="399"/>
      <c r="AI221" s="399">
        <v>0</v>
      </c>
      <c r="AJ221" s="399">
        <v>0</v>
      </c>
      <c r="AK221" s="399">
        <v>0</v>
      </c>
      <c r="AL221" s="399">
        <v>0</v>
      </c>
      <c r="AM221" s="399"/>
      <c r="AN221" s="399">
        <v>0</v>
      </c>
      <c r="AO221" s="399">
        <v>0</v>
      </c>
      <c r="AP221" s="399">
        <v>0</v>
      </c>
      <c r="AQ221" s="399">
        <v>0</v>
      </c>
      <c r="AR221" s="399">
        <v>0</v>
      </c>
      <c r="AS221" s="399"/>
      <c r="AT221" s="399"/>
      <c r="AU221" s="399">
        <v>0</v>
      </c>
      <c r="AV221" s="399">
        <v>0</v>
      </c>
      <c r="AW221" s="399">
        <v>0</v>
      </c>
      <c r="AX221" s="399"/>
      <c r="AY221" s="399"/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/>
      <c r="BG221" s="399">
        <v>0</v>
      </c>
      <c r="BH221" s="399">
        <v>0</v>
      </c>
      <c r="BI221" s="399">
        <v>0</v>
      </c>
      <c r="BJ221" s="399">
        <v>0</v>
      </c>
      <c r="BK221" s="399">
        <v>57796.04</v>
      </c>
      <c r="BL221" s="399">
        <v>10</v>
      </c>
      <c r="BM221" s="399"/>
      <c r="BN221" s="399"/>
      <c r="BO221" s="399"/>
      <c r="BP221" s="399"/>
      <c r="BQ221" s="399"/>
      <c r="BR221" s="399">
        <v>611.48839999999984</v>
      </c>
      <c r="BS221" s="399"/>
      <c r="BT221" s="399"/>
      <c r="BU221" s="399"/>
      <c r="BV221" s="399">
        <v>0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14675.721600000001</v>
      </c>
      <c r="CJ221" s="399">
        <v>-1253.6075999999994</v>
      </c>
      <c r="CK221" s="399"/>
      <c r="CL221" s="399"/>
      <c r="CM221" s="399"/>
      <c r="CN221" s="399"/>
      <c r="CO221" s="399">
        <v>-1305.8100000000002</v>
      </c>
      <c r="CP221" s="399">
        <v>0</v>
      </c>
      <c r="CQ221" s="399">
        <v>31</v>
      </c>
      <c r="CR221" s="399">
        <v>393.65686214608104</v>
      </c>
      <c r="CS221" s="399">
        <v>0</v>
      </c>
      <c r="CT221" s="399">
        <v>0</v>
      </c>
      <c r="CU221" s="399">
        <v>0</v>
      </c>
      <c r="CV221" s="399">
        <v>0</v>
      </c>
      <c r="CW221" s="399"/>
      <c r="CX221" s="399"/>
      <c r="CY221" s="399"/>
      <c r="CZ221" s="399">
        <v>393.65686214608104</v>
      </c>
      <c r="DA221" s="399">
        <v>0</v>
      </c>
      <c r="DB221" s="399">
        <v>0</v>
      </c>
      <c r="DC221" s="399"/>
      <c r="DD221" s="399"/>
      <c r="DE221" s="399">
        <v>0</v>
      </c>
      <c r="DF221" s="399">
        <v>0</v>
      </c>
      <c r="DG221" s="399">
        <v>0</v>
      </c>
      <c r="DH221" s="399">
        <v>0</v>
      </c>
      <c r="DI221" s="399">
        <v>0</v>
      </c>
      <c r="DJ221" s="399"/>
      <c r="DK221" s="399">
        <v>0</v>
      </c>
      <c r="DL221" s="399">
        <v>0</v>
      </c>
      <c r="DM221" s="399"/>
      <c r="DN221" s="399">
        <v>0</v>
      </c>
      <c r="DO221" s="399">
        <v>0</v>
      </c>
      <c r="DP221" s="399">
        <v>0</v>
      </c>
      <c r="DQ221" s="399">
        <v>0</v>
      </c>
      <c r="DR221" s="399">
        <v>0</v>
      </c>
      <c r="DS221" s="399"/>
      <c r="DT221" s="399"/>
      <c r="DU221" s="399">
        <v>7847.666204513429</v>
      </c>
      <c r="DV221" s="399"/>
      <c r="DW221" s="399">
        <v>0</v>
      </c>
      <c r="DX221" s="399">
        <v>0</v>
      </c>
      <c r="DY221" s="399">
        <v>-1305.8100000000013</v>
      </c>
      <c r="DZ221" s="399"/>
      <c r="EA221" s="399">
        <v>0</v>
      </c>
      <c r="EB221" s="399"/>
      <c r="EC221" s="399">
        <v>-1696.6230906921473</v>
      </c>
      <c r="ED221" s="399"/>
      <c r="EE221" s="399">
        <v>0</v>
      </c>
      <c r="EF221" s="399">
        <v>0</v>
      </c>
      <c r="EG221" s="399"/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/>
      <c r="EN221" s="399"/>
      <c r="EO221" s="399">
        <v>0</v>
      </c>
      <c r="EP221" s="399">
        <v>0</v>
      </c>
      <c r="EQ221" s="399"/>
      <c r="ER221" s="399">
        <v>0</v>
      </c>
      <c r="ES221" s="399"/>
      <c r="ET221" s="399">
        <v>0</v>
      </c>
      <c r="EU221" s="399"/>
      <c r="EV221" s="399">
        <v>215</v>
      </c>
      <c r="EW221" s="399"/>
      <c r="EX221" s="399"/>
      <c r="EY221" s="399"/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221</v>
      </c>
      <c r="B222" s="399" t="s">
        <v>956</v>
      </c>
      <c r="C222" s="399" t="s">
        <v>2343</v>
      </c>
      <c r="D222" s="399" t="s">
        <v>1826</v>
      </c>
      <c r="E222" s="399" t="s">
        <v>2354</v>
      </c>
      <c r="F222" s="399" t="s">
        <v>1239</v>
      </c>
      <c r="G222" s="399" t="s">
        <v>1239</v>
      </c>
      <c r="H222" s="399" t="s">
        <v>1239</v>
      </c>
      <c r="I222" s="399" t="s">
        <v>1239</v>
      </c>
      <c r="J222" s="399" t="s">
        <v>2344</v>
      </c>
      <c r="K222" s="791">
        <v>44562</v>
      </c>
      <c r="L222" s="399">
        <v>0</v>
      </c>
      <c r="M222" s="399">
        <v>0</v>
      </c>
      <c r="N222" s="399">
        <v>34.177</v>
      </c>
      <c r="O222" s="399">
        <v>34.177</v>
      </c>
      <c r="P222" s="399">
        <v>34.177</v>
      </c>
      <c r="Q222" s="399">
        <v>34.177</v>
      </c>
      <c r="R222" s="399"/>
      <c r="S222" s="399">
        <v>239.69</v>
      </c>
      <c r="T222" s="399">
        <v>171.61</v>
      </c>
      <c r="U222" s="399"/>
      <c r="V222" s="399">
        <v>14057.000100000001</v>
      </c>
      <c r="W222" s="399">
        <v>14057.000100000001</v>
      </c>
      <c r="X222" s="399">
        <v>14005.392829999999</v>
      </c>
      <c r="Y222" s="399">
        <v>0</v>
      </c>
      <c r="Z222" s="399">
        <v>2066.2491186488705</v>
      </c>
      <c r="AA222" s="399">
        <v>0</v>
      </c>
      <c r="AB222" s="399">
        <v>0</v>
      </c>
      <c r="AC222" s="399">
        <v>0</v>
      </c>
      <c r="AD222" s="399">
        <v>1822.8642337262577</v>
      </c>
      <c r="AE222" s="399">
        <v>3028.5854989749532</v>
      </c>
      <c r="AF222" s="399">
        <v>5651.994980162026</v>
      </c>
      <c r="AG222" s="399">
        <v>213.10579436517037</v>
      </c>
      <c r="AH222" s="399">
        <v>0</v>
      </c>
      <c r="AI222" s="399">
        <v>0</v>
      </c>
      <c r="AJ222" s="399">
        <v>0</v>
      </c>
      <c r="AK222" s="399">
        <v>0</v>
      </c>
      <c r="AL222" s="399">
        <v>319.49038203955973</v>
      </c>
      <c r="AM222" s="399"/>
      <c r="AN222" s="399">
        <v>13.535857119622758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547.17079395747396</v>
      </c>
      <c r="BH222" s="399">
        <v>0</v>
      </c>
      <c r="BI222" s="399">
        <v>0</v>
      </c>
      <c r="BJ222" s="399">
        <v>0</v>
      </c>
      <c r="BK222" s="399">
        <v>5757.36</v>
      </c>
      <c r="BL222" s="399">
        <v>45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6199.1657741194995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14006.6222</v>
      </c>
      <c r="CJ222" s="399">
        <v>-50.407900000001973</v>
      </c>
      <c r="CK222" s="399"/>
      <c r="CL222" s="399"/>
      <c r="CM222" s="399"/>
      <c r="CN222" s="399"/>
      <c r="CO222" s="399">
        <v>-820.93154000000038</v>
      </c>
      <c r="CP222" s="399">
        <v>769.32426999999973</v>
      </c>
      <c r="CQ222" s="399">
        <v>31</v>
      </c>
      <c r="CR222" s="399">
        <v>603.34856090774338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82.088361622951879</v>
      </c>
      <c r="DA222" s="399">
        <v>0</v>
      </c>
      <c r="DB222" s="399">
        <v>0</v>
      </c>
      <c r="DC222" s="399">
        <v>769.5070024722927</v>
      </c>
      <c r="DD222" s="399">
        <v>0</v>
      </c>
      <c r="DE222" s="399">
        <v>0</v>
      </c>
      <c r="DF222" s="399">
        <v>0</v>
      </c>
      <c r="DG222" s="399">
        <v>74.496130831051801</v>
      </c>
      <c r="DH222" s="399">
        <v>0</v>
      </c>
      <c r="DI222" s="399">
        <v>-283.80500591201076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-36.819225394355726</v>
      </c>
      <c r="DP222" s="399">
        <v>-2.1187027121858311</v>
      </c>
      <c r="DQ222" s="399">
        <v>0</v>
      </c>
      <c r="DR222" s="399">
        <v>0</v>
      </c>
      <c r="DS222" s="399"/>
      <c r="DT222" s="399"/>
      <c r="DU222" s="399"/>
      <c r="DV222" s="399">
        <v>3028.5854989749532</v>
      </c>
      <c r="DW222" s="399">
        <v>0</v>
      </c>
      <c r="DX222" s="399">
        <v>0</v>
      </c>
      <c r="DY222" s="399">
        <v>-820.9315400000005</v>
      </c>
      <c r="DZ222" s="399">
        <v>769.32426999999916</v>
      </c>
      <c r="EA222" s="399">
        <v>0</v>
      </c>
      <c r="EB222" s="399">
        <v>0</v>
      </c>
      <c r="EC222" s="399">
        <v>-654.76384389808482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394.0265166761539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215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222</v>
      </c>
      <c r="B223" s="399" t="s">
        <v>956</v>
      </c>
      <c r="C223" s="399" t="s">
        <v>2352</v>
      </c>
      <c r="D223" s="399" t="s">
        <v>533</v>
      </c>
      <c r="E223" s="399" t="s">
        <v>2354</v>
      </c>
      <c r="F223" s="399" t="s">
        <v>1239</v>
      </c>
      <c r="G223" s="399" t="s">
        <v>1239</v>
      </c>
      <c r="H223" s="399" t="s">
        <v>1239</v>
      </c>
      <c r="I223" s="399" t="s">
        <v>893</v>
      </c>
      <c r="J223" s="399" t="s">
        <v>2344</v>
      </c>
      <c r="K223" s="791">
        <v>44562</v>
      </c>
      <c r="L223" s="399">
        <v>0</v>
      </c>
      <c r="M223" s="399">
        <v>0</v>
      </c>
      <c r="N223" s="399">
        <v>0.40100000000000002</v>
      </c>
      <c r="O223" s="399">
        <v>0.40100000000000002</v>
      </c>
      <c r="P223" s="399">
        <v>0.40100000000000002</v>
      </c>
      <c r="Q223" s="399">
        <v>0.40100000000000002</v>
      </c>
      <c r="R223" s="399"/>
      <c r="S223" s="399">
        <v>984.21</v>
      </c>
      <c r="T223" s="399">
        <v>171.61</v>
      </c>
      <c r="U223" s="399"/>
      <c r="V223" s="399">
        <v>463.48382000000004</v>
      </c>
      <c r="W223" s="399">
        <v>463.48382000000004</v>
      </c>
      <c r="X223" s="399">
        <v>432.21785000000006</v>
      </c>
      <c r="Y223" s="399">
        <v>0</v>
      </c>
      <c r="Z223" s="399">
        <v>21.091738011616915</v>
      </c>
      <c r="AA223" s="399">
        <v>0</v>
      </c>
      <c r="AB223" s="399">
        <v>0</v>
      </c>
      <c r="AC223" s="399">
        <v>0</v>
      </c>
      <c r="AD223" s="399">
        <v>157.87717482533867</v>
      </c>
      <c r="AE223" s="399">
        <v>205.34493044403848</v>
      </c>
      <c r="AF223" s="399">
        <v>66.315065308393741</v>
      </c>
      <c r="AG223" s="399">
        <v>2.5003781356009402</v>
      </c>
      <c r="AH223" s="399">
        <v>0</v>
      </c>
      <c r="AI223" s="399">
        <v>0</v>
      </c>
      <c r="AJ223" s="399">
        <v>0</v>
      </c>
      <c r="AK223" s="399">
        <v>0</v>
      </c>
      <c r="AL223" s="399">
        <v>3.7485924217416229</v>
      </c>
      <c r="AM223" s="399"/>
      <c r="AN223" s="399">
        <v>0.10588825042192565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2.4786967948116527</v>
      </c>
      <c r="BH223" s="399">
        <v>0</v>
      </c>
      <c r="BI223" s="399">
        <v>0</v>
      </c>
      <c r="BJ223" s="399">
        <v>0</v>
      </c>
      <c r="BK223" s="399">
        <v>0</v>
      </c>
      <c r="BL223" s="399">
        <v>0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68.793762103205395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431.14000000000004</v>
      </c>
      <c r="CJ223" s="399">
        <v>-32.373819999999967</v>
      </c>
      <c r="CK223" s="399"/>
      <c r="CL223" s="399"/>
      <c r="CM223" s="399"/>
      <c r="CN223" s="399"/>
      <c r="CO223" s="399">
        <v>-40.292480000000012</v>
      </c>
      <c r="CP223" s="399">
        <v>9.0265099999999965</v>
      </c>
      <c r="CQ223" s="399">
        <v>31</v>
      </c>
      <c r="CR223" s="399">
        <v>13.130163086865764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7.1096236237958692</v>
      </c>
      <c r="DA223" s="399">
        <v>0</v>
      </c>
      <c r="DB223" s="399">
        <v>0</v>
      </c>
      <c r="DC223" s="399">
        <v>9.0286540068288446</v>
      </c>
      <c r="DD223" s="399">
        <v>0</v>
      </c>
      <c r="DE223" s="399">
        <v>0</v>
      </c>
      <c r="DF223" s="399">
        <v>0</v>
      </c>
      <c r="DG223" s="399">
        <v>0.33746925595437549</v>
      </c>
      <c r="DH223" s="399">
        <v>0</v>
      </c>
      <c r="DI223" s="399">
        <v>-2.897008292492675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-0.43200132788532164</v>
      </c>
      <c r="DP223" s="399">
        <v>-1.6574179335294328E-2</v>
      </c>
      <c r="DQ223" s="399">
        <v>0</v>
      </c>
      <c r="DR223" s="399">
        <v>0</v>
      </c>
      <c r="DS223" s="399"/>
      <c r="DT223" s="399"/>
      <c r="DU223" s="399"/>
      <c r="DV223" s="399">
        <v>205.34493044403848</v>
      </c>
      <c r="DW223" s="399">
        <v>0</v>
      </c>
      <c r="DX223" s="399">
        <v>0</v>
      </c>
      <c r="DY223" s="399">
        <v>-40.292480000000012</v>
      </c>
      <c r="DZ223" s="399">
        <v>9.0265100000000018</v>
      </c>
      <c r="EA223" s="399">
        <v>0</v>
      </c>
      <c r="EB223" s="399">
        <v>0</v>
      </c>
      <c r="EC223" s="399">
        <v>-44.394466006665397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4.0221210425961731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215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223</v>
      </c>
      <c r="B224" s="399" t="s">
        <v>956</v>
      </c>
      <c r="C224" s="399" t="s">
        <v>2352</v>
      </c>
      <c r="D224" s="399" t="s">
        <v>533</v>
      </c>
      <c r="E224" s="399" t="s">
        <v>2354</v>
      </c>
      <c r="F224" s="399" t="s">
        <v>1239</v>
      </c>
      <c r="G224" s="399" t="s">
        <v>1239</v>
      </c>
      <c r="H224" s="399" t="s">
        <v>1239</v>
      </c>
      <c r="I224" s="399" t="s">
        <v>2326</v>
      </c>
      <c r="J224" s="399" t="s">
        <v>2344</v>
      </c>
      <c r="K224" s="791">
        <v>44562</v>
      </c>
      <c r="L224" s="399">
        <v>0</v>
      </c>
      <c r="M224" s="399">
        <v>0</v>
      </c>
      <c r="N224" s="399">
        <v>11.417</v>
      </c>
      <c r="O224" s="399">
        <v>11.417</v>
      </c>
      <c r="P224" s="399">
        <v>11.417</v>
      </c>
      <c r="Q224" s="399">
        <v>11.417</v>
      </c>
      <c r="R224" s="399"/>
      <c r="S224" s="399">
        <v>78.42</v>
      </c>
      <c r="T224" s="399">
        <v>171.61</v>
      </c>
      <c r="U224" s="399"/>
      <c r="V224" s="399">
        <v>2854.5925100000004</v>
      </c>
      <c r="W224" s="399">
        <v>2854.5925100000004</v>
      </c>
      <c r="X224" s="399">
        <v>3025.9616799999999</v>
      </c>
      <c r="Y224" s="399">
        <v>0</v>
      </c>
      <c r="Z224" s="399">
        <v>600.5096580514471</v>
      </c>
      <c r="AA224" s="399">
        <v>0</v>
      </c>
      <c r="AB224" s="399">
        <v>0</v>
      </c>
      <c r="AC224" s="399">
        <v>0</v>
      </c>
      <c r="AD224" s="399">
        <v>0</v>
      </c>
      <c r="AE224" s="399">
        <v>0</v>
      </c>
      <c r="AF224" s="399">
        <v>1888.0775576706515</v>
      </c>
      <c r="AG224" s="399">
        <v>71.189070259740475</v>
      </c>
      <c r="AH224" s="399">
        <v>0</v>
      </c>
      <c r="AI224" s="399">
        <v>0</v>
      </c>
      <c r="AJ224" s="399">
        <v>0</v>
      </c>
      <c r="AK224" s="399">
        <v>0</v>
      </c>
      <c r="AL224" s="399">
        <v>106.72738074569602</v>
      </c>
      <c r="AM224" s="399"/>
      <c r="AN224" s="399">
        <v>3.014778441563903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70.57177383133326</v>
      </c>
      <c r="BH224" s="399">
        <v>0</v>
      </c>
      <c r="BI224" s="399">
        <v>0</v>
      </c>
      <c r="BJ224" s="399">
        <v>0</v>
      </c>
      <c r="BK224" s="399">
        <v>0</v>
      </c>
      <c r="BL224" s="399">
        <v>0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1958.6493315019848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3026.7568000000001</v>
      </c>
      <c r="CJ224" s="399">
        <v>172.13428999999996</v>
      </c>
      <c r="CK224" s="399"/>
      <c r="CL224" s="399"/>
      <c r="CM224" s="399"/>
      <c r="CN224" s="399"/>
      <c r="CO224" s="399">
        <v>-85.627499999999998</v>
      </c>
      <c r="CP224" s="399">
        <v>256.99666999999988</v>
      </c>
      <c r="CQ224" s="399">
        <v>31</v>
      </c>
      <c r="CR224" s="399">
        <v>171.41271583508615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0</v>
      </c>
      <c r="DA224" s="399">
        <v>0</v>
      </c>
      <c r="DB224" s="399">
        <v>0</v>
      </c>
      <c r="DC224" s="399">
        <v>257.05771270814193</v>
      </c>
      <c r="DD224" s="399">
        <v>0</v>
      </c>
      <c r="DE224" s="399">
        <v>0</v>
      </c>
      <c r="DF224" s="399">
        <v>0</v>
      </c>
      <c r="DG224" s="399">
        <v>9.6081957487059952</v>
      </c>
      <c r="DH224" s="399">
        <v>0</v>
      </c>
      <c r="DI224" s="399">
        <v>-82.481655050845006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-12.299648779218742</v>
      </c>
      <c r="DP224" s="399">
        <v>-0.47188879169839248</v>
      </c>
      <c r="DQ224" s="399">
        <v>0</v>
      </c>
      <c r="DR224" s="399">
        <v>0</v>
      </c>
      <c r="DS224" s="399"/>
      <c r="DT224" s="399"/>
      <c r="DU224" s="399"/>
      <c r="DV224" s="399">
        <v>0</v>
      </c>
      <c r="DW224" s="399">
        <v>0</v>
      </c>
      <c r="DX224" s="399">
        <v>0</v>
      </c>
      <c r="DY224" s="399">
        <v>-85.627500000000055</v>
      </c>
      <c r="DZ224" s="399">
        <v>256.99666999999977</v>
      </c>
      <c r="EA224" s="399">
        <v>0</v>
      </c>
      <c r="EB224" s="399">
        <v>0</v>
      </c>
      <c r="EC224" s="399">
        <v>0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114.51510210304366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215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224</v>
      </c>
      <c r="B225" s="399" t="s">
        <v>956</v>
      </c>
      <c r="C225" s="399" t="s">
        <v>2352</v>
      </c>
      <c r="D225" s="399" t="s">
        <v>533</v>
      </c>
      <c r="E225" s="399" t="s">
        <v>2354</v>
      </c>
      <c r="F225" s="399" t="s">
        <v>1239</v>
      </c>
      <c r="G225" s="399" t="s">
        <v>1239</v>
      </c>
      <c r="H225" s="399" t="s">
        <v>1239</v>
      </c>
      <c r="I225" s="399" t="s">
        <v>1239</v>
      </c>
      <c r="J225" s="399" t="s">
        <v>2344</v>
      </c>
      <c r="K225" s="791">
        <v>44562</v>
      </c>
      <c r="L225" s="399">
        <v>168</v>
      </c>
      <c r="M225" s="399">
        <v>168</v>
      </c>
      <c r="N225" s="399">
        <v>0</v>
      </c>
      <c r="O225" s="399">
        <v>0</v>
      </c>
      <c r="P225" s="399">
        <v>0</v>
      </c>
      <c r="Q225" s="399">
        <v>0</v>
      </c>
      <c r="R225" s="399">
        <v>12.58</v>
      </c>
      <c r="S225" s="399"/>
      <c r="T225" s="399"/>
      <c r="U225" s="399">
        <v>2113.44</v>
      </c>
      <c r="V225" s="399"/>
      <c r="W225" s="399">
        <v>2113.44</v>
      </c>
      <c r="X225" s="399">
        <v>1947.12</v>
      </c>
      <c r="Y225" s="399">
        <v>0</v>
      </c>
      <c r="Z225" s="399">
        <v>0</v>
      </c>
      <c r="AA225" s="399">
        <v>0</v>
      </c>
      <c r="AB225" s="399">
        <v>0</v>
      </c>
      <c r="AC225" s="399">
        <v>0</v>
      </c>
      <c r="AD225" s="399">
        <v>1113.4098229785754</v>
      </c>
      <c r="AE225" s="399">
        <v>999.55111626857934</v>
      </c>
      <c r="AF225" s="399"/>
      <c r="AG225" s="399"/>
      <c r="AH225" s="399"/>
      <c r="AI225" s="399">
        <v>0</v>
      </c>
      <c r="AJ225" s="399">
        <v>0</v>
      </c>
      <c r="AK225" s="399">
        <v>0</v>
      </c>
      <c r="AL225" s="399">
        <v>0</v>
      </c>
      <c r="AM225" s="399"/>
      <c r="AN225" s="399">
        <v>0</v>
      </c>
      <c r="AO225" s="399">
        <v>0</v>
      </c>
      <c r="AP225" s="399">
        <v>0</v>
      </c>
      <c r="AQ225" s="399">
        <v>0</v>
      </c>
      <c r="AR225" s="399">
        <v>0</v>
      </c>
      <c r="AS225" s="399"/>
      <c r="AT225" s="399"/>
      <c r="AU225" s="399">
        <v>0</v>
      </c>
      <c r="AV225" s="399">
        <v>0</v>
      </c>
      <c r="AW225" s="399">
        <v>0</v>
      </c>
      <c r="AX225" s="399"/>
      <c r="AY225" s="399"/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/>
      <c r="BG225" s="399">
        <v>0</v>
      </c>
      <c r="BH225" s="399">
        <v>0</v>
      </c>
      <c r="BI225" s="399">
        <v>0</v>
      </c>
      <c r="BJ225" s="399">
        <v>0</v>
      </c>
      <c r="BK225" s="399">
        <v>1854.9</v>
      </c>
      <c r="BL225" s="399">
        <v>3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0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1947.12</v>
      </c>
      <c r="CJ225" s="399">
        <v>-166.35000000000082</v>
      </c>
      <c r="CK225" s="399"/>
      <c r="CL225" s="399"/>
      <c r="CM225" s="399"/>
      <c r="CN225" s="399"/>
      <c r="CO225" s="399">
        <v>-166.32000000000005</v>
      </c>
      <c r="CP225" s="399">
        <v>0</v>
      </c>
      <c r="CQ225" s="399">
        <v>31</v>
      </c>
      <c r="CR225" s="399">
        <v>50.139767127021514</v>
      </c>
      <c r="CS225" s="399">
        <v>0</v>
      </c>
      <c r="CT225" s="399">
        <v>0</v>
      </c>
      <c r="CU225" s="399">
        <v>0</v>
      </c>
      <c r="CV225" s="399">
        <v>0</v>
      </c>
      <c r="CW225" s="399"/>
      <c r="CX225" s="399"/>
      <c r="CY225" s="399"/>
      <c r="CZ225" s="399">
        <v>50.139767127021514</v>
      </c>
      <c r="DA225" s="399">
        <v>0</v>
      </c>
      <c r="DB225" s="399">
        <v>0</v>
      </c>
      <c r="DC225" s="399"/>
      <c r="DD225" s="399"/>
      <c r="DE225" s="399">
        <v>0</v>
      </c>
      <c r="DF225" s="399">
        <v>0</v>
      </c>
      <c r="DG225" s="399">
        <v>0</v>
      </c>
      <c r="DH225" s="399">
        <v>0</v>
      </c>
      <c r="DI225" s="399">
        <v>0</v>
      </c>
      <c r="DJ225" s="399"/>
      <c r="DK225" s="399">
        <v>0</v>
      </c>
      <c r="DL225" s="399">
        <v>0</v>
      </c>
      <c r="DM225" s="399"/>
      <c r="DN225" s="399">
        <v>0</v>
      </c>
      <c r="DO225" s="399">
        <v>0</v>
      </c>
      <c r="DP225" s="399">
        <v>0</v>
      </c>
      <c r="DQ225" s="399">
        <v>0</v>
      </c>
      <c r="DR225" s="399">
        <v>0</v>
      </c>
      <c r="DS225" s="399"/>
      <c r="DT225" s="399"/>
      <c r="DU225" s="399">
        <v>999.55111626857934</v>
      </c>
      <c r="DV225" s="399"/>
      <c r="DW225" s="399">
        <v>0</v>
      </c>
      <c r="DX225" s="399">
        <v>0</v>
      </c>
      <c r="DY225" s="399">
        <v>-166.32000000000016</v>
      </c>
      <c r="DZ225" s="399"/>
      <c r="EA225" s="399">
        <v>0</v>
      </c>
      <c r="EB225" s="399"/>
      <c r="EC225" s="399">
        <v>-216.09755817762004</v>
      </c>
      <c r="ED225" s="399"/>
      <c r="EE225" s="399">
        <v>0</v>
      </c>
      <c r="EF225" s="399">
        <v>0</v>
      </c>
      <c r="EG225" s="399"/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/>
      <c r="EN225" s="399"/>
      <c r="EO225" s="399">
        <v>0</v>
      </c>
      <c r="EP225" s="399">
        <v>0</v>
      </c>
      <c r="EQ225" s="399"/>
      <c r="ER225" s="399">
        <v>0</v>
      </c>
      <c r="ES225" s="399"/>
      <c r="ET225" s="399">
        <v>0</v>
      </c>
      <c r="EU225" s="399"/>
      <c r="EV225" s="399">
        <v>215</v>
      </c>
      <c r="EW225" s="399"/>
      <c r="EX225" s="399"/>
      <c r="EY225" s="399"/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225</v>
      </c>
      <c r="B226" s="399" t="s">
        <v>956</v>
      </c>
      <c r="C226" s="399" t="s">
        <v>2343</v>
      </c>
      <c r="D226" s="399" t="s">
        <v>2355</v>
      </c>
      <c r="E226" s="399" t="s">
        <v>2356</v>
      </c>
      <c r="F226" s="399" t="s">
        <v>2357</v>
      </c>
      <c r="G226" s="399" t="s">
        <v>1239</v>
      </c>
      <c r="H226" s="399" t="s">
        <v>1239</v>
      </c>
      <c r="I226" s="399" t="s">
        <v>1239</v>
      </c>
      <c r="J226" s="399" t="s">
        <v>2344</v>
      </c>
      <c r="K226" s="791">
        <v>44562</v>
      </c>
      <c r="L226" s="399">
        <v>0</v>
      </c>
      <c r="M226" s="399">
        <v>0</v>
      </c>
      <c r="N226" s="399">
        <v>101.904</v>
      </c>
      <c r="O226" s="399">
        <v>101.904</v>
      </c>
      <c r="P226" s="399">
        <v>101.904</v>
      </c>
      <c r="Q226" s="399">
        <v>101.904</v>
      </c>
      <c r="R226" s="399"/>
      <c r="S226" s="399">
        <v>131.83000000000001</v>
      </c>
      <c r="T226" s="399">
        <v>94.39</v>
      </c>
      <c r="U226" s="399"/>
      <c r="V226" s="399">
        <v>23052.722880000001</v>
      </c>
      <c r="W226" s="399">
        <v>23052.722880000001</v>
      </c>
      <c r="X226" s="399">
        <v>22968.14256</v>
      </c>
      <c r="Y226" s="399">
        <v>0</v>
      </c>
      <c r="Z226" s="399">
        <v>3388.4623461022657</v>
      </c>
      <c r="AA226" s="399">
        <v>0</v>
      </c>
      <c r="AB226" s="399">
        <v>0</v>
      </c>
      <c r="AC226" s="399">
        <v>0</v>
      </c>
      <c r="AD226" s="399">
        <v>2989.3330684525358</v>
      </c>
      <c r="AE226" s="399">
        <v>4966.607284962075</v>
      </c>
      <c r="AF226" s="399">
        <v>9268.7624148444102</v>
      </c>
      <c r="AG226" s="399">
        <v>349.47429785948395</v>
      </c>
      <c r="AH226" s="399">
        <v>0</v>
      </c>
      <c r="AI226" s="399">
        <v>0</v>
      </c>
      <c r="AJ226" s="399">
        <v>0</v>
      </c>
      <c r="AK226" s="399">
        <v>0</v>
      </c>
      <c r="AL226" s="399">
        <v>523.93543436368327</v>
      </c>
      <c r="AM226" s="399"/>
      <c r="AN226" s="399">
        <v>22.19758583711037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897.31079155845396</v>
      </c>
      <c r="BH226" s="399">
        <v>0</v>
      </c>
      <c r="BI226" s="399">
        <v>0</v>
      </c>
      <c r="BJ226" s="399">
        <v>0</v>
      </c>
      <c r="BK226" s="399">
        <v>12479.44</v>
      </c>
      <c r="BL226" s="399">
        <v>7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10166.073206402863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22967.241000000002</v>
      </c>
      <c r="CJ226" s="399">
        <v>-85.511879999994562</v>
      </c>
      <c r="CK226" s="399"/>
      <c r="CL226" s="399"/>
      <c r="CM226" s="399"/>
      <c r="CN226" s="399"/>
      <c r="CO226" s="399">
        <v>-1346.1518400000007</v>
      </c>
      <c r="CP226" s="399">
        <v>1261.5715199999995</v>
      </c>
      <c r="CQ226" s="399">
        <v>31</v>
      </c>
      <c r="CR226" s="399">
        <v>989.43726666789735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134.61751533352299</v>
      </c>
      <c r="DA226" s="399">
        <v>0</v>
      </c>
      <c r="DB226" s="399">
        <v>0</v>
      </c>
      <c r="DC226" s="399">
        <v>1261.9221367868886</v>
      </c>
      <c r="DD226" s="399">
        <v>0</v>
      </c>
      <c r="DE226" s="399">
        <v>0</v>
      </c>
      <c r="DF226" s="399">
        <v>0</v>
      </c>
      <c r="DG226" s="399">
        <v>122.16694103971076</v>
      </c>
      <c r="DH226" s="399">
        <v>0</v>
      </c>
      <c r="DI226" s="399">
        <v>-465.41463344798103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-60.380211531805969</v>
      </c>
      <c r="DP226" s="399">
        <v>-3.4744815124329556</v>
      </c>
      <c r="DQ226" s="399">
        <v>0</v>
      </c>
      <c r="DR226" s="399">
        <v>0</v>
      </c>
      <c r="DS226" s="399"/>
      <c r="DT226" s="399"/>
      <c r="DU226" s="399"/>
      <c r="DV226" s="399">
        <v>4966.607284962075</v>
      </c>
      <c r="DW226" s="399">
        <v>0</v>
      </c>
      <c r="DX226" s="399">
        <v>0</v>
      </c>
      <c r="DY226" s="399">
        <v>-1346.1518400000004</v>
      </c>
      <c r="DZ226" s="399">
        <v>1261.5715199999995</v>
      </c>
      <c r="EA226" s="399">
        <v>0</v>
      </c>
      <c r="EB226" s="399">
        <v>0</v>
      </c>
      <c r="EC226" s="399">
        <v>-1073.7536972737366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646.16797803937345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215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226</v>
      </c>
      <c r="B227" s="399" t="s">
        <v>956</v>
      </c>
      <c r="C227" s="399" t="s">
        <v>2343</v>
      </c>
      <c r="D227" s="399" t="s">
        <v>1826</v>
      </c>
      <c r="E227" s="399" t="s">
        <v>921</v>
      </c>
      <c r="F227" s="399" t="s">
        <v>2358</v>
      </c>
      <c r="G227" s="399" t="s">
        <v>1239</v>
      </c>
      <c r="H227" s="399" t="s">
        <v>1239</v>
      </c>
      <c r="I227" s="399" t="s">
        <v>1239</v>
      </c>
      <c r="J227" s="399" t="s">
        <v>2344</v>
      </c>
      <c r="K227" s="791">
        <v>44562</v>
      </c>
      <c r="L227" s="399">
        <v>0</v>
      </c>
      <c r="M227" s="399">
        <v>0</v>
      </c>
      <c r="N227" s="399">
        <v>41.804000000000002</v>
      </c>
      <c r="O227" s="399">
        <v>39.295760000000001</v>
      </c>
      <c r="P227" s="399">
        <v>41.804000000000002</v>
      </c>
      <c r="Q227" s="399">
        <v>39.295760000000001</v>
      </c>
      <c r="R227" s="399"/>
      <c r="S227" s="399">
        <v>239.69</v>
      </c>
      <c r="T227" s="399">
        <v>171.61</v>
      </c>
      <c r="U227" s="399"/>
      <c r="V227" s="399">
        <v>17193.985200000003</v>
      </c>
      <c r="W227" s="399">
        <v>17193.985200000003</v>
      </c>
      <c r="X227" s="399">
        <v>17130.86116</v>
      </c>
      <c r="Y227" s="399">
        <v>0</v>
      </c>
      <c r="Z227" s="399">
        <v>2527.3569405154749</v>
      </c>
      <c r="AA227" s="399">
        <v>0</v>
      </c>
      <c r="AB227" s="399">
        <v>0</v>
      </c>
      <c r="AC227" s="399">
        <v>0</v>
      </c>
      <c r="AD227" s="399">
        <v>2229.6578525526666</v>
      </c>
      <c r="AE227" s="399">
        <v>3704.4500160677926</v>
      </c>
      <c r="AF227" s="399">
        <v>6913.3042148431214</v>
      </c>
      <c r="AG227" s="399">
        <v>260.66286179716133</v>
      </c>
      <c r="AH227" s="399">
        <v>0</v>
      </c>
      <c r="AI227" s="399">
        <v>0</v>
      </c>
      <c r="AJ227" s="399">
        <v>0</v>
      </c>
      <c r="AK227" s="399">
        <v>0</v>
      </c>
      <c r="AL227" s="399">
        <v>390.78842293886987</v>
      </c>
      <c r="AM227" s="399"/>
      <c r="AN227" s="399">
        <v>16.556543026851678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669.27839981854004</v>
      </c>
      <c r="BH227" s="399">
        <v>0</v>
      </c>
      <c r="BI227" s="399">
        <v>0</v>
      </c>
      <c r="BJ227" s="399">
        <v>0</v>
      </c>
      <c r="BK227" s="399">
        <v>7688.63</v>
      </c>
      <c r="BL227" s="399">
        <v>40</v>
      </c>
      <c r="BM227" s="399"/>
      <c r="BN227" s="399"/>
      <c r="BO227" s="399"/>
      <c r="BP227" s="399"/>
      <c r="BQ227" s="399">
        <v>1027.8516696000002</v>
      </c>
      <c r="BR227" s="399"/>
      <c r="BS227" s="399"/>
      <c r="BT227" s="399"/>
      <c r="BU227" s="399"/>
      <c r="BV227" s="399">
        <v>7582.5826146616619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16104.746999999998</v>
      </c>
      <c r="CJ227" s="399">
        <v>-57.62908800000514</v>
      </c>
      <c r="CK227" s="399"/>
      <c r="CL227" s="399"/>
      <c r="CM227" s="399"/>
      <c r="CN227" s="399"/>
      <c r="CO227" s="399">
        <v>-1004.1320800000004</v>
      </c>
      <c r="CP227" s="399">
        <v>941.00803999999971</v>
      </c>
      <c r="CQ227" s="399">
        <v>31</v>
      </c>
      <c r="CR227" s="399">
        <v>737.99289698297798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100.40734614758094</v>
      </c>
      <c r="DA227" s="399">
        <v>0</v>
      </c>
      <c r="DB227" s="399">
        <v>0</v>
      </c>
      <c r="DC227" s="399">
        <v>941.23155137524463</v>
      </c>
      <c r="DD227" s="399">
        <v>0</v>
      </c>
      <c r="DE227" s="399">
        <v>0</v>
      </c>
      <c r="DF227" s="399">
        <v>0</v>
      </c>
      <c r="DG227" s="399">
        <v>91.120819652435557</v>
      </c>
      <c r="DH227" s="399">
        <v>0</v>
      </c>
      <c r="DI227" s="399">
        <v>-347.13943491663076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-45.035869104533674</v>
      </c>
      <c r="DP227" s="399">
        <v>-2.5915161711155594</v>
      </c>
      <c r="DQ227" s="399">
        <v>0</v>
      </c>
      <c r="DR227" s="399">
        <v>0</v>
      </c>
      <c r="DS227" s="399"/>
      <c r="DT227" s="399"/>
      <c r="DU227" s="399"/>
      <c r="DV227" s="399">
        <v>3704.4500160677926</v>
      </c>
      <c r="DW227" s="399">
        <v>0</v>
      </c>
      <c r="DX227" s="399">
        <v>0</v>
      </c>
      <c r="DY227" s="399">
        <v>-1004.1320800000012</v>
      </c>
      <c r="DZ227" s="399">
        <v>941.00803999999971</v>
      </c>
      <c r="EA227" s="399">
        <v>0</v>
      </c>
      <c r="EB227" s="399">
        <v>0</v>
      </c>
      <c r="EC227" s="399">
        <v>-800.88210581137992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481.95817371711792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215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227</v>
      </c>
      <c r="B228" s="399" t="s">
        <v>956</v>
      </c>
      <c r="C228" s="399" t="s">
        <v>2343</v>
      </c>
      <c r="D228" s="399" t="s">
        <v>1826</v>
      </c>
      <c r="E228" s="399" t="s">
        <v>2359</v>
      </c>
      <c r="F228" s="399" t="s">
        <v>1239</v>
      </c>
      <c r="G228" s="399" t="s">
        <v>1239</v>
      </c>
      <c r="H228" s="399" t="s">
        <v>1239</v>
      </c>
      <c r="I228" s="399" t="s">
        <v>1239</v>
      </c>
      <c r="J228" s="399" t="s">
        <v>2344</v>
      </c>
      <c r="K228" s="791">
        <v>44562</v>
      </c>
      <c r="L228" s="399">
        <v>0</v>
      </c>
      <c r="M228" s="399">
        <v>0</v>
      </c>
      <c r="N228" s="399">
        <v>10.606</v>
      </c>
      <c r="O228" s="399">
        <v>10.606</v>
      </c>
      <c r="P228" s="399">
        <v>10.606</v>
      </c>
      <c r="Q228" s="399">
        <v>10.606</v>
      </c>
      <c r="R228" s="399"/>
      <c r="S228" s="399">
        <v>239.69</v>
      </c>
      <c r="T228" s="399">
        <v>171.61</v>
      </c>
      <c r="U228" s="399"/>
      <c r="V228" s="399">
        <v>4362.2478000000001</v>
      </c>
      <c r="W228" s="399">
        <v>4362.2478000000001</v>
      </c>
      <c r="X228" s="399">
        <v>4346.2327399999995</v>
      </c>
      <c r="Y228" s="399">
        <v>0</v>
      </c>
      <c r="Z228" s="399">
        <v>641.21011652251275</v>
      </c>
      <c r="AA228" s="399">
        <v>0</v>
      </c>
      <c r="AB228" s="399">
        <v>0</v>
      </c>
      <c r="AC228" s="399">
        <v>0</v>
      </c>
      <c r="AD228" s="399">
        <v>565.68154205754422</v>
      </c>
      <c r="AE228" s="399">
        <v>939.84778658537471</v>
      </c>
      <c r="AF228" s="399">
        <v>1753.9590590045484</v>
      </c>
      <c r="AG228" s="399">
        <v>66.132195776018875</v>
      </c>
      <c r="AH228" s="399">
        <v>0</v>
      </c>
      <c r="AI228" s="399">
        <v>0</v>
      </c>
      <c r="AJ228" s="399">
        <v>0</v>
      </c>
      <c r="AK228" s="399">
        <v>0</v>
      </c>
      <c r="AL228" s="399">
        <v>99.146062905216084</v>
      </c>
      <c r="AM228" s="399"/>
      <c r="AN228" s="399">
        <v>4.2005237619076849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169.80113645764604</v>
      </c>
      <c r="BH228" s="399">
        <v>0</v>
      </c>
      <c r="BI228" s="399">
        <v>0</v>
      </c>
      <c r="BJ228" s="399">
        <v>0</v>
      </c>
      <c r="BK228" s="399">
        <v>1950.73</v>
      </c>
      <c r="BL228" s="399">
        <v>4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1923.7601954621944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4347.8719000000001</v>
      </c>
      <c r="CJ228" s="399">
        <v>-14.405900000000656</v>
      </c>
      <c r="CK228" s="399"/>
      <c r="CL228" s="399"/>
      <c r="CM228" s="399"/>
      <c r="CN228" s="399"/>
      <c r="CO228" s="399">
        <v>-254.7561200000001</v>
      </c>
      <c r="CP228" s="399">
        <v>238.74105999999989</v>
      </c>
      <c r="CQ228" s="399">
        <v>31</v>
      </c>
      <c r="CR228" s="399">
        <v>187.23453892932503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25.474124802440997</v>
      </c>
      <c r="DA228" s="399">
        <v>0</v>
      </c>
      <c r="DB228" s="399">
        <v>0</v>
      </c>
      <c r="DC228" s="399">
        <v>238.79776657463026</v>
      </c>
      <c r="DD228" s="399">
        <v>0</v>
      </c>
      <c r="DE228" s="399">
        <v>0</v>
      </c>
      <c r="DF228" s="399">
        <v>0</v>
      </c>
      <c r="DG228" s="399">
        <v>23.118060789248204</v>
      </c>
      <c r="DH228" s="399">
        <v>0</v>
      </c>
      <c r="DI228" s="399">
        <v>-88.071975091517174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-11.425950333046686</v>
      </c>
      <c r="DP228" s="399">
        <v>-0.6574878124306669</v>
      </c>
      <c r="DQ228" s="399">
        <v>0</v>
      </c>
      <c r="DR228" s="399">
        <v>0</v>
      </c>
      <c r="DS228" s="399"/>
      <c r="DT228" s="399"/>
      <c r="DU228" s="399"/>
      <c r="DV228" s="399">
        <v>939.84778658537471</v>
      </c>
      <c r="DW228" s="399">
        <v>0</v>
      </c>
      <c r="DX228" s="399">
        <v>0</v>
      </c>
      <c r="DY228" s="399">
        <v>-254.75612000000046</v>
      </c>
      <c r="DZ228" s="399">
        <v>238.74106000000006</v>
      </c>
      <c r="EA228" s="399">
        <v>0</v>
      </c>
      <c r="EB228" s="399">
        <v>0</v>
      </c>
      <c r="EC228" s="399">
        <v>-203.19002043430044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122.27653790172597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215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228</v>
      </c>
      <c r="B229" s="399" t="s">
        <v>956</v>
      </c>
      <c r="C229" s="399" t="s">
        <v>2343</v>
      </c>
      <c r="D229" s="399" t="s">
        <v>2353</v>
      </c>
      <c r="E229" s="399" t="s">
        <v>894</v>
      </c>
      <c r="F229" s="399" t="s">
        <v>2360</v>
      </c>
      <c r="G229" s="399" t="s">
        <v>2361</v>
      </c>
      <c r="H229" s="399" t="s">
        <v>1239</v>
      </c>
      <c r="I229" s="399" t="s">
        <v>1239</v>
      </c>
      <c r="J229" s="399" t="s">
        <v>2344</v>
      </c>
      <c r="K229" s="791">
        <v>44562</v>
      </c>
      <c r="L229" s="399">
        <v>0</v>
      </c>
      <c r="M229" s="399">
        <v>0</v>
      </c>
      <c r="N229" s="399">
        <v>0</v>
      </c>
      <c r="O229" s="399">
        <v>0</v>
      </c>
      <c r="P229" s="399">
        <v>0</v>
      </c>
      <c r="Q229" s="399">
        <v>0</v>
      </c>
      <c r="R229" s="399"/>
      <c r="S229" s="399"/>
      <c r="T229" s="399"/>
      <c r="U229" s="399"/>
      <c r="V229" s="399"/>
      <c r="W229" s="399"/>
      <c r="X229" s="399"/>
      <c r="Y229" s="399"/>
      <c r="Z229" s="399"/>
      <c r="AA229" s="399">
        <v>0</v>
      </c>
      <c r="AB229" s="399"/>
      <c r="AC229" s="399"/>
      <c r="AD229" s="399"/>
      <c r="AE229" s="399"/>
      <c r="AF229" s="399"/>
      <c r="AG229" s="399"/>
      <c r="AH229" s="399"/>
      <c r="AI229" s="399"/>
      <c r="AJ229" s="399"/>
      <c r="AK229" s="399"/>
      <c r="AL229" s="399"/>
      <c r="AM229" s="399"/>
      <c r="AN229" s="399"/>
      <c r="AO229" s="399"/>
      <c r="AP229" s="399"/>
      <c r="AQ229" s="399"/>
      <c r="AR229" s="399"/>
      <c r="AS229" s="399"/>
      <c r="AT229" s="399"/>
      <c r="AU229" s="399"/>
      <c r="AV229" s="399"/>
      <c r="AW229" s="399"/>
      <c r="AX229" s="399"/>
      <c r="AY229" s="399"/>
      <c r="AZ229" s="399">
        <v>0</v>
      </c>
      <c r="BA229" s="399"/>
      <c r="BB229" s="399"/>
      <c r="BC229" s="399"/>
      <c r="BD229" s="399"/>
      <c r="BE229" s="399"/>
      <c r="BF229" s="399"/>
      <c r="BG229" s="399"/>
      <c r="BH229" s="399"/>
      <c r="BI229" s="399">
        <v>0</v>
      </c>
      <c r="BJ229" s="399">
        <v>0</v>
      </c>
      <c r="BK229" s="399">
        <v>7.52</v>
      </c>
      <c r="BL229" s="399">
        <v>1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/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/>
      <c r="CJ229" s="399">
        <v>-0.03</v>
      </c>
      <c r="CK229" s="399"/>
      <c r="CL229" s="399"/>
      <c r="CM229" s="399"/>
      <c r="CN229" s="399"/>
      <c r="CO229" s="399">
        <v>0</v>
      </c>
      <c r="CP229" s="399">
        <v>0</v>
      </c>
      <c r="CQ229" s="399">
        <v>31</v>
      </c>
      <c r="CR229" s="399"/>
      <c r="CS229" s="399"/>
      <c r="CT229" s="399"/>
      <c r="CU229" s="399"/>
      <c r="CV229" s="399"/>
      <c r="CW229" s="399"/>
      <c r="CX229" s="399"/>
      <c r="CY229" s="399"/>
      <c r="CZ229" s="399"/>
      <c r="DA229" s="399"/>
      <c r="DB229" s="399"/>
      <c r="DC229" s="399"/>
      <c r="DD229" s="399"/>
      <c r="DE229" s="399"/>
      <c r="DF229" s="399"/>
      <c r="DG229" s="399"/>
      <c r="DH229" s="399"/>
      <c r="DI229" s="399"/>
      <c r="DJ229" s="399"/>
      <c r="DK229" s="399">
        <v>0</v>
      </c>
      <c r="DL229" s="399"/>
      <c r="DM229" s="399"/>
      <c r="DN229" s="399"/>
      <c r="DO229" s="399"/>
      <c r="DP229" s="399"/>
      <c r="DQ229" s="399"/>
      <c r="DR229" s="399"/>
      <c r="DS229" s="399"/>
      <c r="DT229" s="399"/>
      <c r="DU229" s="399"/>
      <c r="DV229" s="399"/>
      <c r="DW229" s="399"/>
      <c r="DX229" s="399"/>
      <c r="DY229" s="399"/>
      <c r="DZ229" s="399"/>
      <c r="EA229" s="399"/>
      <c r="EB229" s="399"/>
      <c r="EC229" s="399"/>
      <c r="ED229" s="399"/>
      <c r="EE229" s="399"/>
      <c r="EF229" s="399"/>
      <c r="EG229" s="399"/>
      <c r="EH229" s="399"/>
      <c r="EI229" s="399"/>
      <c r="EJ229" s="399"/>
      <c r="EK229" s="399"/>
      <c r="EL229" s="399"/>
      <c r="EM229" s="399"/>
      <c r="EN229" s="399"/>
      <c r="EO229" s="399"/>
      <c r="EP229" s="399"/>
      <c r="EQ229" s="399"/>
      <c r="ER229" s="399"/>
      <c r="ES229" s="399"/>
      <c r="ET229" s="399"/>
      <c r="EU229" s="399"/>
      <c r="EV229" s="399">
        <v>215</v>
      </c>
      <c r="EW229" s="399"/>
      <c r="EX229" s="399"/>
      <c r="EY229" s="399"/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229</v>
      </c>
      <c r="B230" s="399" t="s">
        <v>956</v>
      </c>
      <c r="C230" s="399" t="s">
        <v>2343</v>
      </c>
      <c r="D230" s="399" t="s">
        <v>2353</v>
      </c>
      <c r="E230" s="399" t="s">
        <v>894</v>
      </c>
      <c r="F230" s="399" t="s">
        <v>2360</v>
      </c>
      <c r="G230" s="399" t="s">
        <v>2361</v>
      </c>
      <c r="H230" s="399" t="s">
        <v>1239</v>
      </c>
      <c r="I230" s="399" t="s">
        <v>1239</v>
      </c>
      <c r="J230" s="399" t="s">
        <v>2344</v>
      </c>
      <c r="K230" s="791">
        <v>44562</v>
      </c>
      <c r="L230" s="399">
        <v>0</v>
      </c>
      <c r="M230" s="399">
        <v>0</v>
      </c>
      <c r="N230" s="399">
        <v>0.1</v>
      </c>
      <c r="O230" s="399">
        <v>0.1</v>
      </c>
      <c r="P230" s="399">
        <v>0.1</v>
      </c>
      <c r="Q230" s="399">
        <v>0.1</v>
      </c>
      <c r="R230" s="399"/>
      <c r="S230" s="399">
        <v>239.69</v>
      </c>
      <c r="T230" s="399">
        <v>171.61</v>
      </c>
      <c r="U230" s="399"/>
      <c r="V230" s="399">
        <v>41.13</v>
      </c>
      <c r="W230" s="399">
        <v>41.13</v>
      </c>
      <c r="X230" s="399">
        <v>40.978999999999999</v>
      </c>
      <c r="Y230" s="399">
        <v>0</v>
      </c>
      <c r="Z230" s="399">
        <v>6.0457299313832999</v>
      </c>
      <c r="AA230" s="399">
        <v>0</v>
      </c>
      <c r="AB230" s="399">
        <v>0</v>
      </c>
      <c r="AC230" s="399">
        <v>0</v>
      </c>
      <c r="AD230" s="399">
        <v>5.3335993028242905</v>
      </c>
      <c r="AE230" s="399">
        <v>8.8614726247913893</v>
      </c>
      <c r="AF230" s="399">
        <v>16.537422770173002</v>
      </c>
      <c r="AG230" s="399">
        <v>0.62353569466357606</v>
      </c>
      <c r="AH230" s="399">
        <v>0</v>
      </c>
      <c r="AI230" s="399">
        <v>0</v>
      </c>
      <c r="AJ230" s="399">
        <v>0</v>
      </c>
      <c r="AK230" s="399">
        <v>0</v>
      </c>
      <c r="AL230" s="399">
        <v>0.9348110777410531</v>
      </c>
      <c r="AM230" s="399"/>
      <c r="AN230" s="399">
        <v>3.9605164641784707E-2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1.6009912922651901</v>
      </c>
      <c r="BH230" s="399">
        <v>0</v>
      </c>
      <c r="BI230" s="399">
        <v>0</v>
      </c>
      <c r="BJ230" s="399">
        <v>0</v>
      </c>
      <c r="BK230" s="399">
        <v>0</v>
      </c>
      <c r="BL230" s="399">
        <v>0</v>
      </c>
      <c r="BM230" s="399"/>
      <c r="BN230" s="399"/>
      <c r="BO230" s="399"/>
      <c r="BP230" s="399"/>
      <c r="BQ230" s="399"/>
      <c r="BR230" s="399">
        <v>4.9169999999999989</v>
      </c>
      <c r="BS230" s="399"/>
      <c r="BT230" s="399"/>
      <c r="BU230" s="399"/>
      <c r="BV230" s="399">
        <v>18.138414062438191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36.061999999999998</v>
      </c>
      <c r="CJ230" s="399">
        <v>-0.16300000000001091</v>
      </c>
      <c r="CK230" s="399"/>
      <c r="CL230" s="399"/>
      <c r="CM230" s="399"/>
      <c r="CN230" s="399"/>
      <c r="CO230" s="399">
        <v>-2.402000000000001</v>
      </c>
      <c r="CP230" s="399">
        <v>2.250999999999999</v>
      </c>
      <c r="CQ230" s="399">
        <v>31</v>
      </c>
      <c r="CR230" s="399">
        <v>1.7653643119868505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0.24018597777145967</v>
      </c>
      <c r="DA230" s="399">
        <v>0</v>
      </c>
      <c r="DB230" s="399">
        <v>0</v>
      </c>
      <c r="DC230" s="399">
        <v>2.2515346650445984</v>
      </c>
      <c r="DD230" s="399">
        <v>0</v>
      </c>
      <c r="DE230" s="399">
        <v>0</v>
      </c>
      <c r="DF230" s="399">
        <v>0</v>
      </c>
      <c r="DG230" s="399">
        <v>0.21797153299310001</v>
      </c>
      <c r="DH230" s="399">
        <v>0</v>
      </c>
      <c r="DI230" s="399">
        <v>-0.83039765313518021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-0.10773100446018002</v>
      </c>
      <c r="DP230" s="399">
        <v>-6.1992062269533091E-3</v>
      </c>
      <c r="DQ230" s="399">
        <v>0</v>
      </c>
      <c r="DR230" s="399">
        <v>0</v>
      </c>
      <c r="DS230" s="399"/>
      <c r="DT230" s="399"/>
      <c r="DU230" s="399"/>
      <c r="DV230" s="399">
        <v>8.8614726247913893</v>
      </c>
      <c r="DW230" s="399">
        <v>0</v>
      </c>
      <c r="DX230" s="399">
        <v>0</v>
      </c>
      <c r="DY230" s="399">
        <v>-2.402000000000001</v>
      </c>
      <c r="DZ230" s="399">
        <v>2.2510000000000012</v>
      </c>
      <c r="EA230" s="399">
        <v>0</v>
      </c>
      <c r="EB230" s="399">
        <v>0</v>
      </c>
      <c r="EC230" s="399">
        <v>-1.915802568680939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1.1528996596429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215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231</v>
      </c>
      <c r="B231" s="399" t="s">
        <v>956</v>
      </c>
      <c r="C231" s="399" t="s">
        <v>2343</v>
      </c>
      <c r="D231" s="399" t="s">
        <v>2353</v>
      </c>
      <c r="E231" s="399" t="s">
        <v>894</v>
      </c>
      <c r="F231" s="399" t="s">
        <v>2363</v>
      </c>
      <c r="G231" s="399" t="s">
        <v>2361</v>
      </c>
      <c r="H231" s="399" t="s">
        <v>1239</v>
      </c>
      <c r="I231" s="399" t="s">
        <v>1239</v>
      </c>
      <c r="J231" s="399" t="s">
        <v>2344</v>
      </c>
      <c r="K231" s="791">
        <v>44562</v>
      </c>
      <c r="L231" s="399">
        <v>0</v>
      </c>
      <c r="M231" s="399">
        <v>0</v>
      </c>
      <c r="N231" s="399">
        <v>0</v>
      </c>
      <c r="O231" s="399">
        <v>0</v>
      </c>
      <c r="P231" s="399">
        <v>0</v>
      </c>
      <c r="Q231" s="399">
        <v>0</v>
      </c>
      <c r="R231" s="399"/>
      <c r="S231" s="399"/>
      <c r="T231" s="399"/>
      <c r="U231" s="399"/>
      <c r="V231" s="399"/>
      <c r="W231" s="399"/>
      <c r="X231" s="399"/>
      <c r="Y231" s="399"/>
      <c r="Z231" s="399"/>
      <c r="AA231" s="399">
        <v>0</v>
      </c>
      <c r="AB231" s="399"/>
      <c r="AC231" s="399"/>
      <c r="AD231" s="399"/>
      <c r="AE231" s="399"/>
      <c r="AF231" s="399"/>
      <c r="AG231" s="399"/>
      <c r="AH231" s="399"/>
      <c r="AI231" s="399"/>
      <c r="AJ231" s="399"/>
      <c r="AK231" s="399"/>
      <c r="AL231" s="399"/>
      <c r="AM231" s="399"/>
      <c r="AN231" s="399"/>
      <c r="AO231" s="399"/>
      <c r="AP231" s="399"/>
      <c r="AQ231" s="399"/>
      <c r="AR231" s="399"/>
      <c r="AS231" s="399"/>
      <c r="AT231" s="399"/>
      <c r="AU231" s="399"/>
      <c r="AV231" s="399"/>
      <c r="AW231" s="399"/>
      <c r="AX231" s="399"/>
      <c r="AY231" s="399"/>
      <c r="AZ231" s="399">
        <v>0</v>
      </c>
      <c r="BA231" s="399"/>
      <c r="BB231" s="399"/>
      <c r="BC231" s="399"/>
      <c r="BD231" s="399"/>
      <c r="BE231" s="399"/>
      <c r="BF231" s="399"/>
      <c r="BG231" s="399"/>
      <c r="BH231" s="399"/>
      <c r="BI231" s="399">
        <v>0</v>
      </c>
      <c r="BJ231" s="399">
        <v>0</v>
      </c>
      <c r="BK231" s="399">
        <v>22024.560000000001</v>
      </c>
      <c r="BL231" s="399">
        <v>21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/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/>
      <c r="CJ231" s="399">
        <v>-0.03</v>
      </c>
      <c r="CK231" s="399"/>
      <c r="CL231" s="399"/>
      <c r="CM231" s="399"/>
      <c r="CN231" s="399"/>
      <c r="CO231" s="399">
        <v>0</v>
      </c>
      <c r="CP231" s="399">
        <v>0</v>
      </c>
      <c r="CQ231" s="399">
        <v>31</v>
      </c>
      <c r="CR231" s="399"/>
      <c r="CS231" s="399"/>
      <c r="CT231" s="399"/>
      <c r="CU231" s="399"/>
      <c r="CV231" s="399"/>
      <c r="CW231" s="399"/>
      <c r="CX231" s="399"/>
      <c r="CY231" s="399"/>
      <c r="CZ231" s="399"/>
      <c r="DA231" s="399"/>
      <c r="DB231" s="399"/>
      <c r="DC231" s="399"/>
      <c r="DD231" s="399"/>
      <c r="DE231" s="399"/>
      <c r="DF231" s="399"/>
      <c r="DG231" s="399"/>
      <c r="DH231" s="399"/>
      <c r="DI231" s="399"/>
      <c r="DJ231" s="399"/>
      <c r="DK231" s="399">
        <v>0</v>
      </c>
      <c r="DL231" s="399"/>
      <c r="DM231" s="399"/>
      <c r="DN231" s="399"/>
      <c r="DO231" s="399"/>
      <c r="DP231" s="399"/>
      <c r="DQ231" s="399"/>
      <c r="DR231" s="399"/>
      <c r="DS231" s="399"/>
      <c r="DT231" s="399"/>
      <c r="DU231" s="399"/>
      <c r="DV231" s="399"/>
      <c r="DW231" s="399"/>
      <c r="DX231" s="399"/>
      <c r="DY231" s="399"/>
      <c r="DZ231" s="399"/>
      <c r="EA231" s="399"/>
      <c r="EB231" s="399"/>
      <c r="EC231" s="399"/>
      <c r="ED231" s="399"/>
      <c r="EE231" s="399"/>
      <c r="EF231" s="399"/>
      <c r="EG231" s="399"/>
      <c r="EH231" s="399"/>
      <c r="EI231" s="399"/>
      <c r="EJ231" s="399"/>
      <c r="EK231" s="399"/>
      <c r="EL231" s="399"/>
      <c r="EM231" s="399"/>
      <c r="EN231" s="399"/>
      <c r="EO231" s="399"/>
      <c r="EP231" s="399"/>
      <c r="EQ231" s="399"/>
      <c r="ER231" s="399"/>
      <c r="ES231" s="399"/>
      <c r="ET231" s="399"/>
      <c r="EU231" s="399"/>
      <c r="EV231" s="399">
        <v>215</v>
      </c>
      <c r="EW231" s="399"/>
      <c r="EX231" s="399"/>
      <c r="EY231" s="399"/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232</v>
      </c>
      <c r="B232" s="399" t="s">
        <v>2346</v>
      </c>
      <c r="C232" s="399" t="s">
        <v>2343</v>
      </c>
      <c r="D232" s="399" t="s">
        <v>2353</v>
      </c>
      <c r="E232" s="399" t="s">
        <v>894</v>
      </c>
      <c r="F232" s="399" t="s">
        <v>2363</v>
      </c>
      <c r="G232" s="399" t="s">
        <v>2361</v>
      </c>
      <c r="H232" s="399" t="s">
        <v>1239</v>
      </c>
      <c r="I232" s="399" t="s">
        <v>1239</v>
      </c>
      <c r="J232" s="399" t="s">
        <v>2344</v>
      </c>
      <c r="K232" s="791">
        <v>44562</v>
      </c>
      <c r="L232" s="399">
        <v>0</v>
      </c>
      <c r="M232" s="399">
        <v>0</v>
      </c>
      <c r="N232" s="399">
        <v>0</v>
      </c>
      <c r="O232" s="399">
        <v>0</v>
      </c>
      <c r="P232" s="399">
        <v>0</v>
      </c>
      <c r="Q232" s="399">
        <v>0</v>
      </c>
      <c r="R232" s="399"/>
      <c r="S232" s="399"/>
      <c r="T232" s="399"/>
      <c r="U232" s="399"/>
      <c r="V232" s="399"/>
      <c r="W232" s="399"/>
      <c r="X232" s="399"/>
      <c r="Y232" s="399"/>
      <c r="Z232" s="399"/>
      <c r="AA232" s="399">
        <v>0</v>
      </c>
      <c r="AB232" s="399"/>
      <c r="AC232" s="399"/>
      <c r="AD232" s="399"/>
      <c r="AE232" s="399"/>
      <c r="AF232" s="399"/>
      <c r="AG232" s="399"/>
      <c r="AH232" s="399"/>
      <c r="AI232" s="399"/>
      <c r="AJ232" s="399"/>
      <c r="AK232" s="399"/>
      <c r="AL232" s="399"/>
      <c r="AM232" s="399"/>
      <c r="AN232" s="399"/>
      <c r="AO232" s="399"/>
      <c r="AP232" s="399"/>
      <c r="AQ232" s="399"/>
      <c r="AR232" s="399"/>
      <c r="AS232" s="399"/>
      <c r="AT232" s="399"/>
      <c r="AU232" s="399"/>
      <c r="AV232" s="399"/>
      <c r="AW232" s="399"/>
      <c r="AX232" s="399"/>
      <c r="AY232" s="399"/>
      <c r="AZ232" s="399">
        <v>0</v>
      </c>
      <c r="BA232" s="399"/>
      <c r="BB232" s="399"/>
      <c r="BC232" s="399"/>
      <c r="BD232" s="399"/>
      <c r="BE232" s="399"/>
      <c r="BF232" s="399"/>
      <c r="BG232" s="399"/>
      <c r="BH232" s="399"/>
      <c r="BI232" s="399">
        <v>0</v>
      </c>
      <c r="BJ232" s="399">
        <v>0</v>
      </c>
      <c r="BK232" s="399">
        <v>229.69</v>
      </c>
      <c r="BL232" s="399">
        <v>1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/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/>
      <c r="CJ232" s="399">
        <v>-0.03</v>
      </c>
      <c r="CK232" s="399"/>
      <c r="CL232" s="399"/>
      <c r="CM232" s="399"/>
      <c r="CN232" s="399"/>
      <c r="CO232" s="399">
        <v>0</v>
      </c>
      <c r="CP232" s="399">
        <v>0</v>
      </c>
      <c r="CQ232" s="399">
        <v>31</v>
      </c>
      <c r="CR232" s="399"/>
      <c r="CS232" s="399"/>
      <c r="CT232" s="399"/>
      <c r="CU232" s="399"/>
      <c r="CV232" s="399"/>
      <c r="CW232" s="399"/>
      <c r="CX232" s="399"/>
      <c r="CY232" s="399"/>
      <c r="CZ232" s="399"/>
      <c r="DA232" s="399"/>
      <c r="DB232" s="399"/>
      <c r="DC232" s="399"/>
      <c r="DD232" s="399"/>
      <c r="DE232" s="399"/>
      <c r="DF232" s="399"/>
      <c r="DG232" s="399"/>
      <c r="DH232" s="399"/>
      <c r="DI232" s="399"/>
      <c r="DJ232" s="399"/>
      <c r="DK232" s="399">
        <v>0</v>
      </c>
      <c r="DL232" s="399"/>
      <c r="DM232" s="399"/>
      <c r="DN232" s="399"/>
      <c r="DO232" s="399"/>
      <c r="DP232" s="399"/>
      <c r="DQ232" s="399"/>
      <c r="DR232" s="399"/>
      <c r="DS232" s="399"/>
      <c r="DT232" s="399"/>
      <c r="DU232" s="399"/>
      <c r="DV232" s="399"/>
      <c r="DW232" s="399"/>
      <c r="DX232" s="399"/>
      <c r="DY232" s="399"/>
      <c r="DZ232" s="399"/>
      <c r="EA232" s="399"/>
      <c r="EB232" s="399"/>
      <c r="EC232" s="399"/>
      <c r="ED232" s="399"/>
      <c r="EE232" s="399"/>
      <c r="EF232" s="399"/>
      <c r="EG232" s="399"/>
      <c r="EH232" s="399"/>
      <c r="EI232" s="399"/>
      <c r="EJ232" s="399"/>
      <c r="EK232" s="399"/>
      <c r="EL232" s="399"/>
      <c r="EM232" s="399"/>
      <c r="EN232" s="399"/>
      <c r="EO232" s="399"/>
      <c r="EP232" s="399"/>
      <c r="EQ232" s="399"/>
      <c r="ER232" s="399"/>
      <c r="ES232" s="399"/>
      <c r="ET232" s="399"/>
      <c r="EU232" s="399"/>
      <c r="EV232" s="399">
        <v>215</v>
      </c>
      <c r="EW232" s="399"/>
      <c r="EX232" s="399"/>
      <c r="EY232" s="399"/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233</v>
      </c>
      <c r="B233" s="399" t="s">
        <v>956</v>
      </c>
      <c r="C233" s="399" t="s">
        <v>2343</v>
      </c>
      <c r="D233" s="399" t="s">
        <v>2353</v>
      </c>
      <c r="E233" s="399" t="s">
        <v>894</v>
      </c>
      <c r="F233" s="399" t="s">
        <v>2363</v>
      </c>
      <c r="G233" s="399" t="s">
        <v>2361</v>
      </c>
      <c r="H233" s="399" t="s">
        <v>1239</v>
      </c>
      <c r="I233" s="399" t="s">
        <v>1239</v>
      </c>
      <c r="J233" s="399" t="s">
        <v>2344</v>
      </c>
      <c r="K233" s="791">
        <v>44562</v>
      </c>
      <c r="L233" s="399">
        <v>0</v>
      </c>
      <c r="M233" s="399">
        <v>0</v>
      </c>
      <c r="N233" s="399">
        <v>50.314</v>
      </c>
      <c r="O233" s="399">
        <v>50.314</v>
      </c>
      <c r="P233" s="399">
        <v>50.314</v>
      </c>
      <c r="Q233" s="399">
        <v>50.314</v>
      </c>
      <c r="R233" s="399"/>
      <c r="S233" s="399">
        <v>239.69</v>
      </c>
      <c r="T233" s="399">
        <v>171.61</v>
      </c>
      <c r="U233" s="399"/>
      <c r="V233" s="399">
        <v>20694.148200000003</v>
      </c>
      <c r="W233" s="399">
        <v>20694.148200000003</v>
      </c>
      <c r="X233" s="399">
        <v>20618.174059999998</v>
      </c>
      <c r="Y233" s="399">
        <v>0</v>
      </c>
      <c r="Z233" s="399">
        <v>3041.8485576761936</v>
      </c>
      <c r="AA233" s="399">
        <v>0</v>
      </c>
      <c r="AB233" s="399">
        <v>0</v>
      </c>
      <c r="AC233" s="399">
        <v>0</v>
      </c>
      <c r="AD233" s="399">
        <v>2683.5471532230135</v>
      </c>
      <c r="AE233" s="399">
        <v>4458.5613364375395</v>
      </c>
      <c r="AF233" s="399">
        <v>8320.6388925848441</v>
      </c>
      <c r="AG233" s="399">
        <v>313.72574941303162</v>
      </c>
      <c r="AH233" s="399">
        <v>0</v>
      </c>
      <c r="AI233" s="399">
        <v>0</v>
      </c>
      <c r="AJ233" s="399">
        <v>0</v>
      </c>
      <c r="AK233" s="399">
        <v>0</v>
      </c>
      <c r="AL233" s="399">
        <v>470.34084565463343</v>
      </c>
      <c r="AM233" s="399"/>
      <c r="AN233" s="399">
        <v>19.926942537867554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805.52275879030765</v>
      </c>
      <c r="BH233" s="399">
        <v>0</v>
      </c>
      <c r="BI233" s="399">
        <v>0</v>
      </c>
      <c r="BJ233" s="399">
        <v>0</v>
      </c>
      <c r="BK233" s="399">
        <v>0</v>
      </c>
      <c r="BL233" s="399">
        <v>0</v>
      </c>
      <c r="BM233" s="399"/>
      <c r="BN233" s="399"/>
      <c r="BO233" s="399"/>
      <c r="BP233" s="399"/>
      <c r="BQ233" s="399"/>
      <c r="BR233" s="399">
        <v>2473.9393799999993</v>
      </c>
      <c r="BS233" s="399"/>
      <c r="BT233" s="399"/>
      <c r="BU233" s="399"/>
      <c r="BV233" s="399">
        <v>9126.1616513751524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18142.792200000004</v>
      </c>
      <c r="CJ233" s="399">
        <v>-68.390099999993254</v>
      </c>
      <c r="CK233" s="399"/>
      <c r="CL233" s="399"/>
      <c r="CM233" s="399"/>
      <c r="CN233" s="399"/>
      <c r="CO233" s="399">
        <v>-1208.5422800000006</v>
      </c>
      <c r="CP233" s="399">
        <v>1132.5681399999996</v>
      </c>
      <c r="CQ233" s="399">
        <v>31</v>
      </c>
      <c r="CR233" s="399">
        <v>888.22539993306054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120.84717285593206</v>
      </c>
      <c r="DA233" s="399">
        <v>0</v>
      </c>
      <c r="DB233" s="399">
        <v>0</v>
      </c>
      <c r="DC233" s="399">
        <v>1132.8371513705388</v>
      </c>
      <c r="DD233" s="399">
        <v>0</v>
      </c>
      <c r="DE233" s="399">
        <v>0</v>
      </c>
      <c r="DF233" s="399">
        <v>0</v>
      </c>
      <c r="DG233" s="399">
        <v>109.67019711014837</v>
      </c>
      <c r="DH233" s="399">
        <v>0</v>
      </c>
      <c r="DI233" s="399">
        <v>-417.80627519843483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-54.203777584094951</v>
      </c>
      <c r="DP233" s="399">
        <v>-3.1190686210292817</v>
      </c>
      <c r="DQ233" s="399">
        <v>0</v>
      </c>
      <c r="DR233" s="399">
        <v>0</v>
      </c>
      <c r="DS233" s="399"/>
      <c r="DT233" s="399"/>
      <c r="DU233" s="399"/>
      <c r="DV233" s="399">
        <v>4458.5613364375395</v>
      </c>
      <c r="DW233" s="399">
        <v>0</v>
      </c>
      <c r="DX233" s="399">
        <v>0</v>
      </c>
      <c r="DY233" s="399">
        <v>-1208.5422800000015</v>
      </c>
      <c r="DZ233" s="399">
        <v>1132.5681399999994</v>
      </c>
      <c r="EA233" s="399">
        <v>0</v>
      </c>
      <c r="EB233" s="399">
        <v>0</v>
      </c>
      <c r="EC233" s="399">
        <v>-963.91690440612774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580.06993475272873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215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234</v>
      </c>
      <c r="B234" s="399" t="s">
        <v>956</v>
      </c>
      <c r="C234" s="399" t="s">
        <v>2343</v>
      </c>
      <c r="D234" s="399" t="s">
        <v>2353</v>
      </c>
      <c r="E234" s="399" t="s">
        <v>894</v>
      </c>
      <c r="F234" s="399" t="s">
        <v>2363</v>
      </c>
      <c r="G234" s="399" t="s">
        <v>2362</v>
      </c>
      <c r="H234" s="399" t="s">
        <v>1239</v>
      </c>
      <c r="I234" s="399" t="s">
        <v>1239</v>
      </c>
      <c r="J234" s="399" t="s">
        <v>2344</v>
      </c>
      <c r="K234" s="791">
        <v>44562</v>
      </c>
      <c r="L234" s="399">
        <v>0</v>
      </c>
      <c r="M234" s="399">
        <v>0</v>
      </c>
      <c r="N234" s="399">
        <v>75.049000000000007</v>
      </c>
      <c r="O234" s="399">
        <v>30.019600000000001</v>
      </c>
      <c r="P234" s="399">
        <v>75.049000000000007</v>
      </c>
      <c r="Q234" s="399">
        <v>30.019600000000001</v>
      </c>
      <c r="R234" s="399"/>
      <c r="S234" s="399">
        <v>239.69</v>
      </c>
      <c r="T234" s="399">
        <v>171.61</v>
      </c>
      <c r="U234" s="399"/>
      <c r="V234" s="399">
        <v>30867.653700000003</v>
      </c>
      <c r="W234" s="399">
        <v>30867.653700000003</v>
      </c>
      <c r="X234" s="399">
        <v>30754.329710000002</v>
      </c>
      <c r="Y234" s="399">
        <v>0</v>
      </c>
      <c r="Z234" s="399">
        <v>4537.2598562038529</v>
      </c>
      <c r="AA234" s="399">
        <v>0</v>
      </c>
      <c r="AB234" s="399">
        <v>0</v>
      </c>
      <c r="AC234" s="399">
        <v>0</v>
      </c>
      <c r="AD234" s="399">
        <v>4002.8129407766019</v>
      </c>
      <c r="AE234" s="399">
        <v>6650.4465901796902</v>
      </c>
      <c r="AF234" s="399">
        <v>12411.170414787137</v>
      </c>
      <c r="AG234" s="399">
        <v>467.95730348806723</v>
      </c>
      <c r="AH234" s="399">
        <v>0</v>
      </c>
      <c r="AI234" s="399">
        <v>0</v>
      </c>
      <c r="AJ234" s="399">
        <v>0</v>
      </c>
      <c r="AK234" s="399">
        <v>0</v>
      </c>
      <c r="AL234" s="399">
        <v>701.566365733883</v>
      </c>
      <c r="AM234" s="399"/>
      <c r="AN234" s="399">
        <v>29.723280012013003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1201.5279549321026</v>
      </c>
      <c r="BH234" s="399">
        <v>0</v>
      </c>
      <c r="BI234" s="399">
        <v>0</v>
      </c>
      <c r="BJ234" s="399">
        <v>0</v>
      </c>
      <c r="BK234" s="399">
        <v>0</v>
      </c>
      <c r="BL234" s="399">
        <v>0</v>
      </c>
      <c r="BM234" s="399"/>
      <c r="BN234" s="399"/>
      <c r="BO234" s="399"/>
      <c r="BP234" s="399"/>
      <c r="BQ234" s="399"/>
      <c r="BR234" s="399"/>
      <c r="BS234" s="399">
        <v>19928.661558000003</v>
      </c>
      <c r="BT234" s="399"/>
      <c r="BU234" s="399"/>
      <c r="BV234" s="399">
        <v>13612.698369719239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10825.812399999999</v>
      </c>
      <c r="CJ234" s="399">
        <v>-39.811820000002626</v>
      </c>
      <c r="CK234" s="399"/>
      <c r="CL234" s="399"/>
      <c r="CM234" s="399"/>
      <c r="CN234" s="399"/>
      <c r="CO234" s="399">
        <v>-1802.6769800000009</v>
      </c>
      <c r="CP234" s="399">
        <v>1689.3529899999994</v>
      </c>
      <c r="CQ234" s="399">
        <v>31</v>
      </c>
      <c r="CR234" s="399">
        <v>1324.8882625030055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180.2571744577026</v>
      </c>
      <c r="DA234" s="399">
        <v>0</v>
      </c>
      <c r="DB234" s="399">
        <v>0</v>
      </c>
      <c r="DC234" s="399">
        <v>1689.7542507693215</v>
      </c>
      <c r="DD234" s="399">
        <v>0</v>
      </c>
      <c r="DE234" s="399">
        <v>0</v>
      </c>
      <c r="DF234" s="399">
        <v>0</v>
      </c>
      <c r="DG234" s="399">
        <v>163.58545579599149</v>
      </c>
      <c r="DH234" s="399">
        <v>0</v>
      </c>
      <c r="DI234" s="399">
        <v>-623.20513470142123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-80.851041537320498</v>
      </c>
      <c r="DP234" s="399">
        <v>-4.6524422812661825</v>
      </c>
      <c r="DQ234" s="399">
        <v>0</v>
      </c>
      <c r="DR234" s="399">
        <v>0</v>
      </c>
      <c r="DS234" s="399"/>
      <c r="DT234" s="399"/>
      <c r="DU234" s="399"/>
      <c r="DV234" s="399">
        <v>6650.4465901796902</v>
      </c>
      <c r="DW234" s="399">
        <v>0</v>
      </c>
      <c r="DX234" s="399">
        <v>0</v>
      </c>
      <c r="DY234" s="399">
        <v>-1802.6769800000002</v>
      </c>
      <c r="DZ234" s="399">
        <v>1689.3529899999994</v>
      </c>
      <c r="EA234" s="399">
        <v>0</v>
      </c>
      <c r="EB234" s="399">
        <v>0</v>
      </c>
      <c r="EC234" s="399">
        <v>-1437.7906697693579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865.23966556540006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215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235</v>
      </c>
      <c r="B235" s="399" t="s">
        <v>956</v>
      </c>
      <c r="C235" s="399" t="s">
        <v>2343</v>
      </c>
      <c r="D235" s="399" t="s">
        <v>1823</v>
      </c>
      <c r="E235" s="399" t="s">
        <v>889</v>
      </c>
      <c r="F235" s="399" t="s">
        <v>889</v>
      </c>
      <c r="G235" s="399" t="s">
        <v>1239</v>
      </c>
      <c r="H235" s="399" t="s">
        <v>1239</v>
      </c>
      <c r="I235" s="399" t="s">
        <v>1239</v>
      </c>
      <c r="J235" s="399" t="s">
        <v>2344</v>
      </c>
      <c r="K235" s="791">
        <v>44593</v>
      </c>
      <c r="L235" s="399">
        <v>0</v>
      </c>
      <c r="M235" s="399">
        <v>0</v>
      </c>
      <c r="N235" s="399">
        <v>1493.732</v>
      </c>
      <c r="O235" s="399">
        <v>1493.732</v>
      </c>
      <c r="P235" s="399">
        <v>1493.732</v>
      </c>
      <c r="Q235" s="399">
        <v>1493.732</v>
      </c>
      <c r="R235" s="399"/>
      <c r="S235" s="399">
        <v>239.69</v>
      </c>
      <c r="T235" s="399">
        <v>171.61</v>
      </c>
      <c r="U235" s="399"/>
      <c r="V235" s="399">
        <v>614371.97160000005</v>
      </c>
      <c r="W235" s="399">
        <v>614371.97160000005</v>
      </c>
      <c r="X235" s="399">
        <v>612116.43628000002</v>
      </c>
      <c r="Y235" s="399">
        <v>0</v>
      </c>
      <c r="Z235" s="399">
        <v>90307.002618650396</v>
      </c>
      <c r="AA235" s="399">
        <v>0</v>
      </c>
      <c r="AB235" s="399">
        <v>0</v>
      </c>
      <c r="AC235" s="399">
        <v>0</v>
      </c>
      <c r="AD235" s="399">
        <v>79669.679538063327</v>
      </c>
      <c r="AE235" s="399">
        <v>132366.65226774893</v>
      </c>
      <c r="AF235" s="399">
        <v>247024.77589336055</v>
      </c>
      <c r="AG235" s="399">
        <v>9313.9522026121267</v>
      </c>
      <c r="AH235" s="399">
        <v>0</v>
      </c>
      <c r="AI235" s="399">
        <v>0</v>
      </c>
      <c r="AJ235" s="399">
        <v>0</v>
      </c>
      <c r="AK235" s="399">
        <v>0</v>
      </c>
      <c r="AL235" s="399">
        <v>13963.572207762987</v>
      </c>
      <c r="AM235" s="399"/>
      <c r="AN235" s="399">
        <v>591.59501790702348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23914.519249778667</v>
      </c>
      <c r="BH235" s="399">
        <v>0</v>
      </c>
      <c r="BI235" s="399">
        <v>0</v>
      </c>
      <c r="BJ235" s="399">
        <v>0</v>
      </c>
      <c r="BK235" s="399">
        <v>205790.95</v>
      </c>
      <c r="BL235" s="399">
        <v>4691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270939.2951431392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612115.6166999999</v>
      </c>
      <c r="CJ235" s="399">
        <v>-2256.3849000001792</v>
      </c>
      <c r="CK235" s="399"/>
      <c r="CL235" s="399"/>
      <c r="CM235" s="399"/>
      <c r="CN235" s="399"/>
      <c r="CO235" s="399">
        <v>-35879.442640000016</v>
      </c>
      <c r="CP235" s="399">
        <v>33623.907319999984</v>
      </c>
      <c r="CQ235" s="399">
        <v>29</v>
      </c>
      <c r="CR235" s="399">
        <v>26369.811644727364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3587.7348094851768</v>
      </c>
      <c r="DA235" s="399">
        <v>0</v>
      </c>
      <c r="DB235" s="399">
        <v>0</v>
      </c>
      <c r="DC235" s="399">
        <v>33631.893782863976</v>
      </c>
      <c r="DD235" s="399">
        <v>0</v>
      </c>
      <c r="DE235" s="399">
        <v>0</v>
      </c>
      <c r="DF235" s="399">
        <v>0</v>
      </c>
      <c r="DG235" s="399">
        <v>3255.910539208493</v>
      </c>
      <c r="DH235" s="399">
        <v>0</v>
      </c>
      <c r="DI235" s="399">
        <v>-12403.9154721292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-1609.2124875431364</v>
      </c>
      <c r="DP235" s="399">
        <v>-92.599527157994146</v>
      </c>
      <c r="DQ235" s="399">
        <v>0</v>
      </c>
      <c r="DR235" s="399">
        <v>0</v>
      </c>
      <c r="DS235" s="399"/>
      <c r="DT235" s="399"/>
      <c r="DU235" s="399"/>
      <c r="DV235" s="399">
        <v>132366.65226774893</v>
      </c>
      <c r="DW235" s="399">
        <v>0</v>
      </c>
      <c r="DX235" s="399">
        <v>0</v>
      </c>
      <c r="DY235" s="399">
        <v>-35879.442640000023</v>
      </c>
      <c r="DZ235" s="399">
        <v>33623.907319999969</v>
      </c>
      <c r="EA235" s="399">
        <v>0</v>
      </c>
      <c r="EB235" s="399">
        <v>0</v>
      </c>
      <c r="EC235" s="399">
        <v>-28616.956025209191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17221.231143977082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215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236</v>
      </c>
      <c r="B236" s="399" t="s">
        <v>2345</v>
      </c>
      <c r="C236" s="399" t="s">
        <v>2343</v>
      </c>
      <c r="D236" s="399" t="s">
        <v>1823</v>
      </c>
      <c r="E236" s="399" t="s">
        <v>889</v>
      </c>
      <c r="F236" s="399" t="s">
        <v>889</v>
      </c>
      <c r="G236" s="399" t="s">
        <v>1239</v>
      </c>
      <c r="H236" s="399" t="s">
        <v>1239</v>
      </c>
      <c r="I236" s="399" t="s">
        <v>1239</v>
      </c>
      <c r="J236" s="399" t="s">
        <v>2344</v>
      </c>
      <c r="K236" s="791">
        <v>44593</v>
      </c>
      <c r="L236" s="399">
        <v>0</v>
      </c>
      <c r="M236" s="399">
        <v>0</v>
      </c>
      <c r="N236" s="399">
        <v>-0.80400000000000005</v>
      </c>
      <c r="O236" s="399">
        <v>-0.80400000000000005</v>
      </c>
      <c r="P236" s="399">
        <v>-0.80400000000000005</v>
      </c>
      <c r="Q236" s="399">
        <v>-0.80400000000000005</v>
      </c>
      <c r="R236" s="399"/>
      <c r="S236" s="399">
        <v>239.69</v>
      </c>
      <c r="T236" s="399">
        <v>171.61</v>
      </c>
      <c r="U236" s="399"/>
      <c r="V236" s="399">
        <v>-330.68520000000001</v>
      </c>
      <c r="W236" s="399">
        <v>-330.68520000000001</v>
      </c>
      <c r="X236" s="399">
        <v>-329.47116000000005</v>
      </c>
      <c r="Y236" s="399">
        <v>0</v>
      </c>
      <c r="Z236" s="399">
        <v>-48.607668648321734</v>
      </c>
      <c r="AA236" s="399">
        <v>0</v>
      </c>
      <c r="AB236" s="399">
        <v>0</v>
      </c>
      <c r="AC236" s="399">
        <v>0</v>
      </c>
      <c r="AD236" s="399">
        <v>-42.882138394707297</v>
      </c>
      <c r="AE236" s="399">
        <v>-71.246239903322774</v>
      </c>
      <c r="AF236" s="399">
        <v>-132.96087907219092</v>
      </c>
      <c r="AG236" s="399">
        <v>-5.0132269850951516</v>
      </c>
      <c r="AH236" s="399">
        <v>0</v>
      </c>
      <c r="AI236" s="399">
        <v>0</v>
      </c>
      <c r="AJ236" s="399">
        <v>0</v>
      </c>
      <c r="AK236" s="399">
        <v>0</v>
      </c>
      <c r="AL236" s="399">
        <v>-7.5158810650380667</v>
      </c>
      <c r="AM236" s="399"/>
      <c r="AN236" s="399">
        <v>-0.31842552371994903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-12.871969989812127</v>
      </c>
      <c r="BH236" s="399">
        <v>0</v>
      </c>
      <c r="BI236" s="399">
        <v>0</v>
      </c>
      <c r="BJ236" s="399">
        <v>0</v>
      </c>
      <c r="BK236" s="399">
        <v>-136.58000000000001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-145.83284906200305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-327.83199999999999</v>
      </c>
      <c r="CJ236" s="399">
        <v>2.8232000000000426</v>
      </c>
      <c r="CK236" s="399"/>
      <c r="CL236" s="399"/>
      <c r="CM236" s="399"/>
      <c r="CN236" s="399"/>
      <c r="CO236" s="399">
        <v>19.312080000000009</v>
      </c>
      <c r="CP236" s="399">
        <v>-18.098039999999994</v>
      </c>
      <c r="CQ236" s="399">
        <v>29</v>
      </c>
      <c r="CR236" s="399">
        <v>-14.193529068374289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-1.9310952612825361</v>
      </c>
      <c r="DA236" s="399">
        <v>0</v>
      </c>
      <c r="DB236" s="399">
        <v>0</v>
      </c>
      <c r="DC236" s="399">
        <v>-18.102338706958591</v>
      </c>
      <c r="DD236" s="399">
        <v>0</v>
      </c>
      <c r="DE236" s="399">
        <v>0</v>
      </c>
      <c r="DF236" s="399">
        <v>0</v>
      </c>
      <c r="DG236" s="399">
        <v>-1.752491125264525</v>
      </c>
      <c r="DH236" s="399">
        <v>0</v>
      </c>
      <c r="DI236" s="399">
        <v>6.6763971312068477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0.86615727585984725</v>
      </c>
      <c r="DP236" s="399">
        <v>4.9841618064704551E-2</v>
      </c>
      <c r="DQ236" s="399">
        <v>0</v>
      </c>
      <c r="DR236" s="399">
        <v>0</v>
      </c>
      <c r="DS236" s="399"/>
      <c r="DT236" s="399"/>
      <c r="DU236" s="399"/>
      <c r="DV236" s="399">
        <v>-71.246239903322774</v>
      </c>
      <c r="DW236" s="399">
        <v>0</v>
      </c>
      <c r="DX236" s="399">
        <v>0</v>
      </c>
      <c r="DY236" s="399">
        <v>19.312080000000009</v>
      </c>
      <c r="DZ236" s="399">
        <v>-18.098039999999997</v>
      </c>
      <c r="EA236" s="399">
        <v>0</v>
      </c>
      <c r="EB236" s="399">
        <v>0</v>
      </c>
      <c r="EC236" s="399">
        <v>15.403052652194752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-9.2693132635289164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215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237</v>
      </c>
      <c r="B237" s="399" t="s">
        <v>2346</v>
      </c>
      <c r="C237" s="399" t="s">
        <v>2343</v>
      </c>
      <c r="D237" s="399" t="s">
        <v>1823</v>
      </c>
      <c r="E237" s="399" t="s">
        <v>889</v>
      </c>
      <c r="F237" s="399" t="s">
        <v>889</v>
      </c>
      <c r="G237" s="399" t="s">
        <v>1239</v>
      </c>
      <c r="H237" s="399" t="s">
        <v>1239</v>
      </c>
      <c r="I237" s="399" t="s">
        <v>1239</v>
      </c>
      <c r="J237" s="399" t="s">
        <v>2344</v>
      </c>
      <c r="K237" s="791">
        <v>44593</v>
      </c>
      <c r="L237" s="399">
        <v>0</v>
      </c>
      <c r="M237" s="399">
        <v>0</v>
      </c>
      <c r="N237" s="399">
        <v>1.6639999999999999</v>
      </c>
      <c r="O237" s="399">
        <v>1.6639999999999999</v>
      </c>
      <c r="P237" s="399">
        <v>1.6639999999999999</v>
      </c>
      <c r="Q237" s="399">
        <v>1.6639999999999999</v>
      </c>
      <c r="R237" s="399"/>
      <c r="S237" s="399">
        <v>239.69</v>
      </c>
      <c r="T237" s="399">
        <v>171.61</v>
      </c>
      <c r="U237" s="399"/>
      <c r="V237" s="399">
        <v>684.40319999999997</v>
      </c>
      <c r="W237" s="399">
        <v>684.40319999999997</v>
      </c>
      <c r="X237" s="399">
        <v>681.89055999999994</v>
      </c>
      <c r="Y237" s="399">
        <v>0</v>
      </c>
      <c r="Z237" s="399">
        <v>100.6009460582181</v>
      </c>
      <c r="AA237" s="399">
        <v>0</v>
      </c>
      <c r="AB237" s="399">
        <v>0</v>
      </c>
      <c r="AC237" s="399">
        <v>0</v>
      </c>
      <c r="AD237" s="399">
        <v>88.751092398996192</v>
      </c>
      <c r="AE237" s="399">
        <v>147.45490447652872</v>
      </c>
      <c r="AF237" s="399">
        <v>275.18271489567871</v>
      </c>
      <c r="AG237" s="399">
        <v>10.375633959201904</v>
      </c>
      <c r="AH237" s="399">
        <v>0</v>
      </c>
      <c r="AI237" s="399">
        <v>0</v>
      </c>
      <c r="AJ237" s="399">
        <v>0</v>
      </c>
      <c r="AK237" s="399">
        <v>0</v>
      </c>
      <c r="AL237" s="399">
        <v>15.555256333611123</v>
      </c>
      <c r="AM237" s="399"/>
      <c r="AN237" s="399">
        <v>0.65902993963929735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26.640495103292761</v>
      </c>
      <c r="BH237" s="399">
        <v>0</v>
      </c>
      <c r="BI237" s="399">
        <v>0</v>
      </c>
      <c r="BJ237" s="399">
        <v>0</v>
      </c>
      <c r="BK237" s="399">
        <v>656.08</v>
      </c>
      <c r="BL237" s="399">
        <v>11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301.82320999897149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680.25139999999988</v>
      </c>
      <c r="CJ237" s="399">
        <v>-4.1818000000000666</v>
      </c>
      <c r="CK237" s="399"/>
      <c r="CL237" s="399"/>
      <c r="CM237" s="399"/>
      <c r="CN237" s="399"/>
      <c r="CO237" s="399">
        <v>-39.969280000000012</v>
      </c>
      <c r="CP237" s="399">
        <v>37.456639999999986</v>
      </c>
      <c r="CQ237" s="399">
        <v>29</v>
      </c>
      <c r="CR237" s="399">
        <v>29.375662151461142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3.9966946701170798</v>
      </c>
      <c r="DA237" s="399">
        <v>0</v>
      </c>
      <c r="DB237" s="399">
        <v>0</v>
      </c>
      <c r="DC237" s="399">
        <v>37.465536826342145</v>
      </c>
      <c r="DD237" s="399">
        <v>0</v>
      </c>
      <c r="DE237" s="399">
        <v>0</v>
      </c>
      <c r="DF237" s="399">
        <v>0</v>
      </c>
      <c r="DG237" s="399">
        <v>3.6270463090051841</v>
      </c>
      <c r="DH237" s="399">
        <v>0</v>
      </c>
      <c r="DI237" s="399">
        <v>-13.817816948169394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-1.7926439142173951</v>
      </c>
      <c r="DP237" s="399">
        <v>-0.10315479161650287</v>
      </c>
      <c r="DQ237" s="399">
        <v>0</v>
      </c>
      <c r="DR237" s="399">
        <v>0</v>
      </c>
      <c r="DS237" s="399"/>
      <c r="DT237" s="399"/>
      <c r="DU237" s="399"/>
      <c r="DV237" s="399">
        <v>147.45490447652872</v>
      </c>
      <c r="DW237" s="399">
        <v>0</v>
      </c>
      <c r="DX237" s="399">
        <v>0</v>
      </c>
      <c r="DY237" s="399">
        <v>-39.969280000000026</v>
      </c>
      <c r="DZ237" s="399">
        <v>37.456639999999993</v>
      </c>
      <c r="EA237" s="399">
        <v>0</v>
      </c>
      <c r="EB237" s="399">
        <v>0</v>
      </c>
      <c r="EC237" s="399">
        <v>-31.878954742850851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19.184250336457854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215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238</v>
      </c>
      <c r="B238" s="399" t="s">
        <v>956</v>
      </c>
      <c r="C238" s="399" t="s">
        <v>2343</v>
      </c>
      <c r="D238" s="399" t="s">
        <v>1823</v>
      </c>
      <c r="E238" s="399" t="s">
        <v>889</v>
      </c>
      <c r="F238" s="399" t="s">
        <v>2347</v>
      </c>
      <c r="G238" s="399" t="s">
        <v>1239</v>
      </c>
      <c r="H238" s="399" t="s">
        <v>1239</v>
      </c>
      <c r="I238" s="399" t="s">
        <v>1239</v>
      </c>
      <c r="J238" s="399" t="s">
        <v>2344</v>
      </c>
      <c r="K238" s="791">
        <v>44593</v>
      </c>
      <c r="L238" s="399">
        <v>0</v>
      </c>
      <c r="M238" s="399">
        <v>0</v>
      </c>
      <c r="N238" s="399">
        <v>8.94</v>
      </c>
      <c r="O238" s="399">
        <v>8.94</v>
      </c>
      <c r="P238" s="399">
        <v>8.94</v>
      </c>
      <c r="Q238" s="399">
        <v>8.94</v>
      </c>
      <c r="R238" s="399"/>
      <c r="S238" s="399">
        <v>158.36000000000001</v>
      </c>
      <c r="T238" s="399">
        <v>171.61</v>
      </c>
      <c r="U238" s="399"/>
      <c r="V238" s="399">
        <v>2949.9318000000003</v>
      </c>
      <c r="W238" s="399">
        <v>2949.9318000000003</v>
      </c>
      <c r="X238" s="399">
        <v>3020.2896000000001</v>
      </c>
      <c r="Y238" s="399">
        <v>0</v>
      </c>
      <c r="Z238" s="399">
        <v>0</v>
      </c>
      <c r="AA238" s="399">
        <v>0</v>
      </c>
      <c r="AB238" s="399">
        <v>0</v>
      </c>
      <c r="AC238" s="399">
        <v>0</v>
      </c>
      <c r="AD238" s="399">
        <v>476.82377767249153</v>
      </c>
      <c r="AE238" s="399">
        <v>792.21565265635013</v>
      </c>
      <c r="AF238" s="399">
        <v>1478.4455956534662</v>
      </c>
      <c r="AG238" s="399">
        <v>55.744091102923697</v>
      </c>
      <c r="AH238" s="399">
        <v>0</v>
      </c>
      <c r="AI238" s="399">
        <v>0</v>
      </c>
      <c r="AJ238" s="399">
        <v>0</v>
      </c>
      <c r="AK238" s="399">
        <v>0</v>
      </c>
      <c r="AL238" s="399">
        <v>0</v>
      </c>
      <c r="AM238" s="399"/>
      <c r="AN238" s="399">
        <v>3.5407017189755523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143.12862152850798</v>
      </c>
      <c r="BH238" s="399">
        <v>0</v>
      </c>
      <c r="BI238" s="399">
        <v>0</v>
      </c>
      <c r="BJ238" s="399">
        <v>0</v>
      </c>
      <c r="BK238" s="399">
        <v>143.04</v>
      </c>
      <c r="BL238" s="399">
        <v>3</v>
      </c>
      <c r="BM238" s="399"/>
      <c r="BN238" s="399"/>
      <c r="BO238" s="399"/>
      <c r="BP238" s="399"/>
      <c r="BQ238" s="399"/>
      <c r="BR238" s="399"/>
      <c r="BS238" s="399"/>
      <c r="BT238" s="399">
        <v>1963.2239999999999</v>
      </c>
      <c r="BU238" s="399"/>
      <c r="BV238" s="399">
        <v>1621.5742171819741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1057.0655999999999</v>
      </c>
      <c r="CJ238" s="399">
        <v>24.644399999999905</v>
      </c>
      <c r="CK238" s="399"/>
      <c r="CL238" s="399"/>
      <c r="CM238" s="399"/>
      <c r="CN238" s="399"/>
      <c r="CO238" s="399">
        <v>-130.88160000000013</v>
      </c>
      <c r="CP238" s="399">
        <v>201.2393999999999</v>
      </c>
      <c r="CQ238" s="399">
        <v>29</v>
      </c>
      <c r="CR238" s="399">
        <v>241.69227148064965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21.472626412768534</v>
      </c>
      <c r="DA238" s="399">
        <v>0</v>
      </c>
      <c r="DB238" s="399">
        <v>0</v>
      </c>
      <c r="DC238" s="399">
        <v>201.28719905498724</v>
      </c>
      <c r="DD238" s="399">
        <v>0</v>
      </c>
      <c r="DE238" s="399">
        <v>0</v>
      </c>
      <c r="DF238" s="399">
        <v>0</v>
      </c>
      <c r="DG238" s="399">
        <v>19.486655049583135</v>
      </c>
      <c r="DH238" s="399">
        <v>0</v>
      </c>
      <c r="DI238" s="399">
        <v>0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0</v>
      </c>
      <c r="DP238" s="399">
        <v>-0.55420903668962529</v>
      </c>
      <c r="DQ238" s="399">
        <v>0</v>
      </c>
      <c r="DR238" s="399">
        <v>0</v>
      </c>
      <c r="DS238" s="399"/>
      <c r="DT238" s="399"/>
      <c r="DU238" s="399"/>
      <c r="DV238" s="399">
        <v>792.21565265635013</v>
      </c>
      <c r="DW238" s="399">
        <v>0</v>
      </c>
      <c r="DX238" s="399">
        <v>0</v>
      </c>
      <c r="DY238" s="399">
        <v>-130.88159999999993</v>
      </c>
      <c r="DZ238" s="399">
        <v>201.23939999999993</v>
      </c>
      <c r="EA238" s="399">
        <v>0</v>
      </c>
      <c r="EB238" s="399">
        <v>0</v>
      </c>
      <c r="EC238" s="399">
        <v>-171.27274964007597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215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239</v>
      </c>
      <c r="B239" s="399" t="s">
        <v>956</v>
      </c>
      <c r="C239" s="399" t="s">
        <v>2343</v>
      </c>
      <c r="D239" s="399" t="s">
        <v>1823</v>
      </c>
      <c r="E239" s="399" t="s">
        <v>889</v>
      </c>
      <c r="F239" s="399" t="s">
        <v>2348</v>
      </c>
      <c r="G239" s="399" t="s">
        <v>1239</v>
      </c>
      <c r="H239" s="399" t="s">
        <v>1239</v>
      </c>
      <c r="I239" s="399" t="s">
        <v>1239</v>
      </c>
      <c r="J239" s="399" t="s">
        <v>2344</v>
      </c>
      <c r="K239" s="791">
        <v>44593</v>
      </c>
      <c r="L239" s="399">
        <v>0</v>
      </c>
      <c r="M239" s="399">
        <v>0</v>
      </c>
      <c r="N239" s="399">
        <v>19.795999999999999</v>
      </c>
      <c r="O239" s="399">
        <v>19.795999999999999</v>
      </c>
      <c r="P239" s="399">
        <v>19.795999999999999</v>
      </c>
      <c r="Q239" s="399">
        <v>19.795999999999999</v>
      </c>
      <c r="R239" s="399"/>
      <c r="S239" s="399">
        <v>158.36000000000001</v>
      </c>
      <c r="T239" s="399">
        <v>171.61</v>
      </c>
      <c r="U239" s="399"/>
      <c r="V239" s="399">
        <v>6532.0861199999999</v>
      </c>
      <c r="W239" s="399">
        <v>6532.0861199999999</v>
      </c>
      <c r="X239" s="399">
        <v>6687.8806399999994</v>
      </c>
      <c r="Y239" s="399">
        <v>0</v>
      </c>
      <c r="Z239" s="399">
        <v>0</v>
      </c>
      <c r="AA239" s="399">
        <v>0</v>
      </c>
      <c r="AB239" s="399">
        <v>0</v>
      </c>
      <c r="AC239" s="399">
        <v>0</v>
      </c>
      <c r="AD239" s="399">
        <v>1055.8393179870966</v>
      </c>
      <c r="AE239" s="399">
        <v>1754.2171208037034</v>
      </c>
      <c r="AF239" s="399">
        <v>3273.7482115834473</v>
      </c>
      <c r="AG239" s="399">
        <v>123.43512611560151</v>
      </c>
      <c r="AH239" s="399">
        <v>0</v>
      </c>
      <c r="AI239" s="399">
        <v>0</v>
      </c>
      <c r="AJ239" s="399">
        <v>0</v>
      </c>
      <c r="AK239" s="399">
        <v>0</v>
      </c>
      <c r="AL239" s="399">
        <v>0</v>
      </c>
      <c r="AM239" s="399"/>
      <c r="AN239" s="399">
        <v>7.8402383924876995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316.93223621681699</v>
      </c>
      <c r="BH239" s="399">
        <v>0</v>
      </c>
      <c r="BI239" s="399">
        <v>0</v>
      </c>
      <c r="BJ239" s="399">
        <v>0</v>
      </c>
      <c r="BK239" s="399">
        <v>543.01</v>
      </c>
      <c r="BL239" s="399">
        <v>30</v>
      </c>
      <c r="BM239" s="399"/>
      <c r="BN239" s="399"/>
      <c r="BO239" s="399"/>
      <c r="BP239" s="399"/>
      <c r="BQ239" s="399"/>
      <c r="BR239" s="399"/>
      <c r="BS239" s="399"/>
      <c r="BT239" s="399">
        <v>2675.2314399999996</v>
      </c>
      <c r="BU239" s="399"/>
      <c r="BV239" s="399">
        <v>3590.6804478002641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4013.46</v>
      </c>
      <c r="CJ239" s="399">
        <v>94.217920000000049</v>
      </c>
      <c r="CK239" s="399"/>
      <c r="CL239" s="399"/>
      <c r="CM239" s="399"/>
      <c r="CN239" s="399"/>
      <c r="CO239" s="399">
        <v>-289.8134400000003</v>
      </c>
      <c r="CP239" s="399">
        <v>445.60795999999982</v>
      </c>
      <c r="CQ239" s="399">
        <v>29</v>
      </c>
      <c r="CR239" s="399">
        <v>535.18346825849312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47.547216159638083</v>
      </c>
      <c r="DA239" s="399">
        <v>0</v>
      </c>
      <c r="DB239" s="399">
        <v>0</v>
      </c>
      <c r="DC239" s="399">
        <v>445.71380229222859</v>
      </c>
      <c r="DD239" s="399">
        <v>0</v>
      </c>
      <c r="DE239" s="399">
        <v>0</v>
      </c>
      <c r="DF239" s="399">
        <v>0</v>
      </c>
      <c r="DG239" s="399">
        <v>43.149644671314093</v>
      </c>
      <c r="DH239" s="399">
        <v>0</v>
      </c>
      <c r="DI239" s="399">
        <v>0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0</v>
      </c>
      <c r="DP239" s="399">
        <v>-1.227194864687676</v>
      </c>
      <c r="DQ239" s="399">
        <v>0</v>
      </c>
      <c r="DR239" s="399">
        <v>0</v>
      </c>
      <c r="DS239" s="399"/>
      <c r="DT239" s="399"/>
      <c r="DU239" s="399"/>
      <c r="DV239" s="399">
        <v>1754.2171208037034</v>
      </c>
      <c r="DW239" s="399">
        <v>0</v>
      </c>
      <c r="DX239" s="399">
        <v>0</v>
      </c>
      <c r="DY239" s="399">
        <v>-289.81344000000036</v>
      </c>
      <c r="DZ239" s="399">
        <v>445.60795999999982</v>
      </c>
      <c r="EA239" s="399">
        <v>0</v>
      </c>
      <c r="EB239" s="399">
        <v>0</v>
      </c>
      <c r="EC239" s="399">
        <v>-379.25227649607882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215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240</v>
      </c>
      <c r="B240" s="399" t="s">
        <v>956</v>
      </c>
      <c r="C240" s="399" t="s">
        <v>2343</v>
      </c>
      <c r="D240" s="399" t="s">
        <v>1823</v>
      </c>
      <c r="E240" s="399" t="s">
        <v>889</v>
      </c>
      <c r="F240" s="399" t="s">
        <v>2349</v>
      </c>
      <c r="G240" s="399" t="s">
        <v>1239</v>
      </c>
      <c r="H240" s="399" t="s">
        <v>1239</v>
      </c>
      <c r="I240" s="399" t="s">
        <v>1239</v>
      </c>
      <c r="J240" s="399" t="s">
        <v>2344</v>
      </c>
      <c r="K240" s="791">
        <v>44593</v>
      </c>
      <c r="L240" s="399">
        <v>0</v>
      </c>
      <c r="M240" s="399">
        <v>0</v>
      </c>
      <c r="N240" s="399">
        <v>26.922000000000001</v>
      </c>
      <c r="O240" s="399">
        <v>26.922000000000001</v>
      </c>
      <c r="P240" s="399">
        <v>26.922000000000001</v>
      </c>
      <c r="Q240" s="399">
        <v>26.922000000000001</v>
      </c>
      <c r="R240" s="399"/>
      <c r="S240" s="399">
        <v>158.36000000000001</v>
      </c>
      <c r="T240" s="399">
        <v>171.61</v>
      </c>
      <c r="U240" s="399"/>
      <c r="V240" s="399">
        <v>8883.4523399999998</v>
      </c>
      <c r="W240" s="399">
        <v>8883.4523399999998</v>
      </c>
      <c r="X240" s="399">
        <v>9095.3284800000001</v>
      </c>
      <c r="Y240" s="399">
        <v>0</v>
      </c>
      <c r="Z240" s="399">
        <v>0</v>
      </c>
      <c r="AA240" s="399">
        <v>0</v>
      </c>
      <c r="AB240" s="399">
        <v>0</v>
      </c>
      <c r="AC240" s="399">
        <v>0</v>
      </c>
      <c r="AD240" s="399">
        <v>1435.9116043063555</v>
      </c>
      <c r="AE240" s="399">
        <v>2385.6856600463379</v>
      </c>
      <c r="AF240" s="399">
        <v>4452.2049581859756</v>
      </c>
      <c r="AG240" s="399">
        <v>167.86827971732794</v>
      </c>
      <c r="AH240" s="399">
        <v>0</v>
      </c>
      <c r="AI240" s="399">
        <v>0</v>
      </c>
      <c r="AJ240" s="399">
        <v>0</v>
      </c>
      <c r="AK240" s="399">
        <v>0</v>
      </c>
      <c r="AL240" s="399">
        <v>0</v>
      </c>
      <c r="AM240" s="399"/>
      <c r="AN240" s="399">
        <v>10.662502424861277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431.01887570363448</v>
      </c>
      <c r="BH240" s="399">
        <v>0</v>
      </c>
      <c r="BI240" s="399">
        <v>0</v>
      </c>
      <c r="BJ240" s="399">
        <v>0</v>
      </c>
      <c r="BK240" s="399">
        <v>2000.84</v>
      </c>
      <c r="BL240" s="399">
        <v>87</v>
      </c>
      <c r="BM240" s="399"/>
      <c r="BN240" s="399"/>
      <c r="BO240" s="399"/>
      <c r="BP240" s="399"/>
      <c r="BQ240" s="399"/>
      <c r="BR240" s="399"/>
      <c r="BS240" s="399"/>
      <c r="BT240" s="399">
        <v>909.42516000000001</v>
      </c>
      <c r="BU240" s="399"/>
      <c r="BV240" s="399">
        <v>4883.2238338896104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8185.2952000000005</v>
      </c>
      <c r="CJ240" s="399">
        <v>190.23885999999948</v>
      </c>
      <c r="CK240" s="399"/>
      <c r="CL240" s="399"/>
      <c r="CM240" s="399"/>
      <c r="CN240" s="399"/>
      <c r="CO240" s="399">
        <v>-394.1380800000004</v>
      </c>
      <c r="CP240" s="399">
        <v>606.0142199999998</v>
      </c>
      <c r="CQ240" s="399">
        <v>29</v>
      </c>
      <c r="CR240" s="399">
        <v>727.8343772709195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64.662868935632332</v>
      </c>
      <c r="DA240" s="399">
        <v>0</v>
      </c>
      <c r="DB240" s="399">
        <v>0</v>
      </c>
      <c r="DC240" s="399">
        <v>606.1581625233066</v>
      </c>
      <c r="DD240" s="399">
        <v>0</v>
      </c>
      <c r="DE240" s="399">
        <v>0</v>
      </c>
      <c r="DF240" s="399">
        <v>0</v>
      </c>
      <c r="DG240" s="399">
        <v>58.682296112402355</v>
      </c>
      <c r="DH240" s="399">
        <v>0</v>
      </c>
      <c r="DI240" s="399">
        <v>0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0</v>
      </c>
      <c r="DP240" s="399">
        <v>-1.6689503004203665</v>
      </c>
      <c r="DQ240" s="399">
        <v>0</v>
      </c>
      <c r="DR240" s="399">
        <v>0</v>
      </c>
      <c r="DS240" s="399"/>
      <c r="DT240" s="399"/>
      <c r="DU240" s="399"/>
      <c r="DV240" s="399">
        <v>2385.6856600463379</v>
      </c>
      <c r="DW240" s="399">
        <v>0</v>
      </c>
      <c r="DX240" s="399">
        <v>0</v>
      </c>
      <c r="DY240" s="399">
        <v>-394.13808000000063</v>
      </c>
      <c r="DZ240" s="399">
        <v>606.01422000000002</v>
      </c>
      <c r="EA240" s="399">
        <v>0</v>
      </c>
      <c r="EB240" s="399">
        <v>0</v>
      </c>
      <c r="EC240" s="399">
        <v>-515.77236754028263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215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241</v>
      </c>
      <c r="B241" s="399" t="s">
        <v>956</v>
      </c>
      <c r="C241" s="399" t="s">
        <v>2343</v>
      </c>
      <c r="D241" s="399" t="s">
        <v>1823</v>
      </c>
      <c r="E241" s="399" t="s">
        <v>889</v>
      </c>
      <c r="F241" s="399" t="s">
        <v>2350</v>
      </c>
      <c r="G241" s="399" t="s">
        <v>1239</v>
      </c>
      <c r="H241" s="399" t="s">
        <v>1239</v>
      </c>
      <c r="I241" s="399" t="s">
        <v>1239</v>
      </c>
      <c r="J241" s="399" t="s">
        <v>2344</v>
      </c>
      <c r="K241" s="791">
        <v>44593</v>
      </c>
      <c r="L241" s="399">
        <v>0</v>
      </c>
      <c r="M241" s="399">
        <v>0</v>
      </c>
      <c r="N241" s="399">
        <v>29.02</v>
      </c>
      <c r="O241" s="399">
        <v>29.02</v>
      </c>
      <c r="P241" s="399">
        <v>29.02</v>
      </c>
      <c r="Q241" s="399">
        <v>29.02</v>
      </c>
      <c r="R241" s="399"/>
      <c r="S241" s="399">
        <v>158.36000000000001</v>
      </c>
      <c r="T241" s="399">
        <v>171.61</v>
      </c>
      <c r="U241" s="399"/>
      <c r="V241" s="399">
        <v>9575.7294000000002</v>
      </c>
      <c r="W241" s="399">
        <v>9575.7294000000002</v>
      </c>
      <c r="X241" s="399">
        <v>9804.1167999999998</v>
      </c>
      <c r="Y241" s="399">
        <v>0</v>
      </c>
      <c r="Z241" s="399">
        <v>0</v>
      </c>
      <c r="AA241" s="399">
        <v>0</v>
      </c>
      <c r="AB241" s="399">
        <v>0</v>
      </c>
      <c r="AC241" s="399">
        <v>0</v>
      </c>
      <c r="AD241" s="399">
        <v>1547.8105176796091</v>
      </c>
      <c r="AE241" s="399">
        <v>2571.5993557144611</v>
      </c>
      <c r="AF241" s="399">
        <v>4799.1600879042044</v>
      </c>
      <c r="AG241" s="399">
        <v>180.95005859136975</v>
      </c>
      <c r="AH241" s="399">
        <v>0</v>
      </c>
      <c r="AI241" s="399">
        <v>0</v>
      </c>
      <c r="AJ241" s="399">
        <v>0</v>
      </c>
      <c r="AK241" s="399">
        <v>0</v>
      </c>
      <c r="AL241" s="399">
        <v>0</v>
      </c>
      <c r="AM241" s="399"/>
      <c r="AN241" s="399">
        <v>11.493418779045919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464.6076730153581</v>
      </c>
      <c r="BH241" s="399">
        <v>0</v>
      </c>
      <c r="BI241" s="399">
        <v>0</v>
      </c>
      <c r="BJ241" s="399">
        <v>0</v>
      </c>
      <c r="BK241" s="399">
        <v>3267.23</v>
      </c>
      <c r="BL241" s="399">
        <v>175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>
        <v>5263.7677609195625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9804.1167999999998</v>
      </c>
      <c r="CJ241" s="399">
        <v>228.35739999999896</v>
      </c>
      <c r="CK241" s="399"/>
      <c r="CL241" s="399"/>
      <c r="CM241" s="399"/>
      <c r="CN241" s="399"/>
      <c r="CO241" s="399">
        <v>-424.8528000000004</v>
      </c>
      <c r="CP241" s="399">
        <v>653.24019999999973</v>
      </c>
      <c r="CQ241" s="399">
        <v>29</v>
      </c>
      <c r="CR241" s="399">
        <v>784.55365977275596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69.701970749277507</v>
      </c>
      <c r="DA241" s="399">
        <v>0</v>
      </c>
      <c r="DB241" s="399">
        <v>0</v>
      </c>
      <c r="DC241" s="399">
        <v>653.39535979594257</v>
      </c>
      <c r="DD241" s="399">
        <v>0</v>
      </c>
      <c r="DE241" s="399">
        <v>0</v>
      </c>
      <c r="DF241" s="399">
        <v>0</v>
      </c>
      <c r="DG241" s="399">
        <v>63.255338874597612</v>
      </c>
      <c r="DH241" s="399">
        <v>0</v>
      </c>
      <c r="DI241" s="399">
        <v>0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0</v>
      </c>
      <c r="DP241" s="399">
        <v>-1.7990096470618475</v>
      </c>
      <c r="DQ241" s="399">
        <v>0</v>
      </c>
      <c r="DR241" s="399">
        <v>0</v>
      </c>
      <c r="DS241" s="399"/>
      <c r="DT241" s="399"/>
      <c r="DU241" s="399"/>
      <c r="DV241" s="399">
        <v>2571.5993557144611</v>
      </c>
      <c r="DW241" s="399">
        <v>0</v>
      </c>
      <c r="DX241" s="399">
        <v>0</v>
      </c>
      <c r="DY241" s="399">
        <v>-424.85280000000057</v>
      </c>
      <c r="DZ241" s="399">
        <v>653.24019999999928</v>
      </c>
      <c r="EA241" s="399">
        <v>0</v>
      </c>
      <c r="EB241" s="399">
        <v>0</v>
      </c>
      <c r="EC241" s="399">
        <v>-555.96590543120874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215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242</v>
      </c>
      <c r="B242" s="399" t="s">
        <v>956</v>
      </c>
      <c r="C242" s="399" t="s">
        <v>2343</v>
      </c>
      <c r="D242" s="399" t="s">
        <v>1826</v>
      </c>
      <c r="E242" s="399" t="s">
        <v>890</v>
      </c>
      <c r="F242" s="399" t="s">
        <v>1239</v>
      </c>
      <c r="G242" s="399" t="s">
        <v>1239</v>
      </c>
      <c r="H242" s="399" t="s">
        <v>1239</v>
      </c>
      <c r="I242" s="399" t="s">
        <v>1239</v>
      </c>
      <c r="J242" s="399" t="s">
        <v>2344</v>
      </c>
      <c r="K242" s="791">
        <v>44593</v>
      </c>
      <c r="L242" s="399">
        <v>0</v>
      </c>
      <c r="M242" s="399">
        <v>0</v>
      </c>
      <c r="N242" s="399">
        <v>186.999</v>
      </c>
      <c r="O242" s="399">
        <v>186.999</v>
      </c>
      <c r="P242" s="399">
        <v>186.999</v>
      </c>
      <c r="Q242" s="399">
        <v>186.999</v>
      </c>
      <c r="R242" s="399"/>
      <c r="S242" s="399">
        <v>239.69</v>
      </c>
      <c r="T242" s="399">
        <v>171.61</v>
      </c>
      <c r="U242" s="399"/>
      <c r="V242" s="399">
        <v>76912.688699999999</v>
      </c>
      <c r="W242" s="399">
        <v>76912.688699999999</v>
      </c>
      <c r="X242" s="399">
        <v>76630.320210000005</v>
      </c>
      <c r="Y242" s="399">
        <v>0</v>
      </c>
      <c r="Z242" s="399">
        <v>11305.454514387457</v>
      </c>
      <c r="AA242" s="399">
        <v>0</v>
      </c>
      <c r="AB242" s="399">
        <v>0</v>
      </c>
      <c r="AC242" s="399">
        <v>0</v>
      </c>
      <c r="AD242" s="399">
        <v>9973.7773602883935</v>
      </c>
      <c r="AE242" s="399">
        <v>16570.86519363365</v>
      </c>
      <c r="AF242" s="399">
        <v>30924.815205995808</v>
      </c>
      <c r="AG242" s="399">
        <v>1166.0055136639405</v>
      </c>
      <c r="AH242" s="399">
        <v>0</v>
      </c>
      <c r="AI242" s="399">
        <v>0</v>
      </c>
      <c r="AJ242" s="399">
        <v>0</v>
      </c>
      <c r="AK242" s="399">
        <v>0</v>
      </c>
      <c r="AL242" s="399">
        <v>1748.0873672649918</v>
      </c>
      <c r="AM242" s="399"/>
      <c r="AN242" s="399">
        <v>74.06126182849097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2993.8377066229823</v>
      </c>
      <c r="BH242" s="399">
        <v>0</v>
      </c>
      <c r="BI242" s="399">
        <v>0</v>
      </c>
      <c r="BJ242" s="399">
        <v>0</v>
      </c>
      <c r="BK242" s="399">
        <v>34393.97</v>
      </c>
      <c r="BL242" s="399">
        <v>77</v>
      </c>
      <c r="BM242" s="399"/>
      <c r="BN242" s="399"/>
      <c r="BO242" s="399"/>
      <c r="BP242" s="399"/>
      <c r="BQ242" s="399"/>
      <c r="BR242" s="399"/>
      <c r="BS242" s="399"/>
      <c r="BT242" s="399"/>
      <c r="BU242" s="399"/>
      <c r="BV242" s="399">
        <v>33918.652912618789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76630.73000000001</v>
      </c>
      <c r="CJ242" s="399">
        <v>-281.98869999998715</v>
      </c>
      <c r="CK242" s="399"/>
      <c r="CL242" s="399"/>
      <c r="CM242" s="399"/>
      <c r="CN242" s="399"/>
      <c r="CO242" s="399">
        <v>-4491.7159800000018</v>
      </c>
      <c r="CP242" s="399">
        <v>4209.3474899999983</v>
      </c>
      <c r="CQ242" s="399">
        <v>29</v>
      </c>
      <c r="CR242" s="399">
        <v>3301.2136097722832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449.14537657285291</v>
      </c>
      <c r="DA242" s="399">
        <v>0</v>
      </c>
      <c r="DB242" s="399">
        <v>0</v>
      </c>
      <c r="DC242" s="399">
        <v>4210.3473082867495</v>
      </c>
      <c r="DD242" s="399">
        <v>0</v>
      </c>
      <c r="DE242" s="399">
        <v>0</v>
      </c>
      <c r="DF242" s="399">
        <v>0</v>
      </c>
      <c r="DG242" s="399">
        <v>407.60458698176717</v>
      </c>
      <c r="DH242" s="399">
        <v>0</v>
      </c>
      <c r="DI242" s="399">
        <v>-1552.8353073862563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-201.45590103049199</v>
      </c>
      <c r="DP242" s="399">
        <v>-11.592453652340403</v>
      </c>
      <c r="DQ242" s="399">
        <v>0</v>
      </c>
      <c r="DR242" s="399">
        <v>0</v>
      </c>
      <c r="DS242" s="399"/>
      <c r="DT242" s="399"/>
      <c r="DU242" s="399"/>
      <c r="DV242" s="399">
        <v>16570.86519363365</v>
      </c>
      <c r="DW242" s="399">
        <v>0</v>
      </c>
      <c r="DX242" s="399">
        <v>0</v>
      </c>
      <c r="DY242" s="399">
        <v>-4491.7159800000009</v>
      </c>
      <c r="DZ242" s="399">
        <v>4209.3474900000001</v>
      </c>
      <c r="EA242" s="399">
        <v>0</v>
      </c>
      <c r="EB242" s="399">
        <v>0</v>
      </c>
      <c r="EC242" s="399">
        <v>-3582.531645407671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2155.9108345356267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215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243</v>
      </c>
      <c r="B243" s="399" t="s">
        <v>2346</v>
      </c>
      <c r="C243" s="399" t="s">
        <v>2343</v>
      </c>
      <c r="D243" s="399" t="s">
        <v>1826</v>
      </c>
      <c r="E243" s="399" t="s">
        <v>890</v>
      </c>
      <c r="F243" s="399" t="s">
        <v>1239</v>
      </c>
      <c r="G243" s="399" t="s">
        <v>1239</v>
      </c>
      <c r="H243" s="399" t="s">
        <v>1239</v>
      </c>
      <c r="I243" s="399" t="s">
        <v>1239</v>
      </c>
      <c r="J243" s="399" t="s">
        <v>2344</v>
      </c>
      <c r="K243" s="791">
        <v>44593</v>
      </c>
      <c r="L243" s="399">
        <v>0</v>
      </c>
      <c r="M243" s="399">
        <v>0</v>
      </c>
      <c r="N243" s="399">
        <v>7.7480000000000002</v>
      </c>
      <c r="O243" s="399">
        <v>7.7480000000000002</v>
      </c>
      <c r="P243" s="399">
        <v>7.7480000000000002</v>
      </c>
      <c r="Q243" s="399">
        <v>7.7480000000000002</v>
      </c>
      <c r="R243" s="399"/>
      <c r="S243" s="399">
        <v>239.69</v>
      </c>
      <c r="T243" s="399">
        <v>171.61</v>
      </c>
      <c r="U243" s="399"/>
      <c r="V243" s="399">
        <v>3186.7524000000003</v>
      </c>
      <c r="W243" s="399">
        <v>3186.7524000000003</v>
      </c>
      <c r="X243" s="399">
        <v>3175.0529200000001</v>
      </c>
      <c r="Y243" s="399">
        <v>0</v>
      </c>
      <c r="Z243" s="399">
        <v>468.42315508357808</v>
      </c>
      <c r="AA243" s="399">
        <v>0</v>
      </c>
      <c r="AB243" s="399">
        <v>0</v>
      </c>
      <c r="AC243" s="399">
        <v>0</v>
      </c>
      <c r="AD243" s="399">
        <v>413.24727398282602</v>
      </c>
      <c r="AE243" s="399">
        <v>686.58689896883686</v>
      </c>
      <c r="AF243" s="399">
        <v>1281.3195162330042</v>
      </c>
      <c r="AG243" s="399">
        <v>48.31154562253387</v>
      </c>
      <c r="AH243" s="399">
        <v>0</v>
      </c>
      <c r="AI243" s="399">
        <v>0</v>
      </c>
      <c r="AJ243" s="399">
        <v>0</v>
      </c>
      <c r="AK243" s="399">
        <v>0</v>
      </c>
      <c r="AL243" s="399">
        <v>72.429162303376799</v>
      </c>
      <c r="AM243" s="399"/>
      <c r="AN243" s="399">
        <v>3.0686081564454786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124.04480532470693</v>
      </c>
      <c r="BH243" s="399">
        <v>0</v>
      </c>
      <c r="BI243" s="399">
        <v>0</v>
      </c>
      <c r="BJ243" s="399">
        <v>0</v>
      </c>
      <c r="BK243" s="399">
        <v>1490.31</v>
      </c>
      <c r="BL243" s="399">
        <v>5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1405.364321557711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3175.8724999999999</v>
      </c>
      <c r="CJ243" s="399">
        <v>-10.909900000000562</v>
      </c>
      <c r="CK243" s="399"/>
      <c r="CL243" s="399"/>
      <c r="CM243" s="399"/>
      <c r="CN243" s="399"/>
      <c r="CO243" s="399">
        <v>-186.10696000000007</v>
      </c>
      <c r="CP243" s="399">
        <v>174.40747999999994</v>
      </c>
      <c r="CQ243" s="399">
        <v>29</v>
      </c>
      <c r="CR243" s="399">
        <v>136.78042689274116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18.609609557732711</v>
      </c>
      <c r="DA243" s="399">
        <v>0</v>
      </c>
      <c r="DB243" s="399">
        <v>0</v>
      </c>
      <c r="DC243" s="399">
        <v>174.44890584765562</v>
      </c>
      <c r="DD243" s="399">
        <v>0</v>
      </c>
      <c r="DE243" s="399">
        <v>0</v>
      </c>
      <c r="DF243" s="399">
        <v>0</v>
      </c>
      <c r="DG243" s="399">
        <v>16.888434376305369</v>
      </c>
      <c r="DH243" s="399">
        <v>0</v>
      </c>
      <c r="DI243" s="399">
        <v>-64.339210164913766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-8.346998225574751</v>
      </c>
      <c r="DP243" s="399">
        <v>-0.48031449846434171</v>
      </c>
      <c r="DQ243" s="399">
        <v>0</v>
      </c>
      <c r="DR243" s="399">
        <v>0</v>
      </c>
      <c r="DS243" s="399"/>
      <c r="DT243" s="399"/>
      <c r="DU243" s="399"/>
      <c r="DV243" s="399">
        <v>686.58689896883686</v>
      </c>
      <c r="DW243" s="399">
        <v>0</v>
      </c>
      <c r="DX243" s="399">
        <v>0</v>
      </c>
      <c r="DY243" s="399">
        <v>-186.10696000000007</v>
      </c>
      <c r="DZ243" s="399">
        <v>174.40747999999985</v>
      </c>
      <c r="EA243" s="399">
        <v>0</v>
      </c>
      <c r="EB243" s="399">
        <v>0</v>
      </c>
      <c r="EC243" s="399">
        <v>-148.43638302139925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89.326665629131895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215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244</v>
      </c>
      <c r="B244" s="399" t="s">
        <v>956</v>
      </c>
      <c r="C244" s="399" t="s">
        <v>2351</v>
      </c>
      <c r="D244" s="399" t="s">
        <v>533</v>
      </c>
      <c r="E244" s="399" t="s">
        <v>890</v>
      </c>
      <c r="F244" s="399" t="s">
        <v>1239</v>
      </c>
      <c r="G244" s="399" t="s">
        <v>1239</v>
      </c>
      <c r="H244" s="399" t="s">
        <v>1239</v>
      </c>
      <c r="I244" s="399" t="s">
        <v>893</v>
      </c>
      <c r="J244" s="399" t="s">
        <v>2344</v>
      </c>
      <c r="K244" s="791">
        <v>44593</v>
      </c>
      <c r="L244" s="399">
        <v>19379</v>
      </c>
      <c r="M244" s="399">
        <v>19379</v>
      </c>
      <c r="N244" s="399">
        <v>868.18899999999996</v>
      </c>
      <c r="O244" s="399">
        <v>868.18899999999996</v>
      </c>
      <c r="P244" s="399">
        <v>868.18899999999996</v>
      </c>
      <c r="Q244" s="399">
        <v>868.18899999999996</v>
      </c>
      <c r="R244" s="399">
        <v>37.64</v>
      </c>
      <c r="S244" s="399">
        <v>78.42</v>
      </c>
      <c r="T244" s="399">
        <v>171.61</v>
      </c>
      <c r="U244" s="399">
        <v>729425.56</v>
      </c>
      <c r="V244" s="399">
        <v>217073.29567000002</v>
      </c>
      <c r="W244" s="399">
        <v>946498.85567000008</v>
      </c>
      <c r="X244" s="399">
        <v>884533.64256000007</v>
      </c>
      <c r="Y244" s="399">
        <v>0</v>
      </c>
      <c r="Z244" s="399">
        <v>45664.87514356029</v>
      </c>
      <c r="AA244" s="399">
        <v>0</v>
      </c>
      <c r="AB244" s="399">
        <v>0</v>
      </c>
      <c r="AC244" s="399">
        <v>0</v>
      </c>
      <c r="AD244" s="399">
        <v>316732.60952100961</v>
      </c>
      <c r="AE244" s="399">
        <v>412626.9588970659</v>
      </c>
      <c r="AF244" s="399">
        <v>143576.08537413727</v>
      </c>
      <c r="AG244" s="399">
        <v>5413.4683121427543</v>
      </c>
      <c r="AH244" s="399">
        <v>0</v>
      </c>
      <c r="AI244" s="399">
        <v>0</v>
      </c>
      <c r="AJ244" s="399">
        <v>0</v>
      </c>
      <c r="AK244" s="399">
        <v>0</v>
      </c>
      <c r="AL244" s="399">
        <v>8115.926947729271</v>
      </c>
      <c r="AM244" s="399"/>
      <c r="AN244" s="399">
        <v>229.25439961486583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>
        <v>0</v>
      </c>
      <c r="BG244" s="399">
        <v>5366.5269116975905</v>
      </c>
      <c r="BH244" s="399">
        <v>0</v>
      </c>
      <c r="BI244" s="399">
        <v>0</v>
      </c>
      <c r="BJ244" s="399">
        <v>0</v>
      </c>
      <c r="BK244" s="399">
        <v>0</v>
      </c>
      <c r="BL244" s="399">
        <v>0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>
        <v>148942.61228583485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884533.90760000015</v>
      </c>
      <c r="CJ244" s="399">
        <v>-61964.978069999954</v>
      </c>
      <c r="CK244" s="399"/>
      <c r="CL244" s="399"/>
      <c r="CM244" s="399"/>
      <c r="CN244" s="399"/>
      <c r="CO244" s="399">
        <v>-81508.147499999948</v>
      </c>
      <c r="CP244" s="399">
        <v>19542.934389999991</v>
      </c>
      <c r="CQ244" s="399">
        <v>29</v>
      </c>
      <c r="CR244" s="399">
        <v>27298.12912665552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14263.300857570139</v>
      </c>
      <c r="DA244" s="399">
        <v>0</v>
      </c>
      <c r="DB244" s="399">
        <v>0</v>
      </c>
      <c r="DC244" s="399">
        <v>19547.576293104037</v>
      </c>
      <c r="DD244" s="399">
        <v>0</v>
      </c>
      <c r="DE244" s="399">
        <v>0</v>
      </c>
      <c r="DF244" s="399">
        <v>0</v>
      </c>
      <c r="DG244" s="399">
        <v>730.64113680242735</v>
      </c>
      <c r="DH244" s="399">
        <v>0</v>
      </c>
      <c r="DI244" s="399">
        <v>-6272.1963402766123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-935.30873031279225</v>
      </c>
      <c r="DP244" s="399">
        <v>-35.884090231745262</v>
      </c>
      <c r="DQ244" s="399">
        <v>0</v>
      </c>
      <c r="DR244" s="399">
        <v>0</v>
      </c>
      <c r="DS244" s="399"/>
      <c r="DT244" s="399"/>
      <c r="DU244" s="399">
        <v>412626.9588970659</v>
      </c>
      <c r="DV244" s="399">
        <v>0</v>
      </c>
      <c r="DW244" s="399">
        <v>0</v>
      </c>
      <c r="DX244" s="399">
        <v>0</v>
      </c>
      <c r="DY244" s="399">
        <v>-81508.147500000079</v>
      </c>
      <c r="DZ244" s="399">
        <v>19542.93438999998</v>
      </c>
      <c r="EA244" s="399">
        <v>0</v>
      </c>
      <c r="EB244" s="399">
        <v>0</v>
      </c>
      <c r="EC244" s="399">
        <v>-89207.722151102498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8708.132782669647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215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245</v>
      </c>
      <c r="B245" s="399" t="s">
        <v>2346</v>
      </c>
      <c r="C245" s="399" t="s">
        <v>2351</v>
      </c>
      <c r="D245" s="399" t="s">
        <v>533</v>
      </c>
      <c r="E245" s="399" t="s">
        <v>890</v>
      </c>
      <c r="F245" s="399" t="s">
        <v>1239</v>
      </c>
      <c r="G245" s="399" t="s">
        <v>1239</v>
      </c>
      <c r="H245" s="399" t="s">
        <v>1239</v>
      </c>
      <c r="I245" s="399" t="s">
        <v>893</v>
      </c>
      <c r="J245" s="399" t="s">
        <v>2344</v>
      </c>
      <c r="K245" s="791">
        <v>44593</v>
      </c>
      <c r="L245" s="399">
        <v>1584</v>
      </c>
      <c r="M245" s="399">
        <v>1584</v>
      </c>
      <c r="N245" s="399">
        <v>78.759</v>
      </c>
      <c r="O245" s="399">
        <v>78.759</v>
      </c>
      <c r="P245" s="399">
        <v>78.759</v>
      </c>
      <c r="Q245" s="399">
        <v>78.759</v>
      </c>
      <c r="R245" s="399">
        <v>37.64</v>
      </c>
      <c r="S245" s="399">
        <v>78.42</v>
      </c>
      <c r="T245" s="399">
        <v>171.61</v>
      </c>
      <c r="U245" s="399">
        <v>59621.760000000002</v>
      </c>
      <c r="V245" s="399">
        <v>19692.11277</v>
      </c>
      <c r="W245" s="399">
        <v>79313.872770000002</v>
      </c>
      <c r="X245" s="399">
        <v>74365.965360000002</v>
      </c>
      <c r="Y245" s="399">
        <v>0</v>
      </c>
      <c r="Z245" s="399">
        <v>4142.5540998926099</v>
      </c>
      <c r="AA245" s="399">
        <v>0</v>
      </c>
      <c r="AB245" s="399">
        <v>0</v>
      </c>
      <c r="AC245" s="399">
        <v>0</v>
      </c>
      <c r="AD245" s="399">
        <v>25889.078563459374</v>
      </c>
      <c r="AE245" s="399">
        <v>33727.287419007815</v>
      </c>
      <c r="AF245" s="399">
        <v>13024.708799560554</v>
      </c>
      <c r="AG245" s="399">
        <v>491.09047776008583</v>
      </c>
      <c r="AH245" s="399">
        <v>0</v>
      </c>
      <c r="AI245" s="399">
        <v>0</v>
      </c>
      <c r="AJ245" s="399">
        <v>0</v>
      </c>
      <c r="AK245" s="399">
        <v>0</v>
      </c>
      <c r="AL245" s="399">
        <v>736.24785671807604</v>
      </c>
      <c r="AM245" s="399"/>
      <c r="AN245" s="399">
        <v>20.797138940100854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486.83212185179787</v>
      </c>
      <c r="BH245" s="399">
        <v>0</v>
      </c>
      <c r="BI245" s="399">
        <v>0</v>
      </c>
      <c r="BJ245" s="399">
        <v>0</v>
      </c>
      <c r="BK245" s="399">
        <v>0</v>
      </c>
      <c r="BL245" s="399">
        <v>0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13511.540921412352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74366.230400000015</v>
      </c>
      <c r="CJ245" s="399">
        <v>-4947.6723699999857</v>
      </c>
      <c r="CK245" s="399"/>
      <c r="CL245" s="399"/>
      <c r="CM245" s="399"/>
      <c r="CN245" s="399"/>
      <c r="CO245" s="399">
        <v>-6720.7724999999964</v>
      </c>
      <c r="CP245" s="399">
        <v>1772.8650899999993</v>
      </c>
      <c r="CQ245" s="399">
        <v>29</v>
      </c>
      <c r="CR245" s="399">
        <v>2348.3261552748008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1165.8531688111398</v>
      </c>
      <c r="DA245" s="399">
        <v>0</v>
      </c>
      <c r="DB245" s="399">
        <v>0</v>
      </c>
      <c r="DC245" s="399">
        <v>1773.2861868424752</v>
      </c>
      <c r="DD245" s="399">
        <v>0</v>
      </c>
      <c r="DE245" s="399">
        <v>0</v>
      </c>
      <c r="DF245" s="399">
        <v>0</v>
      </c>
      <c r="DG245" s="399">
        <v>66.28114994940313</v>
      </c>
      <c r="DH245" s="399">
        <v>0</v>
      </c>
      <c r="DI245" s="399">
        <v>-568.99121224047531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-84.847861802793204</v>
      </c>
      <c r="DP245" s="399">
        <v>-3.2552762849587218</v>
      </c>
      <c r="DQ245" s="399">
        <v>0</v>
      </c>
      <c r="DR245" s="399">
        <v>0</v>
      </c>
      <c r="DS245" s="399"/>
      <c r="DT245" s="399"/>
      <c r="DU245" s="399">
        <v>33727.287419007815</v>
      </c>
      <c r="DV245" s="399">
        <v>0</v>
      </c>
      <c r="DW245" s="399">
        <v>0</v>
      </c>
      <c r="DX245" s="399">
        <v>0</v>
      </c>
      <c r="DY245" s="399">
        <v>-6720.7724999999919</v>
      </c>
      <c r="DZ245" s="399">
        <v>1772.8650899999993</v>
      </c>
      <c r="EA245" s="399">
        <v>0</v>
      </c>
      <c r="EB245" s="399">
        <v>0</v>
      </c>
      <c r="EC245" s="399">
        <v>-7291.6575616567643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789.97065135618948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215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246</v>
      </c>
      <c r="B246" s="399" t="s">
        <v>956</v>
      </c>
      <c r="C246" s="399" t="s">
        <v>2351</v>
      </c>
      <c r="D246" s="399" t="s">
        <v>533</v>
      </c>
      <c r="E246" s="399" t="s">
        <v>890</v>
      </c>
      <c r="F246" s="399" t="s">
        <v>1239</v>
      </c>
      <c r="G246" s="399" t="s">
        <v>1239</v>
      </c>
      <c r="H246" s="399" t="s">
        <v>1239</v>
      </c>
      <c r="I246" s="399" t="s">
        <v>2326</v>
      </c>
      <c r="J246" s="399" t="s">
        <v>2344</v>
      </c>
      <c r="K246" s="791">
        <v>44593</v>
      </c>
      <c r="L246" s="399">
        <v>21523</v>
      </c>
      <c r="M246" s="399">
        <v>21523</v>
      </c>
      <c r="N246" s="399">
        <v>7562.3590000000004</v>
      </c>
      <c r="O246" s="399">
        <v>7562.3590000000004</v>
      </c>
      <c r="P246" s="399">
        <v>7562.3590000000004</v>
      </c>
      <c r="Q246" s="399">
        <v>7562.3590000000004</v>
      </c>
      <c r="R246" s="399">
        <v>12.58</v>
      </c>
      <c r="S246" s="399">
        <v>78.42</v>
      </c>
      <c r="T246" s="399">
        <v>171.61</v>
      </c>
      <c r="U246" s="399">
        <v>270759.34000000003</v>
      </c>
      <c r="V246" s="399">
        <v>1890816.6207700004</v>
      </c>
      <c r="W246" s="399">
        <v>2161575.9607700002</v>
      </c>
      <c r="X246" s="399">
        <v>2253779.19936</v>
      </c>
      <c r="Y246" s="399">
        <v>0</v>
      </c>
      <c r="Z246" s="399">
        <v>397763.82737604307</v>
      </c>
      <c r="AA246" s="399">
        <v>0</v>
      </c>
      <c r="AB246" s="399">
        <v>0</v>
      </c>
      <c r="AC246" s="399">
        <v>0</v>
      </c>
      <c r="AD246" s="399">
        <v>142642.37869028497</v>
      </c>
      <c r="AE246" s="399">
        <v>128055.5873538609</v>
      </c>
      <c r="AF246" s="399">
        <v>1250619.2792282272</v>
      </c>
      <c r="AG246" s="399">
        <v>47154.007723603463</v>
      </c>
      <c r="AH246" s="399">
        <v>0</v>
      </c>
      <c r="AI246" s="399">
        <v>0</v>
      </c>
      <c r="AJ246" s="399">
        <v>0</v>
      </c>
      <c r="AK246" s="399">
        <v>0</v>
      </c>
      <c r="AL246" s="399">
        <v>70693.769670547525</v>
      </c>
      <c r="AM246" s="399"/>
      <c r="AN246" s="399">
        <v>1996.920108659609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46745.124724476445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>
        <v>1297364.4039527036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2253779.4643999999</v>
      </c>
      <c r="CJ246" s="399">
        <v>92203.473629999906</v>
      </c>
      <c r="CK246" s="399"/>
      <c r="CL246" s="399"/>
      <c r="CM246" s="399"/>
      <c r="CN246" s="399"/>
      <c r="CO246" s="399">
        <v>-78025.462500000009</v>
      </c>
      <c r="CP246" s="399">
        <v>170228.70108999993</v>
      </c>
      <c r="CQ246" s="399">
        <v>29</v>
      </c>
      <c r="CR246" s="399">
        <v>119963.41311378404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6423.5607611600426</v>
      </c>
      <c r="DA246" s="399">
        <v>0</v>
      </c>
      <c r="DB246" s="399">
        <v>0</v>
      </c>
      <c r="DC246" s="399">
        <v>170269.13438012009</v>
      </c>
      <c r="DD246" s="399">
        <v>0</v>
      </c>
      <c r="DE246" s="399">
        <v>0</v>
      </c>
      <c r="DF246" s="399">
        <v>0</v>
      </c>
      <c r="DG246" s="399">
        <v>6364.2485411218877</v>
      </c>
      <c r="DH246" s="399">
        <v>0</v>
      </c>
      <c r="DI246" s="399">
        <v>-54633.956942161138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-8147.0053115848204</v>
      </c>
      <c r="DP246" s="399">
        <v>-312.56831487251134</v>
      </c>
      <c r="DQ246" s="399">
        <v>0</v>
      </c>
      <c r="DR246" s="399">
        <v>0</v>
      </c>
      <c r="DS246" s="399"/>
      <c r="DT246" s="399"/>
      <c r="DU246" s="399">
        <v>128055.5873538609</v>
      </c>
      <c r="DV246" s="399">
        <v>0</v>
      </c>
      <c r="DW246" s="399">
        <v>0</v>
      </c>
      <c r="DX246" s="399">
        <v>0</v>
      </c>
      <c r="DY246" s="399">
        <v>-78025.462499999907</v>
      </c>
      <c r="DZ246" s="399">
        <v>170228.70108999987</v>
      </c>
      <c r="EA246" s="399">
        <v>0</v>
      </c>
      <c r="EB246" s="399">
        <v>0</v>
      </c>
      <c r="EC246" s="399">
        <v>-27684.927051529259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75852.17771961735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215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247</v>
      </c>
      <c r="B247" s="399" t="s">
        <v>2346</v>
      </c>
      <c r="C247" s="399" t="s">
        <v>2351</v>
      </c>
      <c r="D247" s="399" t="s">
        <v>533</v>
      </c>
      <c r="E247" s="399" t="s">
        <v>890</v>
      </c>
      <c r="F247" s="399" t="s">
        <v>1239</v>
      </c>
      <c r="G247" s="399" t="s">
        <v>1239</v>
      </c>
      <c r="H247" s="399" t="s">
        <v>1239</v>
      </c>
      <c r="I247" s="399" t="s">
        <v>2326</v>
      </c>
      <c r="J247" s="399" t="s">
        <v>2344</v>
      </c>
      <c r="K247" s="791">
        <v>44593</v>
      </c>
      <c r="L247" s="399">
        <v>2035</v>
      </c>
      <c r="M247" s="399">
        <v>2035</v>
      </c>
      <c r="N247" s="399">
        <v>679.11199999999997</v>
      </c>
      <c r="O247" s="399">
        <v>679.11199999999997</v>
      </c>
      <c r="P247" s="399">
        <v>679.11199999999997</v>
      </c>
      <c r="Q247" s="399">
        <v>679.11199999999997</v>
      </c>
      <c r="R247" s="399">
        <v>12.58</v>
      </c>
      <c r="S247" s="399">
        <v>78.42</v>
      </c>
      <c r="T247" s="399">
        <v>171.61</v>
      </c>
      <c r="U247" s="399">
        <v>25600.3</v>
      </c>
      <c r="V247" s="399">
        <v>169798.37336</v>
      </c>
      <c r="W247" s="399">
        <v>195398.67336000002</v>
      </c>
      <c r="X247" s="399">
        <v>203577.49447999999</v>
      </c>
      <c r="Y247" s="399">
        <v>0</v>
      </c>
      <c r="Z247" s="399">
        <v>35719.831382905701</v>
      </c>
      <c r="AA247" s="399">
        <v>0</v>
      </c>
      <c r="AB247" s="399">
        <v>0</v>
      </c>
      <c r="AC247" s="399">
        <v>0</v>
      </c>
      <c r="AD247" s="399">
        <v>13486.839224770243</v>
      </c>
      <c r="AE247" s="399">
        <v>12107.657866705707</v>
      </c>
      <c r="AF247" s="399">
        <v>112307.62252297727</v>
      </c>
      <c r="AG247" s="399">
        <v>4234.5057267437041</v>
      </c>
      <c r="AH247" s="399">
        <v>0</v>
      </c>
      <c r="AI247" s="399">
        <v>0</v>
      </c>
      <c r="AJ247" s="399">
        <v>0</v>
      </c>
      <c r="AK247" s="399">
        <v>0</v>
      </c>
      <c r="AL247" s="399">
        <v>6348.4142062688197</v>
      </c>
      <c r="AM247" s="399"/>
      <c r="AN247" s="399">
        <v>179.32663720831613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4197.787375855688</v>
      </c>
      <c r="BH247" s="399">
        <v>0</v>
      </c>
      <c r="BI247" s="399">
        <v>0</v>
      </c>
      <c r="BJ247" s="399">
        <v>0</v>
      </c>
      <c r="BK247" s="399">
        <v>0</v>
      </c>
      <c r="BL247" s="399">
        <v>0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>
        <v>116505.40989883295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203576.9644</v>
      </c>
      <c r="CJ247" s="399">
        <v>8178.261039999983</v>
      </c>
      <c r="CK247" s="399"/>
      <c r="CL247" s="399"/>
      <c r="CM247" s="399"/>
      <c r="CN247" s="399"/>
      <c r="CO247" s="399">
        <v>-7107.9900000000007</v>
      </c>
      <c r="CP247" s="399">
        <v>15286.811119999993</v>
      </c>
      <c r="CQ247" s="399">
        <v>29</v>
      </c>
      <c r="CR247" s="399">
        <v>10803.409110695735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607.34777442552877</v>
      </c>
      <c r="DA247" s="399">
        <v>0</v>
      </c>
      <c r="DB247" s="399">
        <v>0</v>
      </c>
      <c r="DC247" s="399">
        <v>15290.442094477679</v>
      </c>
      <c r="DD247" s="399">
        <v>0</v>
      </c>
      <c r="DE247" s="399">
        <v>0</v>
      </c>
      <c r="DF247" s="399">
        <v>0</v>
      </c>
      <c r="DG247" s="399">
        <v>571.51975398924696</v>
      </c>
      <c r="DH247" s="399">
        <v>0</v>
      </c>
      <c r="DI247" s="399">
        <v>-4906.2171958386207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-731.61417900961715</v>
      </c>
      <c r="DP247" s="399">
        <v>-28.069137348504739</v>
      </c>
      <c r="DQ247" s="399">
        <v>0</v>
      </c>
      <c r="DR247" s="399">
        <v>0</v>
      </c>
      <c r="DS247" s="399"/>
      <c r="DT247" s="399"/>
      <c r="DU247" s="399">
        <v>12107.657866705707</v>
      </c>
      <c r="DV247" s="399">
        <v>0</v>
      </c>
      <c r="DW247" s="399">
        <v>0</v>
      </c>
      <c r="DX247" s="399">
        <v>0</v>
      </c>
      <c r="DY247" s="399">
        <v>-7107.9899999999907</v>
      </c>
      <c r="DZ247" s="399">
        <v>15286.811119999984</v>
      </c>
      <c r="EA247" s="399">
        <v>0</v>
      </c>
      <c r="EB247" s="399">
        <v>0</v>
      </c>
      <c r="EC247" s="399">
        <v>-2617.6103029253372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6811.6475448368383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215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248</v>
      </c>
      <c r="B248" s="399" t="s">
        <v>956</v>
      </c>
      <c r="C248" s="399" t="s">
        <v>2351</v>
      </c>
      <c r="D248" s="399" t="s">
        <v>533</v>
      </c>
      <c r="E248" s="399" t="s">
        <v>890</v>
      </c>
      <c r="F248" s="399" t="s">
        <v>1239</v>
      </c>
      <c r="G248" s="399" t="s">
        <v>1239</v>
      </c>
      <c r="H248" s="399" t="s">
        <v>1239</v>
      </c>
      <c r="I248" s="399" t="s">
        <v>1239</v>
      </c>
      <c r="J248" s="399" t="s">
        <v>2344</v>
      </c>
      <c r="K248" s="791">
        <v>44593</v>
      </c>
      <c r="L248" s="399">
        <v>0</v>
      </c>
      <c r="M248" s="399">
        <v>0</v>
      </c>
      <c r="N248" s="399">
        <v>0</v>
      </c>
      <c r="O248" s="399">
        <v>0</v>
      </c>
      <c r="P248" s="399">
        <v>0</v>
      </c>
      <c r="Q248" s="399">
        <v>0</v>
      </c>
      <c r="R248" s="399"/>
      <c r="S248" s="399"/>
      <c r="T248" s="399"/>
      <c r="U248" s="399"/>
      <c r="V248" s="399"/>
      <c r="W248" s="399"/>
      <c r="X248" s="399"/>
      <c r="Y248" s="399"/>
      <c r="Z248" s="399"/>
      <c r="AA248" s="399">
        <v>0</v>
      </c>
      <c r="AB248" s="399"/>
      <c r="AC248" s="399"/>
      <c r="AD248" s="399"/>
      <c r="AE248" s="399"/>
      <c r="AF248" s="399"/>
      <c r="AG248" s="399"/>
      <c r="AH248" s="399"/>
      <c r="AI248" s="399"/>
      <c r="AJ248" s="399"/>
      <c r="AK248" s="399"/>
      <c r="AL248" s="399"/>
      <c r="AM248" s="399"/>
      <c r="AN248" s="399"/>
      <c r="AO248" s="399"/>
      <c r="AP248" s="399"/>
      <c r="AQ248" s="399"/>
      <c r="AR248" s="399"/>
      <c r="AS248" s="399"/>
      <c r="AT248" s="399"/>
      <c r="AU248" s="399"/>
      <c r="AV248" s="399"/>
      <c r="AW248" s="399"/>
      <c r="AX248" s="399"/>
      <c r="AY248" s="399"/>
      <c r="AZ248" s="399">
        <v>0</v>
      </c>
      <c r="BA248" s="399"/>
      <c r="BB248" s="399"/>
      <c r="BC248" s="399"/>
      <c r="BD248" s="399"/>
      <c r="BE248" s="399"/>
      <c r="BF248" s="399"/>
      <c r="BG248" s="399"/>
      <c r="BH248" s="399"/>
      <c r="BI248" s="399">
        <v>0</v>
      </c>
      <c r="BJ248" s="399">
        <v>0</v>
      </c>
      <c r="BK248" s="399">
        <v>1431733.06</v>
      </c>
      <c r="BL248" s="399">
        <v>22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/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/>
      <c r="CJ248" s="399">
        <v>-0.03</v>
      </c>
      <c r="CK248" s="399"/>
      <c r="CL248" s="399"/>
      <c r="CM248" s="399"/>
      <c r="CN248" s="399"/>
      <c r="CO248" s="399">
        <v>0</v>
      </c>
      <c r="CP248" s="399">
        <v>0</v>
      </c>
      <c r="CQ248" s="399">
        <v>29</v>
      </c>
      <c r="CR248" s="399"/>
      <c r="CS248" s="399"/>
      <c r="CT248" s="399"/>
      <c r="CU248" s="399"/>
      <c r="CV248" s="399"/>
      <c r="CW248" s="399"/>
      <c r="CX248" s="399"/>
      <c r="CY248" s="399"/>
      <c r="CZ248" s="399"/>
      <c r="DA248" s="399"/>
      <c r="DB248" s="399"/>
      <c r="DC248" s="399"/>
      <c r="DD248" s="399"/>
      <c r="DE248" s="399"/>
      <c r="DF248" s="399"/>
      <c r="DG248" s="399"/>
      <c r="DH248" s="399"/>
      <c r="DI248" s="399"/>
      <c r="DJ248" s="399"/>
      <c r="DK248" s="399">
        <v>0</v>
      </c>
      <c r="DL248" s="399"/>
      <c r="DM248" s="399"/>
      <c r="DN248" s="399"/>
      <c r="DO248" s="399"/>
      <c r="DP248" s="399"/>
      <c r="DQ248" s="399"/>
      <c r="DR248" s="399"/>
      <c r="DS248" s="399"/>
      <c r="DT248" s="399"/>
      <c r="DU248" s="399"/>
      <c r="DV248" s="399"/>
      <c r="DW248" s="399"/>
      <c r="DX248" s="399"/>
      <c r="DY248" s="399"/>
      <c r="DZ248" s="399"/>
      <c r="EA248" s="399"/>
      <c r="EB248" s="399"/>
      <c r="EC248" s="399"/>
      <c r="ED248" s="399"/>
      <c r="EE248" s="399"/>
      <c r="EF248" s="399"/>
      <c r="EG248" s="399"/>
      <c r="EH248" s="399"/>
      <c r="EI248" s="399"/>
      <c r="EJ248" s="399"/>
      <c r="EK248" s="399"/>
      <c r="EL248" s="399"/>
      <c r="EM248" s="399"/>
      <c r="EN248" s="399"/>
      <c r="EO248" s="399"/>
      <c r="EP248" s="399"/>
      <c r="EQ248" s="399"/>
      <c r="ER248" s="399"/>
      <c r="ES248" s="399"/>
      <c r="ET248" s="399"/>
      <c r="EU248" s="399"/>
      <c r="EV248" s="399">
        <v>215</v>
      </c>
      <c r="EW248" s="399"/>
      <c r="EX248" s="399"/>
      <c r="EY248" s="399"/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249</v>
      </c>
      <c r="B249" s="399" t="s">
        <v>2346</v>
      </c>
      <c r="C249" s="399" t="s">
        <v>2351</v>
      </c>
      <c r="D249" s="399" t="s">
        <v>533</v>
      </c>
      <c r="E249" s="399" t="s">
        <v>890</v>
      </c>
      <c r="F249" s="399" t="s">
        <v>1239</v>
      </c>
      <c r="G249" s="399" t="s">
        <v>1239</v>
      </c>
      <c r="H249" s="399" t="s">
        <v>1239</v>
      </c>
      <c r="I249" s="399" t="s">
        <v>1239</v>
      </c>
      <c r="J249" s="399" t="s">
        <v>2344</v>
      </c>
      <c r="K249" s="791">
        <v>44593</v>
      </c>
      <c r="L249" s="399">
        <v>0</v>
      </c>
      <c r="M249" s="399">
        <v>0</v>
      </c>
      <c r="N249" s="399">
        <v>0</v>
      </c>
      <c r="O249" s="399">
        <v>0</v>
      </c>
      <c r="P249" s="399">
        <v>0</v>
      </c>
      <c r="Q249" s="399">
        <v>0</v>
      </c>
      <c r="R249" s="399"/>
      <c r="S249" s="399"/>
      <c r="T249" s="399"/>
      <c r="U249" s="399"/>
      <c r="V249" s="399"/>
      <c r="W249" s="399"/>
      <c r="X249" s="399"/>
      <c r="Y249" s="399"/>
      <c r="Z249" s="399"/>
      <c r="AA249" s="399">
        <v>0</v>
      </c>
      <c r="AB249" s="399"/>
      <c r="AC249" s="399"/>
      <c r="AD249" s="399"/>
      <c r="AE249" s="399"/>
      <c r="AF249" s="399"/>
      <c r="AG249" s="399"/>
      <c r="AH249" s="399"/>
      <c r="AI249" s="399"/>
      <c r="AJ249" s="399"/>
      <c r="AK249" s="399"/>
      <c r="AL249" s="399"/>
      <c r="AM249" s="399"/>
      <c r="AN249" s="399"/>
      <c r="AO249" s="399"/>
      <c r="AP249" s="399"/>
      <c r="AQ249" s="399"/>
      <c r="AR249" s="399"/>
      <c r="AS249" s="399"/>
      <c r="AT249" s="399"/>
      <c r="AU249" s="399"/>
      <c r="AV249" s="399"/>
      <c r="AW249" s="399"/>
      <c r="AX249" s="399"/>
      <c r="AY249" s="399"/>
      <c r="AZ249" s="399">
        <v>0</v>
      </c>
      <c r="BA249" s="399"/>
      <c r="BB249" s="399"/>
      <c r="BC249" s="399"/>
      <c r="BD249" s="399"/>
      <c r="BE249" s="399"/>
      <c r="BF249" s="399"/>
      <c r="BG249" s="399"/>
      <c r="BH249" s="399"/>
      <c r="BI249" s="399">
        <v>0</v>
      </c>
      <c r="BJ249" s="399">
        <v>0</v>
      </c>
      <c r="BK249" s="399">
        <v>128488.68</v>
      </c>
      <c r="BL249" s="399">
        <v>3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/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/>
      <c r="CJ249" s="399">
        <v>-0.03</v>
      </c>
      <c r="CK249" s="399"/>
      <c r="CL249" s="399"/>
      <c r="CM249" s="399"/>
      <c r="CN249" s="399"/>
      <c r="CO249" s="399">
        <v>0</v>
      </c>
      <c r="CP249" s="399">
        <v>0</v>
      </c>
      <c r="CQ249" s="399">
        <v>29</v>
      </c>
      <c r="CR249" s="399"/>
      <c r="CS249" s="399"/>
      <c r="CT249" s="399"/>
      <c r="CU249" s="399"/>
      <c r="CV249" s="399"/>
      <c r="CW249" s="399"/>
      <c r="CX249" s="399"/>
      <c r="CY249" s="399"/>
      <c r="CZ249" s="399"/>
      <c r="DA249" s="399"/>
      <c r="DB249" s="399"/>
      <c r="DC249" s="399"/>
      <c r="DD249" s="399"/>
      <c r="DE249" s="399"/>
      <c r="DF249" s="399"/>
      <c r="DG249" s="399"/>
      <c r="DH249" s="399"/>
      <c r="DI249" s="399"/>
      <c r="DJ249" s="399"/>
      <c r="DK249" s="399">
        <v>0</v>
      </c>
      <c r="DL249" s="399"/>
      <c r="DM249" s="399"/>
      <c r="DN249" s="399"/>
      <c r="DO249" s="399"/>
      <c r="DP249" s="399"/>
      <c r="DQ249" s="399"/>
      <c r="DR249" s="399"/>
      <c r="DS249" s="399"/>
      <c r="DT249" s="399"/>
      <c r="DU249" s="399"/>
      <c r="DV249" s="399"/>
      <c r="DW249" s="399"/>
      <c r="DX249" s="399"/>
      <c r="DY249" s="399"/>
      <c r="DZ249" s="399"/>
      <c r="EA249" s="399"/>
      <c r="EB249" s="399"/>
      <c r="EC249" s="399"/>
      <c r="ED249" s="399"/>
      <c r="EE249" s="399"/>
      <c r="EF249" s="399"/>
      <c r="EG249" s="399"/>
      <c r="EH249" s="399"/>
      <c r="EI249" s="399"/>
      <c r="EJ249" s="399"/>
      <c r="EK249" s="399"/>
      <c r="EL249" s="399"/>
      <c r="EM249" s="399"/>
      <c r="EN249" s="399"/>
      <c r="EO249" s="399"/>
      <c r="EP249" s="399"/>
      <c r="EQ249" s="399"/>
      <c r="ER249" s="399"/>
      <c r="ES249" s="399"/>
      <c r="ET249" s="399"/>
      <c r="EU249" s="399"/>
      <c r="EV249" s="399">
        <v>215</v>
      </c>
      <c r="EW249" s="399"/>
      <c r="EX249" s="399"/>
      <c r="EY249" s="399"/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250</v>
      </c>
      <c r="B250" s="399" t="s">
        <v>956</v>
      </c>
      <c r="C250" s="399" t="s">
        <v>2352</v>
      </c>
      <c r="D250" s="399" t="s">
        <v>533</v>
      </c>
      <c r="E250" s="399" t="s">
        <v>890</v>
      </c>
      <c r="F250" s="399" t="s">
        <v>1239</v>
      </c>
      <c r="G250" s="399" t="s">
        <v>1239</v>
      </c>
      <c r="H250" s="399" t="s">
        <v>1239</v>
      </c>
      <c r="I250" s="399" t="s">
        <v>893</v>
      </c>
      <c r="J250" s="399" t="s">
        <v>2344</v>
      </c>
      <c r="K250" s="791">
        <v>44593</v>
      </c>
      <c r="L250" s="399">
        <v>0</v>
      </c>
      <c r="M250" s="399">
        <v>0</v>
      </c>
      <c r="N250" s="399">
        <v>164.81</v>
      </c>
      <c r="O250" s="399">
        <v>164.81</v>
      </c>
      <c r="P250" s="399">
        <v>164.81</v>
      </c>
      <c r="Q250" s="399">
        <v>164.81</v>
      </c>
      <c r="R250" s="399"/>
      <c r="S250" s="399">
        <v>984.21</v>
      </c>
      <c r="T250" s="399">
        <v>171.61</v>
      </c>
      <c r="U250" s="399"/>
      <c r="V250" s="399">
        <v>190490.6942</v>
      </c>
      <c r="W250" s="399">
        <v>190490.6942</v>
      </c>
      <c r="X250" s="399">
        <v>177640.45850000001</v>
      </c>
      <c r="Y250" s="399">
        <v>0</v>
      </c>
      <c r="Z250" s="399">
        <v>8668.6517249241479</v>
      </c>
      <c r="AA250" s="399">
        <v>0</v>
      </c>
      <c r="AB250" s="399">
        <v>0</v>
      </c>
      <c r="AC250" s="399">
        <v>0</v>
      </c>
      <c r="AD250" s="399">
        <v>64887.125144548787</v>
      </c>
      <c r="AE250" s="399">
        <v>84396.254330379001</v>
      </c>
      <c r="AF250" s="399">
        <v>27255.326467522122</v>
      </c>
      <c r="AG250" s="399">
        <v>1027.6491783750396</v>
      </c>
      <c r="AH250" s="399">
        <v>0</v>
      </c>
      <c r="AI250" s="399">
        <v>0</v>
      </c>
      <c r="AJ250" s="399">
        <v>0</v>
      </c>
      <c r="AK250" s="399">
        <v>0</v>
      </c>
      <c r="AL250" s="399">
        <v>1540.6621372250295</v>
      </c>
      <c r="AM250" s="399"/>
      <c r="AN250" s="399">
        <v>43.519806862936576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1018.7382013788241</v>
      </c>
      <c r="BH250" s="399">
        <v>0</v>
      </c>
      <c r="BI250" s="399">
        <v>0</v>
      </c>
      <c r="BJ250" s="399">
        <v>0</v>
      </c>
      <c r="BK250" s="399">
        <v>0</v>
      </c>
      <c r="BL250" s="399">
        <v>0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>
        <v>28274.064668900945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177640.45850000001</v>
      </c>
      <c r="CJ250" s="399">
        <v>-12850.265700000018</v>
      </c>
      <c r="CK250" s="399"/>
      <c r="CL250" s="399"/>
      <c r="CM250" s="399"/>
      <c r="CN250" s="399"/>
      <c r="CO250" s="399">
        <v>-16560.108800000002</v>
      </c>
      <c r="CP250" s="399">
        <v>3709.8730999999984</v>
      </c>
      <c r="CQ250" s="399">
        <v>29</v>
      </c>
      <c r="CR250" s="399">
        <v>5396.4642851530225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2922.0375796453882</v>
      </c>
      <c r="DA250" s="399">
        <v>0</v>
      </c>
      <c r="DB250" s="399">
        <v>0</v>
      </c>
      <c r="DC250" s="399">
        <v>3710.7542814600056</v>
      </c>
      <c r="DD250" s="399">
        <v>0</v>
      </c>
      <c r="DE250" s="399">
        <v>0</v>
      </c>
      <c r="DF250" s="399">
        <v>0</v>
      </c>
      <c r="DG250" s="399">
        <v>138.69902262803146</v>
      </c>
      <c r="DH250" s="399">
        <v>0</v>
      </c>
      <c r="DI250" s="399">
        <v>-1190.6631837549066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-177.55146845082254</v>
      </c>
      <c r="DP250" s="399">
        <v>-6.8119463746879276</v>
      </c>
      <c r="DQ250" s="399">
        <v>0</v>
      </c>
      <c r="DR250" s="399">
        <v>0</v>
      </c>
      <c r="DS250" s="399"/>
      <c r="DT250" s="399"/>
      <c r="DU250" s="399"/>
      <c r="DV250" s="399">
        <v>84396.254330379001</v>
      </c>
      <c r="DW250" s="399">
        <v>0</v>
      </c>
      <c r="DX250" s="399">
        <v>0</v>
      </c>
      <c r="DY250" s="399">
        <v>-16560.108799999987</v>
      </c>
      <c r="DZ250" s="399">
        <v>3709.8730999999971</v>
      </c>
      <c r="EA250" s="399">
        <v>0</v>
      </c>
      <c r="EB250" s="399">
        <v>0</v>
      </c>
      <c r="EC250" s="399">
        <v>-18246.01481934794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1653.0817182799883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215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251</v>
      </c>
      <c r="B251" s="399" t="s">
        <v>2346</v>
      </c>
      <c r="C251" s="399" t="s">
        <v>2352</v>
      </c>
      <c r="D251" s="399" t="s">
        <v>533</v>
      </c>
      <c r="E251" s="399" t="s">
        <v>890</v>
      </c>
      <c r="F251" s="399" t="s">
        <v>1239</v>
      </c>
      <c r="G251" s="399" t="s">
        <v>1239</v>
      </c>
      <c r="H251" s="399" t="s">
        <v>1239</v>
      </c>
      <c r="I251" s="399" t="s">
        <v>893</v>
      </c>
      <c r="J251" s="399" t="s">
        <v>2344</v>
      </c>
      <c r="K251" s="791">
        <v>44593</v>
      </c>
      <c r="L251" s="399">
        <v>0</v>
      </c>
      <c r="M251" s="399">
        <v>0</v>
      </c>
      <c r="N251" s="399">
        <v>1.091</v>
      </c>
      <c r="O251" s="399">
        <v>1.091</v>
      </c>
      <c r="P251" s="399">
        <v>1.091</v>
      </c>
      <c r="Q251" s="399">
        <v>1.091</v>
      </c>
      <c r="R251" s="399"/>
      <c r="S251" s="399">
        <v>984.21</v>
      </c>
      <c r="T251" s="399">
        <v>171.61</v>
      </c>
      <c r="U251" s="399"/>
      <c r="V251" s="399">
        <v>1260.99962</v>
      </c>
      <c r="W251" s="399">
        <v>1260.99962</v>
      </c>
      <c r="X251" s="399">
        <v>1175.93435</v>
      </c>
      <c r="Y251" s="399">
        <v>0</v>
      </c>
      <c r="Z251" s="399">
        <v>57.384254789710852</v>
      </c>
      <c r="AA251" s="399">
        <v>0</v>
      </c>
      <c r="AB251" s="399">
        <v>0</v>
      </c>
      <c r="AC251" s="399">
        <v>0</v>
      </c>
      <c r="AD251" s="399">
        <v>429.53615395123308</v>
      </c>
      <c r="AE251" s="399">
        <v>558.6815938016108</v>
      </c>
      <c r="AF251" s="399">
        <v>180.42328242258742</v>
      </c>
      <c r="AG251" s="399">
        <v>6.8027744287796139</v>
      </c>
      <c r="AH251" s="399">
        <v>0</v>
      </c>
      <c r="AI251" s="399">
        <v>0</v>
      </c>
      <c r="AJ251" s="399">
        <v>0</v>
      </c>
      <c r="AK251" s="399">
        <v>0</v>
      </c>
      <c r="AL251" s="399">
        <v>10.198788858154888</v>
      </c>
      <c r="AM251" s="399"/>
      <c r="AN251" s="399">
        <v>0.28808997808060066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6.7437860427419274</v>
      </c>
      <c r="BH251" s="399">
        <v>0</v>
      </c>
      <c r="BI251" s="399">
        <v>0</v>
      </c>
      <c r="BJ251" s="399">
        <v>0</v>
      </c>
      <c r="BK251" s="399">
        <v>0</v>
      </c>
      <c r="BL251" s="399">
        <v>0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>
        <v>187.16706846532935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1174.8565000000001</v>
      </c>
      <c r="CJ251" s="399">
        <v>-86.173119999999926</v>
      </c>
      <c r="CK251" s="399"/>
      <c r="CL251" s="399"/>
      <c r="CM251" s="399"/>
      <c r="CN251" s="399"/>
      <c r="CO251" s="399">
        <v>-109.62368000000002</v>
      </c>
      <c r="CP251" s="399">
        <v>24.558409999999988</v>
      </c>
      <c r="CQ251" s="399">
        <v>29</v>
      </c>
      <c r="CR251" s="399">
        <v>35.72321178995162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19.343140582447177</v>
      </c>
      <c r="DA251" s="399">
        <v>0</v>
      </c>
      <c r="DB251" s="399">
        <v>0</v>
      </c>
      <c r="DC251" s="399">
        <v>24.564243195636578</v>
      </c>
      <c r="DD251" s="399">
        <v>0</v>
      </c>
      <c r="DE251" s="399">
        <v>0</v>
      </c>
      <c r="DF251" s="399">
        <v>0</v>
      </c>
      <c r="DG251" s="399">
        <v>0.9181520155766183</v>
      </c>
      <c r="DH251" s="399">
        <v>0</v>
      </c>
      <c r="DI251" s="399">
        <v>-7.8818854042631088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-1.1753452586605633</v>
      </c>
      <c r="DP251" s="399">
        <v>-4.5093340785052616E-2</v>
      </c>
      <c r="DQ251" s="399">
        <v>0</v>
      </c>
      <c r="DR251" s="399">
        <v>0</v>
      </c>
      <c r="DS251" s="399"/>
      <c r="DT251" s="399"/>
      <c r="DU251" s="399"/>
      <c r="DV251" s="399">
        <v>558.6815938016108</v>
      </c>
      <c r="DW251" s="399">
        <v>0</v>
      </c>
      <c r="DX251" s="399">
        <v>0</v>
      </c>
      <c r="DY251" s="399">
        <v>-109.62368000000015</v>
      </c>
      <c r="DZ251" s="399">
        <v>24.558409999999981</v>
      </c>
      <c r="EA251" s="399">
        <v>0</v>
      </c>
      <c r="EB251" s="399">
        <v>0</v>
      </c>
      <c r="EC251" s="399">
        <v>-120.7839461677604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10.942977699432481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215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252</v>
      </c>
      <c r="B252" s="399" t="s">
        <v>956</v>
      </c>
      <c r="C252" s="399" t="s">
        <v>2352</v>
      </c>
      <c r="D252" s="399" t="s">
        <v>533</v>
      </c>
      <c r="E252" s="399" t="s">
        <v>890</v>
      </c>
      <c r="F252" s="399" t="s">
        <v>1239</v>
      </c>
      <c r="G252" s="399" t="s">
        <v>1239</v>
      </c>
      <c r="H252" s="399" t="s">
        <v>1239</v>
      </c>
      <c r="I252" s="399" t="s">
        <v>2326</v>
      </c>
      <c r="J252" s="399" t="s">
        <v>2344</v>
      </c>
      <c r="K252" s="791">
        <v>44593</v>
      </c>
      <c r="L252" s="399">
        <v>0</v>
      </c>
      <c r="M252" s="399">
        <v>0</v>
      </c>
      <c r="N252" s="399">
        <v>1894.89</v>
      </c>
      <c r="O252" s="399">
        <v>1894.89</v>
      </c>
      <c r="P252" s="399">
        <v>1894.89</v>
      </c>
      <c r="Q252" s="399">
        <v>1894.89</v>
      </c>
      <c r="R252" s="399"/>
      <c r="S252" s="399">
        <v>78.42</v>
      </c>
      <c r="T252" s="399">
        <v>171.61</v>
      </c>
      <c r="U252" s="399"/>
      <c r="V252" s="399">
        <v>473779.34670000005</v>
      </c>
      <c r="W252" s="399">
        <v>473779.34670000005</v>
      </c>
      <c r="X252" s="399">
        <v>502221.64560000005</v>
      </c>
      <c r="Y252" s="399">
        <v>0</v>
      </c>
      <c r="Z252" s="399">
        <v>99667.140750206425</v>
      </c>
      <c r="AA252" s="399">
        <v>0</v>
      </c>
      <c r="AB252" s="399">
        <v>0</v>
      </c>
      <c r="AC252" s="399">
        <v>0</v>
      </c>
      <c r="AD252" s="399">
        <v>0</v>
      </c>
      <c r="AE252" s="399">
        <v>0</v>
      </c>
      <c r="AF252" s="399">
        <v>313365.97032973118</v>
      </c>
      <c r="AG252" s="399">
        <v>11815.315524610636</v>
      </c>
      <c r="AH252" s="399">
        <v>0</v>
      </c>
      <c r="AI252" s="399">
        <v>0</v>
      </c>
      <c r="AJ252" s="399">
        <v>0</v>
      </c>
      <c r="AK252" s="399">
        <v>0</v>
      </c>
      <c r="AL252" s="399">
        <v>17713.641631007442</v>
      </c>
      <c r="AM252" s="399"/>
      <c r="AN252" s="399">
        <v>500.36555322195187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11712.862268131303</v>
      </c>
      <c r="BH252" s="399">
        <v>0</v>
      </c>
      <c r="BI252" s="399">
        <v>0</v>
      </c>
      <c r="BJ252" s="399">
        <v>0</v>
      </c>
      <c r="BK252" s="399">
        <v>0</v>
      </c>
      <c r="BL252" s="399">
        <v>0</v>
      </c>
      <c r="BM252" s="399"/>
      <c r="BN252" s="399"/>
      <c r="BO252" s="399"/>
      <c r="BP252" s="399"/>
      <c r="BQ252" s="399"/>
      <c r="BR252" s="399"/>
      <c r="BS252" s="399"/>
      <c r="BT252" s="399"/>
      <c r="BU252" s="399"/>
      <c r="BV252" s="399">
        <v>325078.83259786246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502221.64560000005</v>
      </c>
      <c r="CJ252" s="399">
        <v>28442.268899999966</v>
      </c>
      <c r="CK252" s="399"/>
      <c r="CL252" s="399"/>
      <c r="CM252" s="399"/>
      <c r="CN252" s="399"/>
      <c r="CO252" s="399">
        <v>-14211.675000000001</v>
      </c>
      <c r="CP252" s="399">
        <v>42653.973899999983</v>
      </c>
      <c r="CQ252" s="399">
        <v>29</v>
      </c>
      <c r="CR252" s="399">
        <v>28449.526242335618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0</v>
      </c>
      <c r="DA252" s="399">
        <v>0</v>
      </c>
      <c r="DB252" s="399">
        <v>0</v>
      </c>
      <c r="DC252" s="399">
        <v>42664.105214463605</v>
      </c>
      <c r="DD252" s="399">
        <v>0</v>
      </c>
      <c r="DE252" s="399">
        <v>0</v>
      </c>
      <c r="DF252" s="399">
        <v>0</v>
      </c>
      <c r="DG252" s="399">
        <v>1594.6810933052056</v>
      </c>
      <c r="DH252" s="399">
        <v>0</v>
      </c>
      <c r="DI252" s="399">
        <v>-13689.556217858961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-2041.3840304155055</v>
      </c>
      <c r="DP252" s="399">
        <v>-78.319817158742808</v>
      </c>
      <c r="DQ252" s="399">
        <v>0</v>
      </c>
      <c r="DR252" s="399">
        <v>0</v>
      </c>
      <c r="DS252" s="399"/>
      <c r="DT252" s="399"/>
      <c r="DU252" s="399"/>
      <c r="DV252" s="399">
        <v>0</v>
      </c>
      <c r="DW252" s="399">
        <v>0</v>
      </c>
      <c r="DX252" s="399">
        <v>0</v>
      </c>
      <c r="DY252" s="399">
        <v>-14211.675000000017</v>
      </c>
      <c r="DZ252" s="399">
        <v>42653.973899999983</v>
      </c>
      <c r="EA252" s="399">
        <v>0</v>
      </c>
      <c r="EB252" s="399">
        <v>0</v>
      </c>
      <c r="EC252" s="399">
        <v>0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19006.176913728337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215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253</v>
      </c>
      <c r="B253" s="399" t="s">
        <v>2346</v>
      </c>
      <c r="C253" s="399" t="s">
        <v>2352</v>
      </c>
      <c r="D253" s="399" t="s">
        <v>533</v>
      </c>
      <c r="E253" s="399" t="s">
        <v>890</v>
      </c>
      <c r="F253" s="399" t="s">
        <v>1239</v>
      </c>
      <c r="G253" s="399" t="s">
        <v>1239</v>
      </c>
      <c r="H253" s="399" t="s">
        <v>1239</v>
      </c>
      <c r="I253" s="399" t="s">
        <v>2326</v>
      </c>
      <c r="J253" s="399" t="s">
        <v>2344</v>
      </c>
      <c r="K253" s="791">
        <v>44593</v>
      </c>
      <c r="L253" s="399">
        <v>0</v>
      </c>
      <c r="M253" s="399">
        <v>0</v>
      </c>
      <c r="N253" s="399">
        <v>30.001000000000001</v>
      </c>
      <c r="O253" s="399">
        <v>30.001000000000001</v>
      </c>
      <c r="P253" s="399">
        <v>30.001000000000001</v>
      </c>
      <c r="Q253" s="399">
        <v>30.001000000000001</v>
      </c>
      <c r="R253" s="399"/>
      <c r="S253" s="399">
        <v>78.42</v>
      </c>
      <c r="T253" s="399">
        <v>171.61</v>
      </c>
      <c r="U253" s="399"/>
      <c r="V253" s="399">
        <v>7501.1500300000007</v>
      </c>
      <c r="W253" s="399">
        <v>7501.1500300000007</v>
      </c>
      <c r="X253" s="399">
        <v>7951.465040000001</v>
      </c>
      <c r="Y253" s="399">
        <v>0</v>
      </c>
      <c r="Z253" s="399">
        <v>1577.988109941444</v>
      </c>
      <c r="AA253" s="399">
        <v>0</v>
      </c>
      <c r="AB253" s="399">
        <v>0</v>
      </c>
      <c r="AC253" s="399">
        <v>0</v>
      </c>
      <c r="AD253" s="399">
        <v>0</v>
      </c>
      <c r="AE253" s="399">
        <v>0</v>
      </c>
      <c r="AF253" s="399">
        <v>4961.3922052796024</v>
      </c>
      <c r="AG253" s="399">
        <v>187.06694375601944</v>
      </c>
      <c r="AH253" s="399">
        <v>0</v>
      </c>
      <c r="AI253" s="399">
        <v>0</v>
      </c>
      <c r="AJ253" s="399">
        <v>0</v>
      </c>
      <c r="AK253" s="399">
        <v>0</v>
      </c>
      <c r="AL253" s="399">
        <v>280.45267143309337</v>
      </c>
      <c r="AM253" s="399"/>
      <c r="AN253" s="399">
        <v>7.9220783065042184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185.44484424225533</v>
      </c>
      <c r="BH253" s="399">
        <v>0</v>
      </c>
      <c r="BI253" s="399">
        <v>0</v>
      </c>
      <c r="BJ253" s="399">
        <v>0</v>
      </c>
      <c r="BK253" s="399">
        <v>0</v>
      </c>
      <c r="BL253" s="399">
        <v>0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>
        <v>5146.8370495218578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7951.2000000000007</v>
      </c>
      <c r="CJ253" s="399">
        <v>450.01996999999938</v>
      </c>
      <c r="CK253" s="399"/>
      <c r="CL253" s="399"/>
      <c r="CM253" s="399"/>
      <c r="CN253" s="399"/>
      <c r="CO253" s="399">
        <v>-225.00750000000002</v>
      </c>
      <c r="CP253" s="399">
        <v>675.32250999999974</v>
      </c>
      <c r="CQ253" s="399">
        <v>29</v>
      </c>
      <c r="CR253" s="399">
        <v>450.42943748518883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0</v>
      </c>
      <c r="DA253" s="399">
        <v>0</v>
      </c>
      <c r="DB253" s="399">
        <v>0</v>
      </c>
      <c r="DC253" s="399">
        <v>675.48291486003018</v>
      </c>
      <c r="DD253" s="399">
        <v>0</v>
      </c>
      <c r="DE253" s="399">
        <v>0</v>
      </c>
      <c r="DF253" s="399">
        <v>0</v>
      </c>
      <c r="DG253" s="399">
        <v>25.247918074531754</v>
      </c>
      <c r="DH253" s="399">
        <v>0</v>
      </c>
      <c r="DI253" s="399">
        <v>-216.74101192786225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-32.320378648098625</v>
      </c>
      <c r="DP253" s="399">
        <v>-1.240004873411884</v>
      </c>
      <c r="DQ253" s="399">
        <v>0</v>
      </c>
      <c r="DR253" s="399">
        <v>0</v>
      </c>
      <c r="DS253" s="399"/>
      <c r="DT253" s="399"/>
      <c r="DU253" s="399"/>
      <c r="DV253" s="399">
        <v>0</v>
      </c>
      <c r="DW253" s="399">
        <v>0</v>
      </c>
      <c r="DX253" s="399">
        <v>0</v>
      </c>
      <c r="DY253" s="399">
        <v>-225.00750000000016</v>
      </c>
      <c r="DZ253" s="399">
        <v>675.32250999999997</v>
      </c>
      <c r="EA253" s="399">
        <v>0</v>
      </c>
      <c r="EB253" s="399">
        <v>0</v>
      </c>
      <c r="EC253" s="399">
        <v>0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300.91684139383489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215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254</v>
      </c>
      <c r="B254" s="399" t="s">
        <v>956</v>
      </c>
      <c r="C254" s="399" t="s">
        <v>2352</v>
      </c>
      <c r="D254" s="399" t="s">
        <v>533</v>
      </c>
      <c r="E254" s="399" t="s">
        <v>890</v>
      </c>
      <c r="F254" s="399" t="s">
        <v>1239</v>
      </c>
      <c r="G254" s="399" t="s">
        <v>1239</v>
      </c>
      <c r="H254" s="399" t="s">
        <v>1239</v>
      </c>
      <c r="I254" s="399" t="s">
        <v>1239</v>
      </c>
      <c r="J254" s="399" t="s">
        <v>2344</v>
      </c>
      <c r="K254" s="791">
        <v>44593</v>
      </c>
      <c r="L254" s="399">
        <v>9748</v>
      </c>
      <c r="M254" s="399">
        <v>9748</v>
      </c>
      <c r="N254" s="399">
        <v>0</v>
      </c>
      <c r="O254" s="399">
        <v>0</v>
      </c>
      <c r="P254" s="399">
        <v>0</v>
      </c>
      <c r="Q254" s="399">
        <v>0</v>
      </c>
      <c r="R254" s="399">
        <v>12.58</v>
      </c>
      <c r="S254" s="399"/>
      <c r="T254" s="399"/>
      <c r="U254" s="399">
        <v>122629.84</v>
      </c>
      <c r="V254" s="399"/>
      <c r="W254" s="399">
        <v>122629.84</v>
      </c>
      <c r="X254" s="399">
        <v>112979.31999999999</v>
      </c>
      <c r="Y254" s="399">
        <v>0</v>
      </c>
      <c r="Z254" s="399">
        <v>0</v>
      </c>
      <c r="AA254" s="399">
        <v>0</v>
      </c>
      <c r="AB254" s="399">
        <v>0</v>
      </c>
      <c r="AC254" s="399">
        <v>0</v>
      </c>
      <c r="AD254" s="399">
        <v>64604.279490447334</v>
      </c>
      <c r="AE254" s="399">
        <v>57997.763579679231</v>
      </c>
      <c r="AF254" s="399"/>
      <c r="AG254" s="399"/>
      <c r="AH254" s="399"/>
      <c r="AI254" s="399">
        <v>0</v>
      </c>
      <c r="AJ254" s="399">
        <v>0</v>
      </c>
      <c r="AK254" s="399">
        <v>0</v>
      </c>
      <c r="AL254" s="399">
        <v>0</v>
      </c>
      <c r="AM254" s="399"/>
      <c r="AN254" s="399">
        <v>0</v>
      </c>
      <c r="AO254" s="399">
        <v>0</v>
      </c>
      <c r="AP254" s="399">
        <v>0</v>
      </c>
      <c r="AQ254" s="399">
        <v>0</v>
      </c>
      <c r="AR254" s="399">
        <v>0</v>
      </c>
      <c r="AS254" s="399"/>
      <c r="AT254" s="399"/>
      <c r="AU254" s="399">
        <v>0</v>
      </c>
      <c r="AV254" s="399">
        <v>0</v>
      </c>
      <c r="AW254" s="399">
        <v>0</v>
      </c>
      <c r="AX254" s="399"/>
      <c r="AY254" s="399"/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/>
      <c r="BG254" s="399">
        <v>0</v>
      </c>
      <c r="BH254" s="399">
        <v>0</v>
      </c>
      <c r="BI254" s="399">
        <v>0</v>
      </c>
      <c r="BJ254" s="399">
        <v>0</v>
      </c>
      <c r="BK254" s="399">
        <v>361691.11</v>
      </c>
      <c r="BL254" s="399">
        <v>52</v>
      </c>
      <c r="BM254" s="399"/>
      <c r="BN254" s="399"/>
      <c r="BO254" s="399"/>
      <c r="BP254" s="399"/>
      <c r="BQ254" s="399"/>
      <c r="BR254" s="399"/>
      <c r="BS254" s="399"/>
      <c r="BT254" s="399"/>
      <c r="BU254" s="399"/>
      <c r="BV254" s="399">
        <v>0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112979.31999999999</v>
      </c>
      <c r="CJ254" s="399">
        <v>-9650.5499999999884</v>
      </c>
      <c r="CK254" s="399"/>
      <c r="CL254" s="399"/>
      <c r="CM254" s="399"/>
      <c r="CN254" s="399"/>
      <c r="CO254" s="399">
        <v>-9650.5200000000023</v>
      </c>
      <c r="CP254" s="399">
        <v>0</v>
      </c>
      <c r="CQ254" s="399">
        <v>29</v>
      </c>
      <c r="CR254" s="399">
        <v>2909.3002973464681</v>
      </c>
      <c r="CS254" s="399">
        <v>0</v>
      </c>
      <c r="CT254" s="399">
        <v>0</v>
      </c>
      <c r="CU254" s="399">
        <v>0</v>
      </c>
      <c r="CV254" s="399">
        <v>0</v>
      </c>
      <c r="CW254" s="399"/>
      <c r="CX254" s="399"/>
      <c r="CY254" s="399"/>
      <c r="CZ254" s="399">
        <v>2909.3002973464681</v>
      </c>
      <c r="DA254" s="399">
        <v>0</v>
      </c>
      <c r="DB254" s="399">
        <v>0</v>
      </c>
      <c r="DC254" s="399"/>
      <c r="DD254" s="399"/>
      <c r="DE254" s="399">
        <v>0</v>
      </c>
      <c r="DF254" s="399">
        <v>0</v>
      </c>
      <c r="DG254" s="399">
        <v>0</v>
      </c>
      <c r="DH254" s="399">
        <v>0</v>
      </c>
      <c r="DI254" s="399">
        <v>0</v>
      </c>
      <c r="DJ254" s="399"/>
      <c r="DK254" s="399">
        <v>0</v>
      </c>
      <c r="DL254" s="399">
        <v>0</v>
      </c>
      <c r="DM254" s="399"/>
      <c r="DN254" s="399">
        <v>0</v>
      </c>
      <c r="DO254" s="399">
        <v>0</v>
      </c>
      <c r="DP254" s="399">
        <v>0</v>
      </c>
      <c r="DQ254" s="399">
        <v>0</v>
      </c>
      <c r="DR254" s="399">
        <v>0</v>
      </c>
      <c r="DS254" s="399"/>
      <c r="DT254" s="399"/>
      <c r="DU254" s="399">
        <v>57997.763579679231</v>
      </c>
      <c r="DV254" s="399"/>
      <c r="DW254" s="399">
        <v>0</v>
      </c>
      <c r="DX254" s="399">
        <v>0</v>
      </c>
      <c r="DY254" s="399">
        <v>-9650.5200000000041</v>
      </c>
      <c r="DZ254" s="399"/>
      <c r="EA254" s="399">
        <v>0</v>
      </c>
      <c r="EB254" s="399"/>
      <c r="EC254" s="399">
        <v>-12538.803554258571</v>
      </c>
      <c r="ED254" s="399"/>
      <c r="EE254" s="399">
        <v>0</v>
      </c>
      <c r="EF254" s="399">
        <v>0</v>
      </c>
      <c r="EG254" s="399"/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/>
      <c r="EN254" s="399"/>
      <c r="EO254" s="399">
        <v>0</v>
      </c>
      <c r="EP254" s="399">
        <v>0</v>
      </c>
      <c r="EQ254" s="399"/>
      <c r="ER254" s="399">
        <v>0</v>
      </c>
      <c r="ES254" s="399"/>
      <c r="ET254" s="399">
        <v>0</v>
      </c>
      <c r="EU254" s="399"/>
      <c r="EV254" s="399">
        <v>215</v>
      </c>
      <c r="EW254" s="399"/>
      <c r="EX254" s="399"/>
      <c r="EY254" s="399"/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255</v>
      </c>
      <c r="B255" s="399" t="s">
        <v>2346</v>
      </c>
      <c r="C255" s="399" t="s">
        <v>2352</v>
      </c>
      <c r="D255" s="399" t="s">
        <v>533</v>
      </c>
      <c r="E255" s="399" t="s">
        <v>890</v>
      </c>
      <c r="F255" s="399" t="s">
        <v>1239</v>
      </c>
      <c r="G255" s="399" t="s">
        <v>1239</v>
      </c>
      <c r="H255" s="399" t="s">
        <v>1239</v>
      </c>
      <c r="I255" s="399" t="s">
        <v>1239</v>
      </c>
      <c r="J255" s="399" t="s">
        <v>2344</v>
      </c>
      <c r="K255" s="791">
        <v>44593</v>
      </c>
      <c r="L255" s="399">
        <v>821</v>
      </c>
      <c r="M255" s="399">
        <v>821</v>
      </c>
      <c r="N255" s="399">
        <v>0</v>
      </c>
      <c r="O255" s="399">
        <v>0</v>
      </c>
      <c r="P255" s="399">
        <v>0</v>
      </c>
      <c r="Q255" s="399">
        <v>0</v>
      </c>
      <c r="R255" s="399">
        <v>12.58</v>
      </c>
      <c r="S255" s="399"/>
      <c r="T255" s="399"/>
      <c r="U255" s="399">
        <v>10328.18</v>
      </c>
      <c r="V255" s="399"/>
      <c r="W255" s="399">
        <v>10328.18</v>
      </c>
      <c r="X255" s="399">
        <v>9515.39</v>
      </c>
      <c r="Y255" s="399">
        <v>0</v>
      </c>
      <c r="Z255" s="399">
        <v>0</v>
      </c>
      <c r="AA255" s="399">
        <v>0</v>
      </c>
      <c r="AB255" s="399">
        <v>0</v>
      </c>
      <c r="AC255" s="399">
        <v>0</v>
      </c>
      <c r="AD255" s="399">
        <v>5441.1277658655381</v>
      </c>
      <c r="AE255" s="399">
        <v>4884.7111098601408</v>
      </c>
      <c r="AF255" s="399"/>
      <c r="AG255" s="399"/>
      <c r="AH255" s="399"/>
      <c r="AI255" s="399">
        <v>0</v>
      </c>
      <c r="AJ255" s="399">
        <v>0</v>
      </c>
      <c r="AK255" s="399">
        <v>0</v>
      </c>
      <c r="AL255" s="399">
        <v>0</v>
      </c>
      <c r="AM255" s="399"/>
      <c r="AN255" s="399">
        <v>0</v>
      </c>
      <c r="AO255" s="399">
        <v>0</v>
      </c>
      <c r="AP255" s="399">
        <v>0</v>
      </c>
      <c r="AQ255" s="399">
        <v>0</v>
      </c>
      <c r="AR255" s="399">
        <v>0</v>
      </c>
      <c r="AS255" s="399"/>
      <c r="AT255" s="399"/>
      <c r="AU255" s="399">
        <v>0</v>
      </c>
      <c r="AV255" s="399">
        <v>0</v>
      </c>
      <c r="AW255" s="399">
        <v>0</v>
      </c>
      <c r="AX255" s="399"/>
      <c r="AY255" s="399"/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/>
      <c r="BG255" s="399">
        <v>0</v>
      </c>
      <c r="BH255" s="399">
        <v>0</v>
      </c>
      <c r="BI255" s="399">
        <v>0</v>
      </c>
      <c r="BJ255" s="399">
        <v>0</v>
      </c>
      <c r="BK255" s="399">
        <v>7935.95</v>
      </c>
      <c r="BL255" s="399">
        <v>3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>
        <v>0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9515.39</v>
      </c>
      <c r="CJ255" s="399">
        <v>-812.82000000000153</v>
      </c>
      <c r="CK255" s="399"/>
      <c r="CL255" s="399"/>
      <c r="CM255" s="399"/>
      <c r="CN255" s="399"/>
      <c r="CO255" s="399">
        <v>-812.79000000000019</v>
      </c>
      <c r="CP255" s="399">
        <v>0</v>
      </c>
      <c r="CQ255" s="399">
        <v>29</v>
      </c>
      <c r="CR255" s="399">
        <v>245.02826673383697</v>
      </c>
      <c r="CS255" s="399">
        <v>0</v>
      </c>
      <c r="CT255" s="399">
        <v>0</v>
      </c>
      <c r="CU255" s="399">
        <v>0</v>
      </c>
      <c r="CV255" s="399">
        <v>0</v>
      </c>
      <c r="CW255" s="399"/>
      <c r="CX255" s="399"/>
      <c r="CY255" s="399"/>
      <c r="CZ255" s="399">
        <v>245.02826673383697</v>
      </c>
      <c r="DA255" s="399">
        <v>0</v>
      </c>
      <c r="DB255" s="399">
        <v>0</v>
      </c>
      <c r="DC255" s="399"/>
      <c r="DD255" s="399"/>
      <c r="DE255" s="399">
        <v>0</v>
      </c>
      <c r="DF255" s="399">
        <v>0</v>
      </c>
      <c r="DG255" s="399">
        <v>0</v>
      </c>
      <c r="DH255" s="399">
        <v>0</v>
      </c>
      <c r="DI255" s="399">
        <v>0</v>
      </c>
      <c r="DJ255" s="399"/>
      <c r="DK255" s="399">
        <v>0</v>
      </c>
      <c r="DL255" s="399">
        <v>0</v>
      </c>
      <c r="DM255" s="399"/>
      <c r="DN255" s="399">
        <v>0</v>
      </c>
      <c r="DO255" s="399">
        <v>0</v>
      </c>
      <c r="DP255" s="399">
        <v>0</v>
      </c>
      <c r="DQ255" s="399">
        <v>0</v>
      </c>
      <c r="DR255" s="399">
        <v>0</v>
      </c>
      <c r="DS255" s="399"/>
      <c r="DT255" s="399"/>
      <c r="DU255" s="399">
        <v>4884.7111098601408</v>
      </c>
      <c r="DV255" s="399"/>
      <c r="DW255" s="399">
        <v>0</v>
      </c>
      <c r="DX255" s="399">
        <v>0</v>
      </c>
      <c r="DY255" s="399">
        <v>-812.79000000000087</v>
      </c>
      <c r="DZ255" s="399"/>
      <c r="EA255" s="399">
        <v>0</v>
      </c>
      <c r="EB255" s="399"/>
      <c r="EC255" s="399">
        <v>-1056.0481860942032</v>
      </c>
      <c r="ED255" s="399"/>
      <c r="EE255" s="399">
        <v>0</v>
      </c>
      <c r="EF255" s="399">
        <v>0</v>
      </c>
      <c r="EG255" s="399"/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/>
      <c r="EN255" s="399"/>
      <c r="EO255" s="399">
        <v>0</v>
      </c>
      <c r="EP255" s="399">
        <v>0</v>
      </c>
      <c r="EQ255" s="399"/>
      <c r="ER255" s="399">
        <v>0</v>
      </c>
      <c r="ES255" s="399"/>
      <c r="ET255" s="399">
        <v>0</v>
      </c>
      <c r="EU255" s="399"/>
      <c r="EV255" s="399">
        <v>215</v>
      </c>
      <c r="EW255" s="399"/>
      <c r="EX255" s="399"/>
      <c r="EY255" s="399"/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256</v>
      </c>
      <c r="B256" s="399" t="s">
        <v>956</v>
      </c>
      <c r="C256" s="399" t="s">
        <v>2343</v>
      </c>
      <c r="D256" s="399" t="s">
        <v>1826</v>
      </c>
      <c r="E256" s="399" t="s">
        <v>918</v>
      </c>
      <c r="F256" s="399" t="s">
        <v>1239</v>
      </c>
      <c r="G256" s="399" t="s">
        <v>1239</v>
      </c>
      <c r="H256" s="399" t="s">
        <v>1239</v>
      </c>
      <c r="I256" s="399" t="s">
        <v>1239</v>
      </c>
      <c r="J256" s="399" t="s">
        <v>2344</v>
      </c>
      <c r="K256" s="791">
        <v>44593</v>
      </c>
      <c r="L256" s="399">
        <v>0</v>
      </c>
      <c r="M256" s="399">
        <v>0</v>
      </c>
      <c r="N256" s="399">
        <v>594.74300000000005</v>
      </c>
      <c r="O256" s="399">
        <v>594.74300000000005</v>
      </c>
      <c r="P256" s="399">
        <v>594.74300000000005</v>
      </c>
      <c r="Q256" s="399">
        <v>594.74300000000005</v>
      </c>
      <c r="R256" s="399"/>
      <c r="S256" s="399">
        <v>239.69</v>
      </c>
      <c r="T256" s="399">
        <v>171.61</v>
      </c>
      <c r="U256" s="399"/>
      <c r="V256" s="399">
        <v>244617.79590000003</v>
      </c>
      <c r="W256" s="399">
        <v>244617.79590000003</v>
      </c>
      <c r="X256" s="399">
        <v>243719.73397</v>
      </c>
      <c r="Y256" s="399">
        <v>0</v>
      </c>
      <c r="Z256" s="399">
        <v>35956.555565806979</v>
      </c>
      <c r="AA256" s="399">
        <v>0</v>
      </c>
      <c r="AB256" s="399">
        <v>0</v>
      </c>
      <c r="AC256" s="399">
        <v>0</v>
      </c>
      <c r="AD256" s="399">
        <v>31721.208501596273</v>
      </c>
      <c r="AE256" s="399">
        <v>52702.988132863058</v>
      </c>
      <c r="AF256" s="399">
        <v>98355.164306010018</v>
      </c>
      <c r="AG256" s="399">
        <v>3708.4348965129925</v>
      </c>
      <c r="AH256" s="399">
        <v>0</v>
      </c>
      <c r="AI256" s="399">
        <v>0</v>
      </c>
      <c r="AJ256" s="399">
        <v>0</v>
      </c>
      <c r="AK256" s="399">
        <v>0</v>
      </c>
      <c r="AL256" s="399">
        <v>5559.7234480894722</v>
      </c>
      <c r="AM256" s="399"/>
      <c r="AN256" s="399">
        <v>235.54894434548962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9521.7836413567602</v>
      </c>
      <c r="BH256" s="399">
        <v>0</v>
      </c>
      <c r="BI256" s="399">
        <v>0</v>
      </c>
      <c r="BJ256" s="399">
        <v>0</v>
      </c>
      <c r="BK256" s="399">
        <v>109147.45</v>
      </c>
      <c r="BL256" s="399">
        <v>554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>
        <v>107876.94794736677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243718.50459999999</v>
      </c>
      <c r="CJ256" s="399">
        <v>-899.32130000006873</v>
      </c>
      <c r="CK256" s="399"/>
      <c r="CL256" s="399"/>
      <c r="CM256" s="399"/>
      <c r="CN256" s="399"/>
      <c r="CO256" s="399">
        <v>-14285.726860000008</v>
      </c>
      <c r="CP256" s="399">
        <v>13387.664929999995</v>
      </c>
      <c r="CQ256" s="399">
        <v>29</v>
      </c>
      <c r="CR256" s="399">
        <v>10499.380670039915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1428.4892897773098</v>
      </c>
      <c r="DA256" s="399">
        <v>0</v>
      </c>
      <c r="DB256" s="399">
        <v>0</v>
      </c>
      <c r="DC256" s="399">
        <v>13390.844812926196</v>
      </c>
      <c r="DD256" s="399">
        <v>0</v>
      </c>
      <c r="DE256" s="399">
        <v>0</v>
      </c>
      <c r="DF256" s="399">
        <v>0</v>
      </c>
      <c r="DG256" s="399">
        <v>1296.3704344691523</v>
      </c>
      <c r="DH256" s="399">
        <v>0</v>
      </c>
      <c r="DI256" s="399">
        <v>-4938.7319141857624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-640.7226078566091</v>
      </c>
      <c r="DP256" s="399">
        <v>-36.869345090368881</v>
      </c>
      <c r="DQ256" s="399">
        <v>0</v>
      </c>
      <c r="DR256" s="399">
        <v>0</v>
      </c>
      <c r="DS256" s="399"/>
      <c r="DT256" s="399"/>
      <c r="DU256" s="399"/>
      <c r="DV256" s="399">
        <v>52702.988132863058</v>
      </c>
      <c r="DW256" s="399">
        <v>0</v>
      </c>
      <c r="DX256" s="399">
        <v>0</v>
      </c>
      <c r="DY256" s="399">
        <v>-14285.726859999995</v>
      </c>
      <c r="DZ256" s="399">
        <v>13387.664929999999</v>
      </c>
      <c r="EA256" s="399">
        <v>0</v>
      </c>
      <c r="EB256" s="399">
        <v>0</v>
      </c>
      <c r="EC256" s="399">
        <v>-11394.101671050084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6856.7900227499731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215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257</v>
      </c>
      <c r="B257" s="399" t="s">
        <v>2346</v>
      </c>
      <c r="C257" s="399" t="s">
        <v>2343</v>
      </c>
      <c r="D257" s="399" t="s">
        <v>1826</v>
      </c>
      <c r="E257" s="399" t="s">
        <v>918</v>
      </c>
      <c r="F257" s="399" t="s">
        <v>1239</v>
      </c>
      <c r="G257" s="399" t="s">
        <v>1239</v>
      </c>
      <c r="H257" s="399" t="s">
        <v>1239</v>
      </c>
      <c r="I257" s="399" t="s">
        <v>1239</v>
      </c>
      <c r="J257" s="399" t="s">
        <v>2344</v>
      </c>
      <c r="K257" s="791">
        <v>44593</v>
      </c>
      <c r="L257" s="399">
        <v>0</v>
      </c>
      <c r="M257" s="399">
        <v>0</v>
      </c>
      <c r="N257" s="399">
        <v>10.228999999999999</v>
      </c>
      <c r="O257" s="399">
        <v>10.228999999999999</v>
      </c>
      <c r="P257" s="399">
        <v>10.228999999999999</v>
      </c>
      <c r="Q257" s="399">
        <v>10.228999999999999</v>
      </c>
      <c r="R257" s="399"/>
      <c r="S257" s="399">
        <v>239.69</v>
      </c>
      <c r="T257" s="399">
        <v>171.61</v>
      </c>
      <c r="U257" s="399"/>
      <c r="V257" s="399">
        <v>4207.1877000000004</v>
      </c>
      <c r="W257" s="399">
        <v>4207.1877000000004</v>
      </c>
      <c r="X257" s="399">
        <v>4191.7419099999997</v>
      </c>
      <c r="Y257" s="399">
        <v>0</v>
      </c>
      <c r="Z257" s="399">
        <v>618.41771468119771</v>
      </c>
      <c r="AA257" s="399">
        <v>0</v>
      </c>
      <c r="AB257" s="399">
        <v>0</v>
      </c>
      <c r="AC257" s="399">
        <v>0</v>
      </c>
      <c r="AD257" s="399">
        <v>545.57387268589662</v>
      </c>
      <c r="AE257" s="399">
        <v>906.44003478991112</v>
      </c>
      <c r="AF257" s="399">
        <v>1691.612975160996</v>
      </c>
      <c r="AG257" s="399">
        <v>63.781466207137186</v>
      </c>
      <c r="AH257" s="399">
        <v>0</v>
      </c>
      <c r="AI257" s="399">
        <v>0</v>
      </c>
      <c r="AJ257" s="399">
        <v>0</v>
      </c>
      <c r="AK257" s="399">
        <v>0</v>
      </c>
      <c r="AL257" s="399">
        <v>95.621825142132309</v>
      </c>
      <c r="AM257" s="399"/>
      <c r="AN257" s="399">
        <v>4.0512122912081567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163.76539928580627</v>
      </c>
      <c r="BH257" s="399">
        <v>0</v>
      </c>
      <c r="BI257" s="399">
        <v>0</v>
      </c>
      <c r="BJ257" s="399">
        <v>0</v>
      </c>
      <c r="BK257" s="399">
        <v>2700.59</v>
      </c>
      <c r="BL257" s="399">
        <v>8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1855.3783744468024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4192.1517000000003</v>
      </c>
      <c r="CJ257" s="399">
        <v>-15.066000000000713</v>
      </c>
      <c r="CK257" s="399"/>
      <c r="CL257" s="399"/>
      <c r="CM257" s="399"/>
      <c r="CN257" s="399"/>
      <c r="CO257" s="399">
        <v>-245.70058000000009</v>
      </c>
      <c r="CP257" s="399">
        <v>230.2547899999999</v>
      </c>
      <c r="CQ257" s="399">
        <v>29</v>
      </c>
      <c r="CR257" s="399">
        <v>180.57911547313461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24.568623666242615</v>
      </c>
      <c r="DA257" s="399">
        <v>0</v>
      </c>
      <c r="DB257" s="399">
        <v>0</v>
      </c>
      <c r="DC257" s="399">
        <v>230.30948088741206</v>
      </c>
      <c r="DD257" s="399">
        <v>0</v>
      </c>
      <c r="DE257" s="399">
        <v>0</v>
      </c>
      <c r="DF257" s="399">
        <v>0</v>
      </c>
      <c r="DG257" s="399">
        <v>22.296308109864185</v>
      </c>
      <c r="DH257" s="399">
        <v>0</v>
      </c>
      <c r="DI257" s="399">
        <v>-84.941375939197542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-11.019804446231817</v>
      </c>
      <c r="DP257" s="399">
        <v>-0.63411680495505296</v>
      </c>
      <c r="DQ257" s="399">
        <v>0</v>
      </c>
      <c r="DR257" s="399">
        <v>0</v>
      </c>
      <c r="DS257" s="399"/>
      <c r="DT257" s="399"/>
      <c r="DU257" s="399"/>
      <c r="DV257" s="399">
        <v>906.44003478991112</v>
      </c>
      <c r="DW257" s="399">
        <v>0</v>
      </c>
      <c r="DX257" s="399">
        <v>0</v>
      </c>
      <c r="DY257" s="399">
        <v>-245.70058000000017</v>
      </c>
      <c r="DZ257" s="399">
        <v>230.25478999999996</v>
      </c>
      <c r="EA257" s="399">
        <v>0</v>
      </c>
      <c r="EB257" s="399">
        <v>0</v>
      </c>
      <c r="EC257" s="399">
        <v>-195.96744475037326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117.93010618487223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215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258</v>
      </c>
      <c r="B258" s="399" t="s">
        <v>956</v>
      </c>
      <c r="C258" s="399" t="s">
        <v>2352</v>
      </c>
      <c r="D258" s="399" t="s">
        <v>533</v>
      </c>
      <c r="E258" s="399" t="s">
        <v>918</v>
      </c>
      <c r="F258" s="399" t="s">
        <v>1239</v>
      </c>
      <c r="G258" s="399" t="s">
        <v>1239</v>
      </c>
      <c r="H258" s="399" t="s">
        <v>1239</v>
      </c>
      <c r="I258" s="399" t="s">
        <v>893</v>
      </c>
      <c r="J258" s="399" t="s">
        <v>2344</v>
      </c>
      <c r="K258" s="791">
        <v>44593</v>
      </c>
      <c r="L258" s="399">
        <v>0</v>
      </c>
      <c r="M258" s="399">
        <v>0</v>
      </c>
      <c r="N258" s="399">
        <v>8.202</v>
      </c>
      <c r="O258" s="399">
        <v>8.202</v>
      </c>
      <c r="P258" s="399">
        <v>8.202</v>
      </c>
      <c r="Q258" s="399">
        <v>8.202</v>
      </c>
      <c r="R258" s="399"/>
      <c r="S258" s="399">
        <v>984.21</v>
      </c>
      <c r="T258" s="399">
        <v>171.61</v>
      </c>
      <c r="U258" s="399"/>
      <c r="V258" s="399">
        <v>9480.0356400000001</v>
      </c>
      <c r="W258" s="399">
        <v>9480.0356400000001</v>
      </c>
      <c r="X258" s="399">
        <v>8840.5257000000001</v>
      </c>
      <c r="Y258" s="399">
        <v>0</v>
      </c>
      <c r="Z258" s="399">
        <v>431.40756900569062</v>
      </c>
      <c r="AA258" s="399">
        <v>0</v>
      </c>
      <c r="AB258" s="399">
        <v>0</v>
      </c>
      <c r="AC258" s="399">
        <v>0</v>
      </c>
      <c r="AD258" s="399">
        <v>3229.1984736095451</v>
      </c>
      <c r="AE258" s="399">
        <v>4200.0975548678389</v>
      </c>
      <c r="AF258" s="399">
        <v>1356.3994156095896</v>
      </c>
      <c r="AG258" s="399">
        <v>51.142397676306508</v>
      </c>
      <c r="AH258" s="399">
        <v>0</v>
      </c>
      <c r="AI258" s="399">
        <v>0</v>
      </c>
      <c r="AJ258" s="399">
        <v>0</v>
      </c>
      <c r="AK258" s="399">
        <v>0</v>
      </c>
      <c r="AL258" s="399">
        <v>76.67320459632117</v>
      </c>
      <c r="AM258" s="399"/>
      <c r="AN258" s="399">
        <v>2.1658240148644241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50.698930451484223</v>
      </c>
      <c r="BH258" s="399">
        <v>0</v>
      </c>
      <c r="BI258" s="399">
        <v>0</v>
      </c>
      <c r="BJ258" s="399">
        <v>0</v>
      </c>
      <c r="BK258" s="399">
        <v>0</v>
      </c>
      <c r="BL258" s="399">
        <v>0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1407.0983460610739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8838.369999999999</v>
      </c>
      <c r="CJ258" s="399">
        <v>-641.69564000000173</v>
      </c>
      <c r="CK258" s="399"/>
      <c r="CL258" s="399"/>
      <c r="CM258" s="399"/>
      <c r="CN258" s="399"/>
      <c r="CO258" s="399">
        <v>-824.13696000000016</v>
      </c>
      <c r="CP258" s="399">
        <v>184.62701999999993</v>
      </c>
      <c r="CQ258" s="399">
        <v>29</v>
      </c>
      <c r="CR258" s="399">
        <v>268.56258762711605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145.41928419544638</v>
      </c>
      <c r="DA258" s="399">
        <v>0</v>
      </c>
      <c r="DB258" s="399">
        <v>0</v>
      </c>
      <c r="DC258" s="399">
        <v>184.67087322695784</v>
      </c>
      <c r="DD258" s="399">
        <v>0</v>
      </c>
      <c r="DE258" s="399">
        <v>0</v>
      </c>
      <c r="DF258" s="399">
        <v>0</v>
      </c>
      <c r="DG258" s="399">
        <v>6.9025507165530939</v>
      </c>
      <c r="DH258" s="399">
        <v>0</v>
      </c>
      <c r="DI258" s="399">
        <v>-59.255017493827779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-8.8360969858239571</v>
      </c>
      <c r="DP258" s="399">
        <v>-0.33900603218973568</v>
      </c>
      <c r="DQ258" s="399">
        <v>0</v>
      </c>
      <c r="DR258" s="399">
        <v>0</v>
      </c>
      <c r="DS258" s="399"/>
      <c r="DT258" s="399"/>
      <c r="DU258" s="399"/>
      <c r="DV258" s="399">
        <v>4200.0975548678389</v>
      </c>
      <c r="DW258" s="399">
        <v>0</v>
      </c>
      <c r="DX258" s="399">
        <v>0</v>
      </c>
      <c r="DY258" s="399">
        <v>-824.13695999999982</v>
      </c>
      <c r="DZ258" s="399">
        <v>184.6270199999999</v>
      </c>
      <c r="EA258" s="399">
        <v>0</v>
      </c>
      <c r="EB258" s="399">
        <v>0</v>
      </c>
      <c r="EC258" s="399">
        <v>-908.03842939319065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82.26792217300202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215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259</v>
      </c>
      <c r="B259" s="399" t="s">
        <v>956</v>
      </c>
      <c r="C259" s="399" t="s">
        <v>2352</v>
      </c>
      <c r="D259" s="399" t="s">
        <v>533</v>
      </c>
      <c r="E259" s="399" t="s">
        <v>918</v>
      </c>
      <c r="F259" s="399" t="s">
        <v>1239</v>
      </c>
      <c r="G259" s="399" t="s">
        <v>1239</v>
      </c>
      <c r="H259" s="399" t="s">
        <v>1239</v>
      </c>
      <c r="I259" s="399" t="s">
        <v>2326</v>
      </c>
      <c r="J259" s="399" t="s">
        <v>2344</v>
      </c>
      <c r="K259" s="791">
        <v>44593</v>
      </c>
      <c r="L259" s="399">
        <v>0</v>
      </c>
      <c r="M259" s="399">
        <v>0</v>
      </c>
      <c r="N259" s="399">
        <v>87.093999999999994</v>
      </c>
      <c r="O259" s="399">
        <v>87.093999999999994</v>
      </c>
      <c r="P259" s="399">
        <v>87.093999999999994</v>
      </c>
      <c r="Q259" s="399">
        <v>87.093999999999994</v>
      </c>
      <c r="R259" s="399"/>
      <c r="S259" s="399">
        <v>78.42</v>
      </c>
      <c r="T259" s="399">
        <v>171.61</v>
      </c>
      <c r="U259" s="399"/>
      <c r="V259" s="399">
        <v>21776.112819999998</v>
      </c>
      <c r="W259" s="399">
        <v>21776.112819999998</v>
      </c>
      <c r="X259" s="399">
        <v>23083.393759999999</v>
      </c>
      <c r="Y259" s="399">
        <v>0</v>
      </c>
      <c r="Z259" s="399">
        <v>4580.957183001904</v>
      </c>
      <c r="AA259" s="399">
        <v>0</v>
      </c>
      <c r="AB259" s="399">
        <v>0</v>
      </c>
      <c r="AC259" s="399">
        <v>0</v>
      </c>
      <c r="AD259" s="399">
        <v>0</v>
      </c>
      <c r="AE259" s="399">
        <v>0</v>
      </c>
      <c r="AF259" s="399">
        <v>14403.102987454473</v>
      </c>
      <c r="AG259" s="399">
        <v>543.06217791029485</v>
      </c>
      <c r="AH259" s="399">
        <v>0</v>
      </c>
      <c r="AI259" s="399">
        <v>0</v>
      </c>
      <c r="AJ259" s="399">
        <v>0</v>
      </c>
      <c r="AK259" s="399">
        <v>0</v>
      </c>
      <c r="AL259" s="399">
        <v>814.16436004779268</v>
      </c>
      <c r="AM259" s="399"/>
      <c r="AN259" s="399">
        <v>22.998082998122673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538.35316370904252</v>
      </c>
      <c r="BH259" s="399">
        <v>0</v>
      </c>
      <c r="BI259" s="399">
        <v>0</v>
      </c>
      <c r="BJ259" s="399">
        <v>0</v>
      </c>
      <c r="BK259" s="399">
        <v>0</v>
      </c>
      <c r="BL259" s="399">
        <v>0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>
        <v>14941.456151163515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23082.333600000002</v>
      </c>
      <c r="CJ259" s="399">
        <v>1306.1907800000045</v>
      </c>
      <c r="CK259" s="399"/>
      <c r="CL259" s="399"/>
      <c r="CM259" s="399"/>
      <c r="CN259" s="399"/>
      <c r="CO259" s="399">
        <v>-653.20499999999993</v>
      </c>
      <c r="CP259" s="399">
        <v>1960.4859399999991</v>
      </c>
      <c r="CQ259" s="399">
        <v>29</v>
      </c>
      <c r="CR259" s="399">
        <v>1307.6131271735976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0</v>
      </c>
      <c r="DA259" s="399">
        <v>0</v>
      </c>
      <c r="DB259" s="399">
        <v>0</v>
      </c>
      <c r="DC259" s="399">
        <v>1960.9516011739415</v>
      </c>
      <c r="DD259" s="399">
        <v>0</v>
      </c>
      <c r="DE259" s="399">
        <v>0</v>
      </c>
      <c r="DF259" s="399">
        <v>0</v>
      </c>
      <c r="DG259" s="399">
        <v>73.295629371796508</v>
      </c>
      <c r="DH259" s="399">
        <v>0</v>
      </c>
      <c r="DI259" s="399">
        <v>-629.20708285874616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-93.827241024549153</v>
      </c>
      <c r="DP259" s="399">
        <v>-3.599779488848192</v>
      </c>
      <c r="DQ259" s="399">
        <v>0</v>
      </c>
      <c r="DR259" s="399">
        <v>0</v>
      </c>
      <c r="DS259" s="399"/>
      <c r="DT259" s="399"/>
      <c r="DU259" s="399"/>
      <c r="DV259" s="399">
        <v>0</v>
      </c>
      <c r="DW259" s="399">
        <v>0</v>
      </c>
      <c r="DX259" s="399">
        <v>0</v>
      </c>
      <c r="DY259" s="399">
        <v>-653.20499999999993</v>
      </c>
      <c r="DZ259" s="399">
        <v>1960.4859399999987</v>
      </c>
      <c r="EA259" s="399">
        <v>0</v>
      </c>
      <c r="EB259" s="399">
        <v>0</v>
      </c>
      <c r="EC259" s="399">
        <v>0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873.5725937253643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215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260</v>
      </c>
      <c r="B260" s="399" t="s">
        <v>956</v>
      </c>
      <c r="C260" s="399" t="s">
        <v>2352</v>
      </c>
      <c r="D260" s="399" t="s">
        <v>533</v>
      </c>
      <c r="E260" s="399" t="s">
        <v>918</v>
      </c>
      <c r="F260" s="399" t="s">
        <v>1239</v>
      </c>
      <c r="G260" s="399" t="s">
        <v>1239</v>
      </c>
      <c r="H260" s="399" t="s">
        <v>1239</v>
      </c>
      <c r="I260" s="399" t="s">
        <v>1239</v>
      </c>
      <c r="J260" s="399" t="s">
        <v>2344</v>
      </c>
      <c r="K260" s="791">
        <v>44593</v>
      </c>
      <c r="L260" s="399">
        <v>504</v>
      </c>
      <c r="M260" s="399">
        <v>504</v>
      </c>
      <c r="N260" s="399">
        <v>0</v>
      </c>
      <c r="O260" s="399">
        <v>0</v>
      </c>
      <c r="P260" s="399">
        <v>0</v>
      </c>
      <c r="Q260" s="399">
        <v>0</v>
      </c>
      <c r="R260" s="399">
        <v>12.58</v>
      </c>
      <c r="S260" s="399"/>
      <c r="T260" s="399"/>
      <c r="U260" s="399">
        <v>6340.32</v>
      </c>
      <c r="V260" s="399"/>
      <c r="W260" s="399">
        <v>6340.32</v>
      </c>
      <c r="X260" s="399">
        <v>5841.36</v>
      </c>
      <c r="Y260" s="399">
        <v>0</v>
      </c>
      <c r="Z260" s="399">
        <v>0</v>
      </c>
      <c r="AA260" s="399">
        <v>0</v>
      </c>
      <c r="AB260" s="399">
        <v>0</v>
      </c>
      <c r="AC260" s="399">
        <v>0</v>
      </c>
      <c r="AD260" s="399">
        <v>3340.2294689357259</v>
      </c>
      <c r="AE260" s="399">
        <v>2998.653348805738</v>
      </c>
      <c r="AF260" s="399"/>
      <c r="AG260" s="399"/>
      <c r="AH260" s="399"/>
      <c r="AI260" s="399">
        <v>0</v>
      </c>
      <c r="AJ260" s="399">
        <v>0</v>
      </c>
      <c r="AK260" s="399">
        <v>0</v>
      </c>
      <c r="AL260" s="399">
        <v>0</v>
      </c>
      <c r="AM260" s="399"/>
      <c r="AN260" s="399">
        <v>0</v>
      </c>
      <c r="AO260" s="399">
        <v>0</v>
      </c>
      <c r="AP260" s="399">
        <v>0</v>
      </c>
      <c r="AQ260" s="399">
        <v>0</v>
      </c>
      <c r="AR260" s="399">
        <v>0</v>
      </c>
      <c r="AS260" s="399"/>
      <c r="AT260" s="399"/>
      <c r="AU260" s="399">
        <v>0</v>
      </c>
      <c r="AV260" s="399">
        <v>0</v>
      </c>
      <c r="AW260" s="399">
        <v>0</v>
      </c>
      <c r="AX260" s="399"/>
      <c r="AY260" s="399"/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/>
      <c r="BG260" s="399">
        <v>0</v>
      </c>
      <c r="BH260" s="399">
        <v>0</v>
      </c>
      <c r="BI260" s="399">
        <v>0</v>
      </c>
      <c r="BJ260" s="399">
        <v>0</v>
      </c>
      <c r="BK260" s="399">
        <v>17226.53</v>
      </c>
      <c r="BL260" s="399">
        <v>5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>
        <v>0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5841.36</v>
      </c>
      <c r="CJ260" s="399">
        <v>-498.99000000000069</v>
      </c>
      <c r="CK260" s="399"/>
      <c r="CL260" s="399"/>
      <c r="CM260" s="399"/>
      <c r="CN260" s="399"/>
      <c r="CO260" s="399">
        <v>-498.96000000000009</v>
      </c>
      <c r="CP260" s="399">
        <v>0</v>
      </c>
      <c r="CQ260" s="399">
        <v>29</v>
      </c>
      <c r="CR260" s="399">
        <v>150.419301381065</v>
      </c>
      <c r="CS260" s="399">
        <v>0</v>
      </c>
      <c r="CT260" s="399">
        <v>0</v>
      </c>
      <c r="CU260" s="399">
        <v>0</v>
      </c>
      <c r="CV260" s="399">
        <v>0</v>
      </c>
      <c r="CW260" s="399"/>
      <c r="CX260" s="399"/>
      <c r="CY260" s="399"/>
      <c r="CZ260" s="399">
        <v>150.419301381065</v>
      </c>
      <c r="DA260" s="399">
        <v>0</v>
      </c>
      <c r="DB260" s="399">
        <v>0</v>
      </c>
      <c r="DC260" s="399"/>
      <c r="DD260" s="399"/>
      <c r="DE260" s="399">
        <v>0</v>
      </c>
      <c r="DF260" s="399">
        <v>0</v>
      </c>
      <c r="DG260" s="399">
        <v>0</v>
      </c>
      <c r="DH260" s="399">
        <v>0</v>
      </c>
      <c r="DI260" s="399">
        <v>0</v>
      </c>
      <c r="DJ260" s="399"/>
      <c r="DK260" s="399">
        <v>0</v>
      </c>
      <c r="DL260" s="399">
        <v>0</v>
      </c>
      <c r="DM260" s="399"/>
      <c r="DN260" s="399">
        <v>0</v>
      </c>
      <c r="DO260" s="399">
        <v>0</v>
      </c>
      <c r="DP260" s="399">
        <v>0</v>
      </c>
      <c r="DQ260" s="399">
        <v>0</v>
      </c>
      <c r="DR260" s="399">
        <v>0</v>
      </c>
      <c r="DS260" s="399"/>
      <c r="DT260" s="399"/>
      <c r="DU260" s="399">
        <v>2998.653348805738</v>
      </c>
      <c r="DV260" s="399"/>
      <c r="DW260" s="399">
        <v>0</v>
      </c>
      <c r="DX260" s="399">
        <v>0</v>
      </c>
      <c r="DY260" s="399">
        <v>-498.96000000000004</v>
      </c>
      <c r="DZ260" s="399"/>
      <c r="EA260" s="399">
        <v>0</v>
      </c>
      <c r="EB260" s="399"/>
      <c r="EC260" s="399">
        <v>-648.29267453286002</v>
      </c>
      <c r="ED260" s="399"/>
      <c r="EE260" s="399">
        <v>0</v>
      </c>
      <c r="EF260" s="399">
        <v>0</v>
      </c>
      <c r="EG260" s="399"/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/>
      <c r="EN260" s="399"/>
      <c r="EO260" s="399">
        <v>0</v>
      </c>
      <c r="EP260" s="399">
        <v>0</v>
      </c>
      <c r="EQ260" s="399"/>
      <c r="ER260" s="399">
        <v>0</v>
      </c>
      <c r="ES260" s="399"/>
      <c r="ET260" s="399">
        <v>0</v>
      </c>
      <c r="EU260" s="399"/>
      <c r="EV260" s="399">
        <v>215</v>
      </c>
      <c r="EW260" s="399"/>
      <c r="EX260" s="399"/>
      <c r="EY260" s="399"/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261</v>
      </c>
      <c r="B261" s="399" t="s">
        <v>956</v>
      </c>
      <c r="C261" s="399" t="s">
        <v>2343</v>
      </c>
      <c r="D261" s="399" t="s">
        <v>2353</v>
      </c>
      <c r="E261" s="399" t="s">
        <v>894</v>
      </c>
      <c r="F261" s="399" t="s">
        <v>1239</v>
      </c>
      <c r="G261" s="399" t="s">
        <v>1239</v>
      </c>
      <c r="H261" s="399" t="s">
        <v>1239</v>
      </c>
      <c r="I261" s="399" t="s">
        <v>1239</v>
      </c>
      <c r="J261" s="399" t="s">
        <v>2344</v>
      </c>
      <c r="K261" s="791">
        <v>44593</v>
      </c>
      <c r="L261" s="399">
        <v>0</v>
      </c>
      <c r="M261" s="399">
        <v>0</v>
      </c>
      <c r="N261" s="399">
        <v>590.40200000000004</v>
      </c>
      <c r="O261" s="399">
        <v>590.40200000000004</v>
      </c>
      <c r="P261" s="399">
        <v>590.40200000000004</v>
      </c>
      <c r="Q261" s="399">
        <v>590.40200000000004</v>
      </c>
      <c r="R261" s="399"/>
      <c r="S261" s="399">
        <v>239.69</v>
      </c>
      <c r="T261" s="399">
        <v>171.61</v>
      </c>
      <c r="U261" s="399"/>
      <c r="V261" s="399">
        <v>242832.34260000003</v>
      </c>
      <c r="W261" s="399">
        <v>242832.34260000003</v>
      </c>
      <c r="X261" s="399">
        <v>241940.83558000001</v>
      </c>
      <c r="Y261" s="399">
        <v>0</v>
      </c>
      <c r="Z261" s="399">
        <v>35694.110429485634</v>
      </c>
      <c r="AA261" s="399">
        <v>0</v>
      </c>
      <c r="AB261" s="399">
        <v>0</v>
      </c>
      <c r="AC261" s="399">
        <v>0</v>
      </c>
      <c r="AD261" s="399">
        <v>31489.676955860668</v>
      </c>
      <c r="AE261" s="399">
        <v>52318.311606220865</v>
      </c>
      <c r="AF261" s="399">
        <v>97637.274783556801</v>
      </c>
      <c r="AG261" s="399">
        <v>3681.3672120076462</v>
      </c>
      <c r="AH261" s="399">
        <v>0</v>
      </c>
      <c r="AI261" s="399">
        <v>0</v>
      </c>
      <c r="AJ261" s="399">
        <v>0</v>
      </c>
      <c r="AK261" s="399">
        <v>0</v>
      </c>
      <c r="AL261" s="399">
        <v>5519.143299204733</v>
      </c>
      <c r="AM261" s="399"/>
      <c r="AN261" s="399">
        <v>233.82968414838973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9452.2846093595272</v>
      </c>
      <c r="BH261" s="399">
        <v>0</v>
      </c>
      <c r="BI261" s="399">
        <v>0</v>
      </c>
      <c r="BJ261" s="399">
        <v>0</v>
      </c>
      <c r="BK261" s="399">
        <v>80313.3</v>
      </c>
      <c r="BL261" s="399">
        <v>720</v>
      </c>
      <c r="BM261" s="399"/>
      <c r="BN261" s="399"/>
      <c r="BO261" s="399"/>
      <c r="BP261" s="399"/>
      <c r="BQ261" s="399"/>
      <c r="BR261" s="399">
        <v>29030.066339999994</v>
      </c>
      <c r="BS261" s="399"/>
      <c r="BT261" s="399"/>
      <c r="BU261" s="399"/>
      <c r="BV261" s="399">
        <v>107089.55939291633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212910.04800000001</v>
      </c>
      <c r="CJ261" s="399">
        <v>-785.98590000002878</v>
      </c>
      <c r="CK261" s="399"/>
      <c r="CL261" s="399"/>
      <c r="CM261" s="399"/>
      <c r="CN261" s="399"/>
      <c r="CO261" s="399">
        <v>-14181.456040000006</v>
      </c>
      <c r="CP261" s="399">
        <v>13289.949019999996</v>
      </c>
      <c r="CQ261" s="399">
        <v>29</v>
      </c>
      <c r="CR261" s="399">
        <v>10422.746205256612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1418.0628164822556</v>
      </c>
      <c r="DA261" s="399">
        <v>0</v>
      </c>
      <c r="DB261" s="399">
        <v>0</v>
      </c>
      <c r="DC261" s="399">
        <v>13293.105693116624</v>
      </c>
      <c r="DD261" s="399">
        <v>0</v>
      </c>
      <c r="DE261" s="399">
        <v>0</v>
      </c>
      <c r="DF261" s="399">
        <v>0</v>
      </c>
      <c r="DG261" s="399">
        <v>1286.9082902219234</v>
      </c>
      <c r="DH261" s="399">
        <v>0</v>
      </c>
      <c r="DI261" s="399">
        <v>-4902.6843520631664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-636.04600495299292</v>
      </c>
      <c r="DP261" s="399">
        <v>-36.600237548056839</v>
      </c>
      <c r="DQ261" s="399">
        <v>0</v>
      </c>
      <c r="DR261" s="399">
        <v>0</v>
      </c>
      <c r="DS261" s="399"/>
      <c r="DT261" s="399"/>
      <c r="DU261" s="399"/>
      <c r="DV261" s="399">
        <v>52318.311606220865</v>
      </c>
      <c r="DW261" s="399">
        <v>0</v>
      </c>
      <c r="DX261" s="399">
        <v>0</v>
      </c>
      <c r="DY261" s="399">
        <v>-14181.456040000005</v>
      </c>
      <c r="DZ261" s="399">
        <v>13289.949019999985</v>
      </c>
      <c r="EA261" s="399">
        <v>0</v>
      </c>
      <c r="EB261" s="399">
        <v>0</v>
      </c>
      <c r="EC261" s="399">
        <v>-11310.936681543644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6806.7426485248752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215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262</v>
      </c>
      <c r="B262" s="399" t="s">
        <v>2346</v>
      </c>
      <c r="C262" s="399" t="s">
        <v>2343</v>
      </c>
      <c r="D262" s="399" t="s">
        <v>2353</v>
      </c>
      <c r="E262" s="399" t="s">
        <v>894</v>
      </c>
      <c r="F262" s="399" t="s">
        <v>1239</v>
      </c>
      <c r="G262" s="399" t="s">
        <v>1239</v>
      </c>
      <c r="H262" s="399" t="s">
        <v>1239</v>
      </c>
      <c r="I262" s="399" t="s">
        <v>1239</v>
      </c>
      <c r="J262" s="399" t="s">
        <v>2344</v>
      </c>
      <c r="K262" s="791">
        <v>44593</v>
      </c>
      <c r="L262" s="399">
        <v>0</v>
      </c>
      <c r="M262" s="399">
        <v>0</v>
      </c>
      <c r="N262" s="399">
        <v>17.965</v>
      </c>
      <c r="O262" s="399">
        <v>17.965</v>
      </c>
      <c r="P262" s="399">
        <v>17.965</v>
      </c>
      <c r="Q262" s="399">
        <v>17.965</v>
      </c>
      <c r="R262" s="399"/>
      <c r="S262" s="399">
        <v>239.69</v>
      </c>
      <c r="T262" s="399">
        <v>171.61</v>
      </c>
      <c r="U262" s="399"/>
      <c r="V262" s="399">
        <v>7389.0045000000009</v>
      </c>
      <c r="W262" s="399">
        <v>7389.0045000000009</v>
      </c>
      <c r="X262" s="399">
        <v>7361.8773499999998</v>
      </c>
      <c r="Y262" s="399">
        <v>0</v>
      </c>
      <c r="Z262" s="399">
        <v>1086.1153821730097</v>
      </c>
      <c r="AA262" s="399">
        <v>0</v>
      </c>
      <c r="AB262" s="399">
        <v>0</v>
      </c>
      <c r="AC262" s="399">
        <v>0</v>
      </c>
      <c r="AD262" s="399">
        <v>958.18111475238379</v>
      </c>
      <c r="AE262" s="399">
        <v>1591.9635570437731</v>
      </c>
      <c r="AF262" s="399">
        <v>2970.9480006615795</v>
      </c>
      <c r="AG262" s="399">
        <v>112.01818754631144</v>
      </c>
      <c r="AH262" s="399">
        <v>0</v>
      </c>
      <c r="AI262" s="399">
        <v>0</v>
      </c>
      <c r="AJ262" s="399">
        <v>0</v>
      </c>
      <c r="AK262" s="399">
        <v>0</v>
      </c>
      <c r="AL262" s="399">
        <v>167.93881011618018</v>
      </c>
      <c r="AM262" s="399"/>
      <c r="AN262" s="399">
        <v>7.1150678278966213</v>
      </c>
      <c r="AO262" s="399">
        <v>0</v>
      </c>
      <c r="AP262" s="399">
        <v>0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>
        <v>0</v>
      </c>
      <c r="BG262" s="399">
        <v>287.61808565544135</v>
      </c>
      <c r="BH262" s="399">
        <v>0</v>
      </c>
      <c r="BI262" s="399">
        <v>0</v>
      </c>
      <c r="BJ262" s="399">
        <v>0</v>
      </c>
      <c r="BK262" s="399">
        <v>4817.6899999999996</v>
      </c>
      <c r="BL262" s="399">
        <v>11</v>
      </c>
      <c r="BM262" s="399"/>
      <c r="BN262" s="399"/>
      <c r="BO262" s="399"/>
      <c r="BP262" s="399"/>
      <c r="BQ262" s="399"/>
      <c r="BR262" s="399">
        <v>883.33904999999982</v>
      </c>
      <c r="BS262" s="399"/>
      <c r="BT262" s="399"/>
      <c r="BU262" s="399"/>
      <c r="BV262" s="399">
        <v>3258.566086317021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6480.3413999999993</v>
      </c>
      <c r="CJ262" s="399">
        <v>-22.120350000001054</v>
      </c>
      <c r="CK262" s="399"/>
      <c r="CL262" s="399"/>
      <c r="CM262" s="399"/>
      <c r="CN262" s="399"/>
      <c r="CO262" s="399">
        <v>-431.51930000000016</v>
      </c>
      <c r="CP262" s="399">
        <v>404.39214999999984</v>
      </c>
      <c r="CQ262" s="399">
        <v>29</v>
      </c>
      <c r="CR262" s="399">
        <v>317.14769864843765</v>
      </c>
      <c r="CS262" s="399">
        <v>0</v>
      </c>
      <c r="CT262" s="399">
        <v>0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43.149410906642743</v>
      </c>
      <c r="DA262" s="399">
        <v>0</v>
      </c>
      <c r="DB262" s="399">
        <v>0</v>
      </c>
      <c r="DC262" s="399">
        <v>404.48820257526222</v>
      </c>
      <c r="DD262" s="399">
        <v>0</v>
      </c>
      <c r="DE262" s="399">
        <v>0</v>
      </c>
      <c r="DF262" s="399">
        <v>0</v>
      </c>
      <c r="DG262" s="399">
        <v>39.158585902210461</v>
      </c>
      <c r="DH262" s="399">
        <v>0</v>
      </c>
      <c r="DI262" s="399">
        <v>-149.18093838573498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-19.353874951271337</v>
      </c>
      <c r="DP262" s="399">
        <v>-1.1136873986721607</v>
      </c>
      <c r="DQ262" s="399">
        <v>0</v>
      </c>
      <c r="DR262" s="399">
        <v>0</v>
      </c>
      <c r="DS262" s="399"/>
      <c r="DT262" s="399"/>
      <c r="DU262" s="399"/>
      <c r="DV262" s="399">
        <v>1591.9635570437731</v>
      </c>
      <c r="DW262" s="399">
        <v>0</v>
      </c>
      <c r="DX262" s="399">
        <v>0</v>
      </c>
      <c r="DY262" s="399">
        <v>-431.51930000000038</v>
      </c>
      <c r="DZ262" s="399">
        <v>404.39214999999967</v>
      </c>
      <c r="EA262" s="399">
        <v>0</v>
      </c>
      <c r="EB262" s="399">
        <v>0</v>
      </c>
      <c r="EC262" s="399">
        <v>-344.17393146353083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207.11842385484698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215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263</v>
      </c>
      <c r="B263" s="399" t="s">
        <v>956</v>
      </c>
      <c r="C263" s="399" t="s">
        <v>2352</v>
      </c>
      <c r="D263" s="399" t="s">
        <v>533</v>
      </c>
      <c r="E263" s="399" t="s">
        <v>894</v>
      </c>
      <c r="F263" s="399" t="s">
        <v>1239</v>
      </c>
      <c r="G263" s="399" t="s">
        <v>1239</v>
      </c>
      <c r="H263" s="399" t="s">
        <v>1239</v>
      </c>
      <c r="I263" s="399" t="s">
        <v>893</v>
      </c>
      <c r="J263" s="399" t="s">
        <v>2344</v>
      </c>
      <c r="K263" s="791">
        <v>44593</v>
      </c>
      <c r="L263" s="399">
        <v>0</v>
      </c>
      <c r="M263" s="399">
        <v>0</v>
      </c>
      <c r="N263" s="399">
        <v>20.135000000000002</v>
      </c>
      <c r="O263" s="399">
        <v>19.329599999999999</v>
      </c>
      <c r="P263" s="399">
        <v>20.135000000000002</v>
      </c>
      <c r="Q263" s="399">
        <v>19.329599999999999</v>
      </c>
      <c r="R263" s="399"/>
      <c r="S263" s="399">
        <v>984.21</v>
      </c>
      <c r="T263" s="399">
        <v>171.61</v>
      </c>
      <c r="U263" s="399"/>
      <c r="V263" s="399">
        <v>23272.435700000002</v>
      </c>
      <c r="W263" s="399">
        <v>23272.435700000002</v>
      </c>
      <c r="X263" s="399">
        <v>21702.509750000005</v>
      </c>
      <c r="Y263" s="399">
        <v>0</v>
      </c>
      <c r="Z263" s="399">
        <v>1059.0577178651038</v>
      </c>
      <c r="AA263" s="399">
        <v>0</v>
      </c>
      <c r="AB263" s="399">
        <v>0</v>
      </c>
      <c r="AC263" s="399">
        <v>0</v>
      </c>
      <c r="AD263" s="399">
        <v>7927.3239778259203</v>
      </c>
      <c r="AE263" s="399">
        <v>10310.773502470611</v>
      </c>
      <c r="AF263" s="399">
        <v>3329.8100747743338</v>
      </c>
      <c r="AG263" s="399">
        <v>125.54891212051105</v>
      </c>
      <c r="AH263" s="399">
        <v>0</v>
      </c>
      <c r="AI263" s="399">
        <v>0</v>
      </c>
      <c r="AJ263" s="399">
        <v>0</v>
      </c>
      <c r="AK263" s="399">
        <v>0</v>
      </c>
      <c r="AL263" s="399">
        <v>188.22421050316106</v>
      </c>
      <c r="AM263" s="399"/>
      <c r="AN263" s="399">
        <v>5.3168576614600322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124.46024928561752</v>
      </c>
      <c r="BH263" s="399">
        <v>0</v>
      </c>
      <c r="BI263" s="399">
        <v>0</v>
      </c>
      <c r="BJ263" s="399">
        <v>0</v>
      </c>
      <c r="BK263" s="399">
        <v>0</v>
      </c>
      <c r="BL263" s="399">
        <v>0</v>
      </c>
      <c r="BM263" s="399"/>
      <c r="BN263" s="399"/>
      <c r="BO263" s="399"/>
      <c r="BP263" s="399"/>
      <c r="BQ263" s="399"/>
      <c r="BR263" s="399">
        <v>868.10039000000256</v>
      </c>
      <c r="BS263" s="399"/>
      <c r="BT263" s="399"/>
      <c r="BU263" s="399"/>
      <c r="BV263" s="399">
        <v>3454.2703240599512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20834.840499999998</v>
      </c>
      <c r="CJ263" s="399">
        <v>-1506.7277719999947</v>
      </c>
      <c r="CK263" s="399"/>
      <c r="CL263" s="399"/>
      <c r="CM263" s="399"/>
      <c r="CN263" s="399"/>
      <c r="CO263" s="399">
        <v>-2023.1648000000005</v>
      </c>
      <c r="CP263" s="399">
        <v>453.23884999999984</v>
      </c>
      <c r="CQ263" s="399">
        <v>29</v>
      </c>
      <c r="CR263" s="399">
        <v>659.29135599511937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356.98820864122263</v>
      </c>
      <c r="DA263" s="399">
        <v>0</v>
      </c>
      <c r="DB263" s="399">
        <v>0</v>
      </c>
      <c r="DC263" s="399">
        <v>453.34650480673008</v>
      </c>
      <c r="DD263" s="399">
        <v>0</v>
      </c>
      <c r="DE263" s="399">
        <v>0</v>
      </c>
      <c r="DF263" s="399">
        <v>0</v>
      </c>
      <c r="DG263" s="399">
        <v>16.944996181150515</v>
      </c>
      <c r="DH263" s="399">
        <v>0</v>
      </c>
      <c r="DI263" s="399">
        <v>-145.46449368912727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-21.691637748057246</v>
      </c>
      <c r="DP263" s="399">
        <v>-0.83222219679838183</v>
      </c>
      <c r="DQ263" s="399">
        <v>0</v>
      </c>
      <c r="DR263" s="399">
        <v>0</v>
      </c>
      <c r="DS263" s="399"/>
      <c r="DT263" s="399"/>
      <c r="DU263" s="399"/>
      <c r="DV263" s="399">
        <v>10310.773502470611</v>
      </c>
      <c r="DW263" s="399">
        <v>0</v>
      </c>
      <c r="DX263" s="399">
        <v>0</v>
      </c>
      <c r="DY263" s="399">
        <v>-2023.1647999999986</v>
      </c>
      <c r="DZ263" s="399">
        <v>453.23884999999973</v>
      </c>
      <c r="EA263" s="399">
        <v>0</v>
      </c>
      <c r="EB263" s="399">
        <v>0</v>
      </c>
      <c r="EC263" s="399">
        <v>-2229.1335986139848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201.95862142811458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215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264</v>
      </c>
      <c r="B264" s="399" t="s">
        <v>956</v>
      </c>
      <c r="C264" s="399" t="s">
        <v>2352</v>
      </c>
      <c r="D264" s="399" t="s">
        <v>533</v>
      </c>
      <c r="E264" s="399" t="s">
        <v>894</v>
      </c>
      <c r="F264" s="399" t="s">
        <v>1239</v>
      </c>
      <c r="G264" s="399" t="s">
        <v>1239</v>
      </c>
      <c r="H264" s="399" t="s">
        <v>1239</v>
      </c>
      <c r="I264" s="399" t="s">
        <v>2326</v>
      </c>
      <c r="J264" s="399" t="s">
        <v>2344</v>
      </c>
      <c r="K264" s="791">
        <v>44593</v>
      </c>
      <c r="L264" s="399">
        <v>0</v>
      </c>
      <c r="M264" s="399">
        <v>0</v>
      </c>
      <c r="N264" s="399">
        <v>275.83600000000001</v>
      </c>
      <c r="O264" s="399">
        <v>264.80256000000003</v>
      </c>
      <c r="P264" s="399">
        <v>275.83600000000001</v>
      </c>
      <c r="Q264" s="399">
        <v>264.80256000000003</v>
      </c>
      <c r="R264" s="399"/>
      <c r="S264" s="399">
        <v>78.42</v>
      </c>
      <c r="T264" s="399">
        <v>171.61</v>
      </c>
      <c r="U264" s="399"/>
      <c r="V264" s="399">
        <v>68967.275080000007</v>
      </c>
      <c r="W264" s="399">
        <v>68967.275080000007</v>
      </c>
      <c r="X264" s="399">
        <v>73107.573440000007</v>
      </c>
      <c r="Y264" s="399">
        <v>0</v>
      </c>
      <c r="Z264" s="399">
        <v>14508.380663771479</v>
      </c>
      <c r="AA264" s="399">
        <v>0</v>
      </c>
      <c r="AB264" s="399">
        <v>0</v>
      </c>
      <c r="AC264" s="399">
        <v>0</v>
      </c>
      <c r="AD264" s="399">
        <v>0</v>
      </c>
      <c r="AE264" s="399">
        <v>0</v>
      </c>
      <c r="AF264" s="399">
        <v>45616.165472334404</v>
      </c>
      <c r="AG264" s="399">
        <v>1719.9359187322216</v>
      </c>
      <c r="AH264" s="399">
        <v>0</v>
      </c>
      <c r="AI264" s="399">
        <v>0</v>
      </c>
      <c r="AJ264" s="399">
        <v>0</v>
      </c>
      <c r="AK264" s="399">
        <v>0</v>
      </c>
      <c r="AL264" s="399">
        <v>2578.5454843978114</v>
      </c>
      <c r="AM264" s="399"/>
      <c r="AN264" s="399">
        <v>72.837385145591725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1705.0219678146309</v>
      </c>
      <c r="BH264" s="399">
        <v>0</v>
      </c>
      <c r="BI264" s="399">
        <v>0</v>
      </c>
      <c r="BJ264" s="399">
        <v>0</v>
      </c>
      <c r="BK264" s="399">
        <v>0</v>
      </c>
      <c r="BL264" s="399">
        <v>0</v>
      </c>
      <c r="BM264" s="399"/>
      <c r="BN264" s="399"/>
      <c r="BO264" s="399"/>
      <c r="BP264" s="399"/>
      <c r="BQ264" s="399"/>
      <c r="BR264" s="399">
        <v>2924.3029375999959</v>
      </c>
      <c r="BS264" s="399"/>
      <c r="BT264" s="399"/>
      <c r="BU264" s="399"/>
      <c r="BV264" s="399">
        <v>47321.187440149035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70182.592000000004</v>
      </c>
      <c r="CJ264" s="399">
        <v>3973.9779232000001</v>
      </c>
      <c r="CK264" s="399"/>
      <c r="CL264" s="399"/>
      <c r="CM264" s="399"/>
      <c r="CN264" s="399"/>
      <c r="CO264" s="399">
        <v>-2068.77</v>
      </c>
      <c r="CP264" s="399">
        <v>6209.0683599999975</v>
      </c>
      <c r="CQ264" s="399">
        <v>29</v>
      </c>
      <c r="CR264" s="399">
        <v>4141.3504322577501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0</v>
      </c>
      <c r="DA264" s="399">
        <v>0</v>
      </c>
      <c r="DB264" s="399">
        <v>0</v>
      </c>
      <c r="DC264" s="399">
        <v>6210.5431586724153</v>
      </c>
      <c r="DD264" s="399">
        <v>0</v>
      </c>
      <c r="DE264" s="399">
        <v>0</v>
      </c>
      <c r="DF264" s="399">
        <v>0</v>
      </c>
      <c r="DG264" s="399">
        <v>232.13508649733467</v>
      </c>
      <c r="DH264" s="399">
        <v>0</v>
      </c>
      <c r="DI264" s="399">
        <v>-1992.7660333366821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-297.1608934627825</v>
      </c>
      <c r="DP264" s="399">
        <v>-11.400886112544249</v>
      </c>
      <c r="DQ264" s="399">
        <v>0</v>
      </c>
      <c r="DR264" s="399">
        <v>0</v>
      </c>
      <c r="DS264" s="399"/>
      <c r="DT264" s="399"/>
      <c r="DU264" s="399"/>
      <c r="DV264" s="399">
        <v>0</v>
      </c>
      <c r="DW264" s="399">
        <v>0</v>
      </c>
      <c r="DX264" s="399">
        <v>0</v>
      </c>
      <c r="DY264" s="399">
        <v>-2068.7700000000004</v>
      </c>
      <c r="DZ264" s="399">
        <v>6209.0683599999975</v>
      </c>
      <c r="EA264" s="399">
        <v>0</v>
      </c>
      <c r="EB264" s="399">
        <v>0</v>
      </c>
      <c r="EC264" s="399">
        <v>0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2766.6977055001448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215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265</v>
      </c>
      <c r="B265" s="399" t="s">
        <v>956</v>
      </c>
      <c r="C265" s="399" t="s">
        <v>2352</v>
      </c>
      <c r="D265" s="399" t="s">
        <v>533</v>
      </c>
      <c r="E265" s="399" t="s">
        <v>894</v>
      </c>
      <c r="F265" s="399" t="s">
        <v>1239</v>
      </c>
      <c r="G265" s="399" t="s">
        <v>1239</v>
      </c>
      <c r="H265" s="399" t="s">
        <v>1239</v>
      </c>
      <c r="I265" s="399" t="s">
        <v>1239</v>
      </c>
      <c r="J265" s="399" t="s">
        <v>2344</v>
      </c>
      <c r="K265" s="791">
        <v>44593</v>
      </c>
      <c r="L265" s="399">
        <v>1295</v>
      </c>
      <c r="M265" s="399">
        <v>1243.2</v>
      </c>
      <c r="N265" s="399">
        <v>0</v>
      </c>
      <c r="O265" s="399">
        <v>0</v>
      </c>
      <c r="P265" s="399">
        <v>0</v>
      </c>
      <c r="Q265" s="399">
        <v>0</v>
      </c>
      <c r="R265" s="399">
        <v>12.58</v>
      </c>
      <c r="S265" s="399"/>
      <c r="T265" s="399"/>
      <c r="U265" s="399">
        <v>16291.1</v>
      </c>
      <c r="V265" s="399"/>
      <c r="W265" s="399">
        <v>16291.1</v>
      </c>
      <c r="X265" s="399">
        <v>15009.05</v>
      </c>
      <c r="Y265" s="399">
        <v>0</v>
      </c>
      <c r="Z265" s="399">
        <v>0</v>
      </c>
      <c r="AA265" s="399">
        <v>0</v>
      </c>
      <c r="AB265" s="399">
        <v>0</v>
      </c>
      <c r="AC265" s="399">
        <v>0</v>
      </c>
      <c r="AD265" s="399">
        <v>8582.5340521265189</v>
      </c>
      <c r="AE265" s="399">
        <v>7704.8731879036322</v>
      </c>
      <c r="AF265" s="399"/>
      <c r="AG265" s="399"/>
      <c r="AH265" s="399"/>
      <c r="AI265" s="399">
        <v>0</v>
      </c>
      <c r="AJ265" s="399">
        <v>0</v>
      </c>
      <c r="AK265" s="399">
        <v>0</v>
      </c>
      <c r="AL265" s="399">
        <v>0</v>
      </c>
      <c r="AM265" s="399"/>
      <c r="AN265" s="399">
        <v>0</v>
      </c>
      <c r="AO265" s="399">
        <v>0</v>
      </c>
      <c r="AP265" s="399">
        <v>0</v>
      </c>
      <c r="AQ265" s="399">
        <v>0</v>
      </c>
      <c r="AR265" s="399">
        <v>0</v>
      </c>
      <c r="AS265" s="399"/>
      <c r="AT265" s="399"/>
      <c r="AU265" s="399">
        <v>0</v>
      </c>
      <c r="AV265" s="399">
        <v>0</v>
      </c>
      <c r="AW265" s="399">
        <v>0</v>
      </c>
      <c r="AX265" s="399"/>
      <c r="AY265" s="399"/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/>
      <c r="BG265" s="399">
        <v>0</v>
      </c>
      <c r="BH265" s="399">
        <v>0</v>
      </c>
      <c r="BI265" s="399">
        <v>0</v>
      </c>
      <c r="BJ265" s="399">
        <v>0</v>
      </c>
      <c r="BK265" s="399">
        <v>51047.67</v>
      </c>
      <c r="BL265" s="399">
        <v>11</v>
      </c>
      <c r="BM265" s="399"/>
      <c r="BN265" s="399"/>
      <c r="BO265" s="399"/>
      <c r="BP265" s="399"/>
      <c r="BQ265" s="399"/>
      <c r="BR265" s="399">
        <v>600.36199999999951</v>
      </c>
      <c r="BS265" s="399"/>
      <c r="BT265" s="399"/>
      <c r="BU265" s="399"/>
      <c r="BV265" s="399">
        <v>0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14408.688</v>
      </c>
      <c r="CJ265" s="399">
        <v>-1230.7980000000007</v>
      </c>
      <c r="CK265" s="399"/>
      <c r="CL265" s="399"/>
      <c r="CM265" s="399"/>
      <c r="CN265" s="399"/>
      <c r="CO265" s="399">
        <v>-1282.0500000000002</v>
      </c>
      <c r="CP265" s="399">
        <v>0</v>
      </c>
      <c r="CQ265" s="399">
        <v>29</v>
      </c>
      <c r="CR265" s="399">
        <v>386.49403827079004</v>
      </c>
      <c r="CS265" s="399">
        <v>0</v>
      </c>
      <c r="CT265" s="399">
        <v>0</v>
      </c>
      <c r="CU265" s="399">
        <v>0</v>
      </c>
      <c r="CV265" s="399">
        <v>0</v>
      </c>
      <c r="CW265" s="399"/>
      <c r="CX265" s="399"/>
      <c r="CY265" s="399"/>
      <c r="CZ265" s="399">
        <v>386.49403827079004</v>
      </c>
      <c r="DA265" s="399">
        <v>0</v>
      </c>
      <c r="DB265" s="399">
        <v>0</v>
      </c>
      <c r="DC265" s="399"/>
      <c r="DD265" s="399"/>
      <c r="DE265" s="399">
        <v>0</v>
      </c>
      <c r="DF265" s="399">
        <v>0</v>
      </c>
      <c r="DG265" s="399">
        <v>0</v>
      </c>
      <c r="DH265" s="399">
        <v>0</v>
      </c>
      <c r="DI265" s="399">
        <v>0</v>
      </c>
      <c r="DJ265" s="399"/>
      <c r="DK265" s="399">
        <v>0</v>
      </c>
      <c r="DL265" s="399">
        <v>0</v>
      </c>
      <c r="DM265" s="399"/>
      <c r="DN265" s="399">
        <v>0</v>
      </c>
      <c r="DO265" s="399">
        <v>0</v>
      </c>
      <c r="DP265" s="399">
        <v>0</v>
      </c>
      <c r="DQ265" s="399">
        <v>0</v>
      </c>
      <c r="DR265" s="399">
        <v>0</v>
      </c>
      <c r="DS265" s="399"/>
      <c r="DT265" s="399"/>
      <c r="DU265" s="399">
        <v>7704.8731879036322</v>
      </c>
      <c r="DV265" s="399"/>
      <c r="DW265" s="399">
        <v>0</v>
      </c>
      <c r="DX265" s="399">
        <v>0</v>
      </c>
      <c r="DY265" s="399">
        <v>-1282.0500000000011</v>
      </c>
      <c r="DZ265" s="399"/>
      <c r="EA265" s="399">
        <v>0</v>
      </c>
      <c r="EB265" s="399"/>
      <c r="EC265" s="399">
        <v>-1665.7520109524876</v>
      </c>
      <c r="ED265" s="399"/>
      <c r="EE265" s="399">
        <v>0</v>
      </c>
      <c r="EF265" s="399">
        <v>0</v>
      </c>
      <c r="EG265" s="399"/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/>
      <c r="EN265" s="399"/>
      <c r="EO265" s="399">
        <v>0</v>
      </c>
      <c r="EP265" s="399">
        <v>0</v>
      </c>
      <c r="EQ265" s="399"/>
      <c r="ER265" s="399">
        <v>0</v>
      </c>
      <c r="ES265" s="399"/>
      <c r="ET265" s="399">
        <v>0</v>
      </c>
      <c r="EU265" s="399"/>
      <c r="EV265" s="399">
        <v>215</v>
      </c>
      <c r="EW265" s="399"/>
      <c r="EX265" s="399"/>
      <c r="EY265" s="399"/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266</v>
      </c>
      <c r="B266" s="399" t="s">
        <v>956</v>
      </c>
      <c r="C266" s="399" t="s">
        <v>2343</v>
      </c>
      <c r="D266" s="399" t="s">
        <v>1826</v>
      </c>
      <c r="E266" s="399" t="s">
        <v>2354</v>
      </c>
      <c r="F266" s="399" t="s">
        <v>1239</v>
      </c>
      <c r="G266" s="399" t="s">
        <v>1239</v>
      </c>
      <c r="H266" s="399" t="s">
        <v>1239</v>
      </c>
      <c r="I266" s="399" t="s">
        <v>1239</v>
      </c>
      <c r="J266" s="399" t="s">
        <v>2344</v>
      </c>
      <c r="K266" s="791">
        <v>44593</v>
      </c>
      <c r="L266" s="399">
        <v>0</v>
      </c>
      <c r="M266" s="399">
        <v>0</v>
      </c>
      <c r="N266" s="399">
        <v>50.405999999999999</v>
      </c>
      <c r="O266" s="399">
        <v>50.405999999999999</v>
      </c>
      <c r="P266" s="399">
        <v>50.405999999999999</v>
      </c>
      <c r="Q266" s="399">
        <v>50.405999999999999</v>
      </c>
      <c r="R266" s="399"/>
      <c r="S266" s="399">
        <v>239.69</v>
      </c>
      <c r="T266" s="399">
        <v>171.61</v>
      </c>
      <c r="U266" s="399"/>
      <c r="V266" s="399">
        <v>20731.987800000003</v>
      </c>
      <c r="W266" s="399">
        <v>20731.987800000003</v>
      </c>
      <c r="X266" s="399">
        <v>20655.874739999999</v>
      </c>
      <c r="Y266" s="399">
        <v>0</v>
      </c>
      <c r="Z266" s="399">
        <v>3047.4106292130659</v>
      </c>
      <c r="AA266" s="399">
        <v>0</v>
      </c>
      <c r="AB266" s="399">
        <v>0</v>
      </c>
      <c r="AC266" s="399">
        <v>0</v>
      </c>
      <c r="AD266" s="399">
        <v>2688.4540645816119</v>
      </c>
      <c r="AE266" s="399">
        <v>4466.7138912523478</v>
      </c>
      <c r="AF266" s="399">
        <v>8335.8533215334028</v>
      </c>
      <c r="AG266" s="399">
        <v>314.29940225212215</v>
      </c>
      <c r="AH266" s="399">
        <v>0</v>
      </c>
      <c r="AI266" s="399">
        <v>0</v>
      </c>
      <c r="AJ266" s="399">
        <v>0</v>
      </c>
      <c r="AK266" s="399">
        <v>0</v>
      </c>
      <c r="AL266" s="399">
        <v>471.20087184615522</v>
      </c>
      <c r="AM266" s="399"/>
      <c r="AN266" s="399">
        <v>19.963379289337997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806.99567077919164</v>
      </c>
      <c r="BH266" s="399">
        <v>0</v>
      </c>
      <c r="BI266" s="399">
        <v>0</v>
      </c>
      <c r="BJ266" s="399">
        <v>0</v>
      </c>
      <c r="BK266" s="399">
        <v>8405.2199999999993</v>
      </c>
      <c r="BL266" s="399">
        <v>45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>
        <v>9142.8489923125944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20657.513899999998</v>
      </c>
      <c r="CJ266" s="399">
        <v>-74.503899999999703</v>
      </c>
      <c r="CK266" s="399"/>
      <c r="CL266" s="399"/>
      <c r="CM266" s="399"/>
      <c r="CN266" s="399"/>
      <c r="CO266" s="399">
        <v>-1210.7521200000006</v>
      </c>
      <c r="CP266" s="399">
        <v>1134.6390599999995</v>
      </c>
      <c r="CQ266" s="399">
        <v>29</v>
      </c>
      <c r="CR266" s="399">
        <v>889.84953510008927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121.0681439554819</v>
      </c>
      <c r="DA266" s="399">
        <v>0</v>
      </c>
      <c r="DB266" s="399">
        <v>0</v>
      </c>
      <c r="DC266" s="399">
        <v>1134.908563262381</v>
      </c>
      <c r="DD266" s="399">
        <v>0</v>
      </c>
      <c r="DE266" s="399">
        <v>0</v>
      </c>
      <c r="DF266" s="399">
        <v>0</v>
      </c>
      <c r="DG266" s="399">
        <v>109.87073092050196</v>
      </c>
      <c r="DH266" s="399">
        <v>0</v>
      </c>
      <c r="DI266" s="399">
        <v>-418.57024103931872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-54.302890108198369</v>
      </c>
      <c r="DP266" s="399">
        <v>-3.1247718907580833</v>
      </c>
      <c r="DQ266" s="399">
        <v>0</v>
      </c>
      <c r="DR266" s="399">
        <v>0</v>
      </c>
      <c r="DS266" s="399"/>
      <c r="DT266" s="399"/>
      <c r="DU266" s="399"/>
      <c r="DV266" s="399">
        <v>4466.7138912523478</v>
      </c>
      <c r="DW266" s="399">
        <v>0</v>
      </c>
      <c r="DX266" s="399">
        <v>0</v>
      </c>
      <c r="DY266" s="399">
        <v>-1210.752120000001</v>
      </c>
      <c r="DZ266" s="399">
        <v>1134.6390599999995</v>
      </c>
      <c r="EA266" s="399">
        <v>0</v>
      </c>
      <c r="EB266" s="399">
        <v>0</v>
      </c>
      <c r="EC266" s="399">
        <v>-965.67944276931439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581.13060243960012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215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267</v>
      </c>
      <c r="B267" s="399" t="s">
        <v>956</v>
      </c>
      <c r="C267" s="399" t="s">
        <v>2352</v>
      </c>
      <c r="D267" s="399" t="s">
        <v>533</v>
      </c>
      <c r="E267" s="399" t="s">
        <v>2354</v>
      </c>
      <c r="F267" s="399" t="s">
        <v>1239</v>
      </c>
      <c r="G267" s="399" t="s">
        <v>1239</v>
      </c>
      <c r="H267" s="399" t="s">
        <v>1239</v>
      </c>
      <c r="I267" s="399" t="s">
        <v>893</v>
      </c>
      <c r="J267" s="399" t="s">
        <v>2344</v>
      </c>
      <c r="K267" s="791">
        <v>44593</v>
      </c>
      <c r="L267" s="399">
        <v>0</v>
      </c>
      <c r="M267" s="399">
        <v>0</v>
      </c>
      <c r="N267" s="399">
        <v>1.5860000000000001</v>
      </c>
      <c r="O267" s="399">
        <v>1.5860000000000001</v>
      </c>
      <c r="P267" s="399">
        <v>1.5860000000000001</v>
      </c>
      <c r="Q267" s="399">
        <v>1.5860000000000001</v>
      </c>
      <c r="R267" s="399"/>
      <c r="S267" s="399">
        <v>984.21</v>
      </c>
      <c r="T267" s="399">
        <v>171.61</v>
      </c>
      <c r="U267" s="399"/>
      <c r="V267" s="399">
        <v>1833.1305200000002</v>
      </c>
      <c r="W267" s="399">
        <v>1833.1305200000002</v>
      </c>
      <c r="X267" s="399">
        <v>1709.4701</v>
      </c>
      <c r="Y267" s="399">
        <v>0</v>
      </c>
      <c r="Z267" s="399">
        <v>83.420190739213041</v>
      </c>
      <c r="AA267" s="399">
        <v>0</v>
      </c>
      <c r="AB267" s="399">
        <v>0</v>
      </c>
      <c r="AC267" s="399">
        <v>0</v>
      </c>
      <c r="AD267" s="399">
        <v>624.42194332415738</v>
      </c>
      <c r="AE267" s="399">
        <v>812.16224360160845</v>
      </c>
      <c r="AF267" s="399">
        <v>262.28352513494383</v>
      </c>
      <c r="AG267" s="399">
        <v>9.8892761173643162</v>
      </c>
      <c r="AH267" s="399">
        <v>0</v>
      </c>
      <c r="AI267" s="399">
        <v>0</v>
      </c>
      <c r="AJ267" s="399">
        <v>0</v>
      </c>
      <c r="AK267" s="399">
        <v>0</v>
      </c>
      <c r="AL267" s="399">
        <v>14.826103692973103</v>
      </c>
      <c r="AM267" s="399"/>
      <c r="AN267" s="399">
        <v>0.41879991314008497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9.8035239814745161</v>
      </c>
      <c r="BH267" s="399">
        <v>0</v>
      </c>
      <c r="BI267" s="399">
        <v>0</v>
      </c>
      <c r="BJ267" s="399">
        <v>0</v>
      </c>
      <c r="BK267" s="399">
        <v>0</v>
      </c>
      <c r="BL267" s="399">
        <v>0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272.08704911641837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1713.7815000000001</v>
      </c>
      <c r="CJ267" s="399">
        <v>-119.37902000000008</v>
      </c>
      <c r="CK267" s="399"/>
      <c r="CL267" s="399"/>
      <c r="CM267" s="399"/>
      <c r="CN267" s="399"/>
      <c r="CO267" s="399">
        <v>-159.36128000000005</v>
      </c>
      <c r="CP267" s="399">
        <v>35.700859999999984</v>
      </c>
      <c r="CQ267" s="399">
        <v>29</v>
      </c>
      <c r="CR267" s="399">
        <v>51.931268468252483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28.119359270175323</v>
      </c>
      <c r="DA267" s="399">
        <v>0</v>
      </c>
      <c r="DB267" s="399">
        <v>0</v>
      </c>
      <c r="DC267" s="399">
        <v>35.709339787607291</v>
      </c>
      <c r="DD267" s="399">
        <v>0</v>
      </c>
      <c r="DE267" s="399">
        <v>0</v>
      </c>
      <c r="DF267" s="399">
        <v>0</v>
      </c>
      <c r="DG267" s="399">
        <v>1.3347287779143144</v>
      </c>
      <c r="DH267" s="399">
        <v>0</v>
      </c>
      <c r="DI267" s="399">
        <v>-11.457992897489731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-1.7086137307384561</v>
      </c>
      <c r="DP267" s="399">
        <v>-6.5552739216400979E-2</v>
      </c>
      <c r="DQ267" s="399">
        <v>0</v>
      </c>
      <c r="DR267" s="399">
        <v>0</v>
      </c>
      <c r="DS267" s="399"/>
      <c r="DT267" s="399"/>
      <c r="DU267" s="399"/>
      <c r="DV267" s="399">
        <v>812.16224360160845</v>
      </c>
      <c r="DW267" s="399">
        <v>0</v>
      </c>
      <c r="DX267" s="399">
        <v>0</v>
      </c>
      <c r="DY267" s="399">
        <v>-159.36128000000008</v>
      </c>
      <c r="DZ267" s="399">
        <v>35.700859999999977</v>
      </c>
      <c r="EA267" s="399">
        <v>0</v>
      </c>
      <c r="EB267" s="399">
        <v>0</v>
      </c>
      <c r="EC267" s="399">
        <v>-175.58509497898081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15.907940083684615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215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268</v>
      </c>
      <c r="B268" s="399" t="s">
        <v>956</v>
      </c>
      <c r="C268" s="399" t="s">
        <v>2352</v>
      </c>
      <c r="D268" s="399" t="s">
        <v>533</v>
      </c>
      <c r="E268" s="399" t="s">
        <v>2354</v>
      </c>
      <c r="F268" s="399" t="s">
        <v>1239</v>
      </c>
      <c r="G268" s="399" t="s">
        <v>1239</v>
      </c>
      <c r="H268" s="399" t="s">
        <v>1239</v>
      </c>
      <c r="I268" s="399" t="s">
        <v>2326</v>
      </c>
      <c r="J268" s="399" t="s">
        <v>2344</v>
      </c>
      <c r="K268" s="791">
        <v>44593</v>
      </c>
      <c r="L268" s="399">
        <v>0</v>
      </c>
      <c r="M268" s="399">
        <v>0</v>
      </c>
      <c r="N268" s="399">
        <v>24.294</v>
      </c>
      <c r="O268" s="399">
        <v>24.294</v>
      </c>
      <c r="P268" s="399">
        <v>24.294</v>
      </c>
      <c r="Q268" s="399">
        <v>24.294</v>
      </c>
      <c r="R268" s="399"/>
      <c r="S268" s="399">
        <v>78.42</v>
      </c>
      <c r="T268" s="399">
        <v>171.61</v>
      </c>
      <c r="U268" s="399"/>
      <c r="V268" s="399">
        <v>6074.2288200000003</v>
      </c>
      <c r="W268" s="399">
        <v>6074.2288200000003</v>
      </c>
      <c r="X268" s="399">
        <v>6438.8817600000002</v>
      </c>
      <c r="Y268" s="399">
        <v>0</v>
      </c>
      <c r="Z268" s="399">
        <v>1277.8121776913249</v>
      </c>
      <c r="AA268" s="399">
        <v>0</v>
      </c>
      <c r="AB268" s="399">
        <v>0</v>
      </c>
      <c r="AC268" s="399">
        <v>0</v>
      </c>
      <c r="AD268" s="399">
        <v>0</v>
      </c>
      <c r="AE268" s="399">
        <v>0</v>
      </c>
      <c r="AF268" s="399">
        <v>4017.6014877858288</v>
      </c>
      <c r="AG268" s="399">
        <v>151.48176166156915</v>
      </c>
      <c r="AH268" s="399">
        <v>0</v>
      </c>
      <c r="AI268" s="399">
        <v>0</v>
      </c>
      <c r="AJ268" s="399">
        <v>0</v>
      </c>
      <c r="AK268" s="399">
        <v>0</v>
      </c>
      <c r="AL268" s="399">
        <v>227.10300322641143</v>
      </c>
      <c r="AM268" s="399"/>
      <c r="AN268" s="399">
        <v>6.4150851764345678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150.16822925973636</v>
      </c>
      <c r="BH268" s="399">
        <v>0</v>
      </c>
      <c r="BI268" s="399">
        <v>0</v>
      </c>
      <c r="BJ268" s="399">
        <v>0</v>
      </c>
      <c r="BK268" s="399">
        <v>0</v>
      </c>
      <c r="BL268" s="399">
        <v>0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4167.7697170455649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6437.8215999999993</v>
      </c>
      <c r="CJ268" s="399">
        <v>363.56277999999838</v>
      </c>
      <c r="CK268" s="399"/>
      <c r="CL268" s="399"/>
      <c r="CM268" s="399"/>
      <c r="CN268" s="399"/>
      <c r="CO268" s="399">
        <v>-182.20500000000001</v>
      </c>
      <c r="CP268" s="399">
        <v>546.85793999999976</v>
      </c>
      <c r="CQ268" s="399">
        <v>29</v>
      </c>
      <c r="CR268" s="399">
        <v>364.74560028883025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0</v>
      </c>
      <c r="DA268" s="399">
        <v>0</v>
      </c>
      <c r="DB268" s="399">
        <v>0</v>
      </c>
      <c r="DC268" s="399">
        <v>546.98783152593478</v>
      </c>
      <c r="DD268" s="399">
        <v>0</v>
      </c>
      <c r="DE268" s="399">
        <v>0</v>
      </c>
      <c r="DF268" s="399">
        <v>0</v>
      </c>
      <c r="DG268" s="399">
        <v>20.445082554004017</v>
      </c>
      <c r="DH268" s="399">
        <v>0</v>
      </c>
      <c r="DI268" s="399">
        <v>-175.51102109181306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-26.172170223556122</v>
      </c>
      <c r="DP268" s="399">
        <v>-1.0041224757397513</v>
      </c>
      <c r="DQ268" s="399">
        <v>0</v>
      </c>
      <c r="DR268" s="399">
        <v>0</v>
      </c>
      <c r="DS268" s="399"/>
      <c r="DT268" s="399"/>
      <c r="DU268" s="399"/>
      <c r="DV268" s="399">
        <v>0</v>
      </c>
      <c r="DW268" s="399">
        <v>0</v>
      </c>
      <c r="DX268" s="399">
        <v>0</v>
      </c>
      <c r="DY268" s="399">
        <v>-182.20500000000015</v>
      </c>
      <c r="DZ268" s="399">
        <v>546.85793999999987</v>
      </c>
      <c r="EA268" s="399">
        <v>0</v>
      </c>
      <c r="EB268" s="399">
        <v>0</v>
      </c>
      <c r="EC268" s="399">
        <v>0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243.6743356828714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215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269</v>
      </c>
      <c r="B269" s="399" t="s">
        <v>956</v>
      </c>
      <c r="C269" s="399" t="s">
        <v>2352</v>
      </c>
      <c r="D269" s="399" t="s">
        <v>533</v>
      </c>
      <c r="E269" s="399" t="s">
        <v>2354</v>
      </c>
      <c r="F269" s="399" t="s">
        <v>1239</v>
      </c>
      <c r="G269" s="399" t="s">
        <v>1239</v>
      </c>
      <c r="H269" s="399" t="s">
        <v>1239</v>
      </c>
      <c r="I269" s="399" t="s">
        <v>1239</v>
      </c>
      <c r="J269" s="399" t="s">
        <v>2344</v>
      </c>
      <c r="K269" s="791">
        <v>44593</v>
      </c>
      <c r="L269" s="399">
        <v>179</v>
      </c>
      <c r="M269" s="399">
        <v>179</v>
      </c>
      <c r="N269" s="399">
        <v>0</v>
      </c>
      <c r="O269" s="399">
        <v>0</v>
      </c>
      <c r="P269" s="399">
        <v>0</v>
      </c>
      <c r="Q269" s="399">
        <v>0</v>
      </c>
      <c r="R269" s="399">
        <v>12.58</v>
      </c>
      <c r="S269" s="399"/>
      <c r="T269" s="399"/>
      <c r="U269" s="399">
        <v>2251.8200000000002</v>
      </c>
      <c r="V269" s="399"/>
      <c r="W269" s="399">
        <v>2251.8200000000002</v>
      </c>
      <c r="X269" s="399">
        <v>2074.61</v>
      </c>
      <c r="Y269" s="399">
        <v>0</v>
      </c>
      <c r="Z269" s="399">
        <v>0</v>
      </c>
      <c r="AA269" s="399">
        <v>0</v>
      </c>
      <c r="AB269" s="399">
        <v>0</v>
      </c>
      <c r="AC269" s="399">
        <v>0</v>
      </c>
      <c r="AD269" s="399">
        <v>1186.3116566259821</v>
      </c>
      <c r="AE269" s="399">
        <v>1064.9979155480696</v>
      </c>
      <c r="AF269" s="399"/>
      <c r="AG269" s="399"/>
      <c r="AH269" s="399"/>
      <c r="AI269" s="399">
        <v>0</v>
      </c>
      <c r="AJ269" s="399">
        <v>0</v>
      </c>
      <c r="AK269" s="399">
        <v>0</v>
      </c>
      <c r="AL269" s="399">
        <v>0</v>
      </c>
      <c r="AM269" s="399"/>
      <c r="AN269" s="399">
        <v>0</v>
      </c>
      <c r="AO269" s="399">
        <v>0</v>
      </c>
      <c r="AP269" s="399">
        <v>0</v>
      </c>
      <c r="AQ269" s="399">
        <v>0</v>
      </c>
      <c r="AR269" s="399">
        <v>0</v>
      </c>
      <c r="AS269" s="399"/>
      <c r="AT269" s="399"/>
      <c r="AU269" s="399">
        <v>0</v>
      </c>
      <c r="AV269" s="399">
        <v>0</v>
      </c>
      <c r="AW269" s="399">
        <v>0</v>
      </c>
      <c r="AX269" s="399"/>
      <c r="AY269" s="399"/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/>
      <c r="BG269" s="399">
        <v>0</v>
      </c>
      <c r="BH269" s="399">
        <v>0</v>
      </c>
      <c r="BI269" s="399">
        <v>0</v>
      </c>
      <c r="BJ269" s="399">
        <v>0</v>
      </c>
      <c r="BK269" s="399">
        <v>2551.77</v>
      </c>
      <c r="BL269" s="399">
        <v>3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0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2074.61</v>
      </c>
      <c r="CJ269" s="399">
        <v>-177.24000000000069</v>
      </c>
      <c r="CK269" s="399"/>
      <c r="CL269" s="399"/>
      <c r="CM269" s="399"/>
      <c r="CN269" s="399"/>
      <c r="CO269" s="399">
        <v>-177.21000000000004</v>
      </c>
      <c r="CP269" s="399">
        <v>0</v>
      </c>
      <c r="CQ269" s="399">
        <v>29</v>
      </c>
      <c r="CR269" s="399">
        <v>53.42272806986216</v>
      </c>
      <c r="CS269" s="399">
        <v>0</v>
      </c>
      <c r="CT269" s="399">
        <v>0</v>
      </c>
      <c r="CU269" s="399">
        <v>0</v>
      </c>
      <c r="CV269" s="399">
        <v>0</v>
      </c>
      <c r="CW269" s="399"/>
      <c r="CX269" s="399"/>
      <c r="CY269" s="399"/>
      <c r="CZ269" s="399">
        <v>53.42272806986216</v>
      </c>
      <c r="DA269" s="399">
        <v>0</v>
      </c>
      <c r="DB269" s="399">
        <v>0</v>
      </c>
      <c r="DC269" s="399"/>
      <c r="DD269" s="399"/>
      <c r="DE269" s="399">
        <v>0</v>
      </c>
      <c r="DF269" s="399">
        <v>0</v>
      </c>
      <c r="DG269" s="399">
        <v>0</v>
      </c>
      <c r="DH269" s="399">
        <v>0</v>
      </c>
      <c r="DI269" s="399">
        <v>0</v>
      </c>
      <c r="DJ269" s="399"/>
      <c r="DK269" s="399">
        <v>0</v>
      </c>
      <c r="DL269" s="399">
        <v>0</v>
      </c>
      <c r="DM269" s="399"/>
      <c r="DN269" s="399">
        <v>0</v>
      </c>
      <c r="DO269" s="399">
        <v>0</v>
      </c>
      <c r="DP269" s="399">
        <v>0</v>
      </c>
      <c r="DQ269" s="399">
        <v>0</v>
      </c>
      <c r="DR269" s="399">
        <v>0</v>
      </c>
      <c r="DS269" s="399"/>
      <c r="DT269" s="399"/>
      <c r="DU269" s="399">
        <v>1064.9979155480696</v>
      </c>
      <c r="DV269" s="399"/>
      <c r="DW269" s="399">
        <v>0</v>
      </c>
      <c r="DX269" s="399">
        <v>0</v>
      </c>
      <c r="DY269" s="399">
        <v>-177.21000000000004</v>
      </c>
      <c r="DZ269" s="399"/>
      <c r="EA269" s="399">
        <v>0</v>
      </c>
      <c r="EB269" s="399"/>
      <c r="EC269" s="399">
        <v>-230.24680305829759</v>
      </c>
      <c r="ED269" s="399"/>
      <c r="EE269" s="399">
        <v>0</v>
      </c>
      <c r="EF269" s="399">
        <v>0</v>
      </c>
      <c r="EG269" s="399"/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/>
      <c r="EN269" s="399"/>
      <c r="EO269" s="399">
        <v>0</v>
      </c>
      <c r="EP269" s="399">
        <v>0</v>
      </c>
      <c r="EQ269" s="399"/>
      <c r="ER269" s="399">
        <v>0</v>
      </c>
      <c r="ES269" s="399"/>
      <c r="ET269" s="399">
        <v>0</v>
      </c>
      <c r="EU269" s="399"/>
      <c r="EV269" s="399">
        <v>215</v>
      </c>
      <c r="EW269" s="399"/>
      <c r="EX269" s="399"/>
      <c r="EY269" s="399"/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270</v>
      </c>
      <c r="B270" s="399" t="s">
        <v>956</v>
      </c>
      <c r="C270" s="399" t="s">
        <v>2343</v>
      </c>
      <c r="D270" s="399" t="s">
        <v>2355</v>
      </c>
      <c r="E270" s="399" t="s">
        <v>2356</v>
      </c>
      <c r="F270" s="399" t="s">
        <v>2357</v>
      </c>
      <c r="G270" s="399" t="s">
        <v>1239</v>
      </c>
      <c r="H270" s="399" t="s">
        <v>1239</v>
      </c>
      <c r="I270" s="399" t="s">
        <v>1239</v>
      </c>
      <c r="J270" s="399" t="s">
        <v>2344</v>
      </c>
      <c r="K270" s="791">
        <v>44593</v>
      </c>
      <c r="L270" s="399">
        <v>0</v>
      </c>
      <c r="M270" s="399">
        <v>0</v>
      </c>
      <c r="N270" s="399">
        <v>92.081999999999994</v>
      </c>
      <c r="O270" s="399">
        <v>92.081999999999994</v>
      </c>
      <c r="P270" s="399">
        <v>92.081999999999994</v>
      </c>
      <c r="Q270" s="399">
        <v>92.081999999999994</v>
      </c>
      <c r="R270" s="399"/>
      <c r="S270" s="399">
        <v>131.83000000000001</v>
      </c>
      <c r="T270" s="399">
        <v>94.39</v>
      </c>
      <c r="U270" s="399"/>
      <c r="V270" s="399">
        <v>20830.79004</v>
      </c>
      <c r="W270" s="399">
        <v>20830.79004</v>
      </c>
      <c r="X270" s="399">
        <v>20754.361980000001</v>
      </c>
      <c r="Y270" s="399">
        <v>0</v>
      </c>
      <c r="Z270" s="399">
        <v>3061.8659694790081</v>
      </c>
      <c r="AA270" s="399">
        <v>0</v>
      </c>
      <c r="AB270" s="399">
        <v>0</v>
      </c>
      <c r="AC270" s="399">
        <v>0</v>
      </c>
      <c r="AD270" s="399">
        <v>2701.2067005146646</v>
      </c>
      <c r="AE270" s="399">
        <v>4487.9016722982196</v>
      </c>
      <c r="AF270" s="399">
        <v>8375.3942993768942</v>
      </c>
      <c r="AG270" s="399">
        <v>315.79027609806286</v>
      </c>
      <c r="AH270" s="399">
        <v>0</v>
      </c>
      <c r="AI270" s="399">
        <v>0</v>
      </c>
      <c r="AJ270" s="399">
        <v>0</v>
      </c>
      <c r="AK270" s="399">
        <v>0</v>
      </c>
      <c r="AL270" s="399">
        <v>473.43600513303386</v>
      </c>
      <c r="AM270" s="399"/>
      <c r="AN270" s="399">
        <v>20.058075237996515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810.82364095899629</v>
      </c>
      <c r="BH270" s="399">
        <v>0</v>
      </c>
      <c r="BI270" s="399">
        <v>0</v>
      </c>
      <c r="BJ270" s="399">
        <v>0</v>
      </c>
      <c r="BK270" s="399">
        <v>11276.6</v>
      </c>
      <c r="BL270" s="399">
        <v>7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>
        <v>9186.2179403358896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20753.911199999999</v>
      </c>
      <c r="CJ270" s="399">
        <v>-76.908840000000055</v>
      </c>
      <c r="CK270" s="399"/>
      <c r="CL270" s="399"/>
      <c r="CM270" s="399"/>
      <c r="CN270" s="399"/>
      <c r="CO270" s="399">
        <v>-1216.4032200000006</v>
      </c>
      <c r="CP270" s="399">
        <v>1139.9751599999995</v>
      </c>
      <c r="CQ270" s="399">
        <v>29</v>
      </c>
      <c r="CR270" s="399">
        <v>894.07052117006424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121.64242862833134</v>
      </c>
      <c r="DA270" s="399">
        <v>0</v>
      </c>
      <c r="DB270" s="399">
        <v>0</v>
      </c>
      <c r="DC270" s="399">
        <v>1140.2919826465131</v>
      </c>
      <c r="DD270" s="399">
        <v>0</v>
      </c>
      <c r="DE270" s="399">
        <v>0</v>
      </c>
      <c r="DF270" s="399">
        <v>0</v>
      </c>
      <c r="DG270" s="399">
        <v>110.3919008558903</v>
      </c>
      <c r="DH270" s="399">
        <v>0</v>
      </c>
      <c r="DI270" s="399">
        <v>-420.55572182796595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-54.560474939862615</v>
      </c>
      <c r="DP270" s="399">
        <v>-3.1395941928467117</v>
      </c>
      <c r="DQ270" s="399">
        <v>0</v>
      </c>
      <c r="DR270" s="399">
        <v>0</v>
      </c>
      <c r="DS270" s="399"/>
      <c r="DT270" s="399"/>
      <c r="DU270" s="399"/>
      <c r="DV270" s="399">
        <v>4487.9016722982196</v>
      </c>
      <c r="DW270" s="399">
        <v>0</v>
      </c>
      <c r="DX270" s="399">
        <v>0</v>
      </c>
      <c r="DY270" s="399">
        <v>-1216.4032200000001</v>
      </c>
      <c r="DZ270" s="399">
        <v>1139.97516</v>
      </c>
      <c r="EA270" s="399">
        <v>0</v>
      </c>
      <c r="EB270" s="399">
        <v>0</v>
      </c>
      <c r="EC270" s="399">
        <v>-970.26012671102399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583.88718552580451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215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271</v>
      </c>
      <c r="B271" s="399" t="s">
        <v>956</v>
      </c>
      <c r="C271" s="399" t="s">
        <v>2343</v>
      </c>
      <c r="D271" s="399" t="s">
        <v>1826</v>
      </c>
      <c r="E271" s="399" t="s">
        <v>921</v>
      </c>
      <c r="F271" s="399" t="s">
        <v>2358</v>
      </c>
      <c r="G271" s="399" t="s">
        <v>1239</v>
      </c>
      <c r="H271" s="399" t="s">
        <v>1239</v>
      </c>
      <c r="I271" s="399" t="s">
        <v>1239</v>
      </c>
      <c r="J271" s="399" t="s">
        <v>2344</v>
      </c>
      <c r="K271" s="791">
        <v>44593</v>
      </c>
      <c r="L271" s="399">
        <v>0</v>
      </c>
      <c r="M271" s="399">
        <v>0</v>
      </c>
      <c r="N271" s="399">
        <v>52.497</v>
      </c>
      <c r="O271" s="399">
        <v>49.347180000000002</v>
      </c>
      <c r="P271" s="399">
        <v>52.497</v>
      </c>
      <c r="Q271" s="399">
        <v>49.347180000000002</v>
      </c>
      <c r="R271" s="399"/>
      <c r="S271" s="399">
        <v>239.69</v>
      </c>
      <c r="T271" s="399">
        <v>171.61</v>
      </c>
      <c r="U271" s="399"/>
      <c r="V271" s="399">
        <v>21592.016100000001</v>
      </c>
      <c r="W271" s="399">
        <v>21592.016100000001</v>
      </c>
      <c r="X271" s="399">
        <v>21512.745629999998</v>
      </c>
      <c r="Y271" s="399">
        <v>0</v>
      </c>
      <c r="Z271" s="399">
        <v>3173.8268420782911</v>
      </c>
      <c r="AA271" s="399">
        <v>0</v>
      </c>
      <c r="AB271" s="399">
        <v>0</v>
      </c>
      <c r="AC271" s="399">
        <v>0</v>
      </c>
      <c r="AD271" s="399">
        <v>2799.9796260036678</v>
      </c>
      <c r="AE271" s="399">
        <v>4652.007283836736</v>
      </c>
      <c r="AF271" s="399">
        <v>8681.6508316577201</v>
      </c>
      <c r="AG271" s="399">
        <v>327.33753362753748</v>
      </c>
      <c r="AH271" s="399">
        <v>0</v>
      </c>
      <c r="AI271" s="399">
        <v>0</v>
      </c>
      <c r="AJ271" s="399">
        <v>0</v>
      </c>
      <c r="AK271" s="399">
        <v>0</v>
      </c>
      <c r="AL271" s="399">
        <v>490.74777148172063</v>
      </c>
      <c r="AM271" s="399"/>
      <c r="AN271" s="399">
        <v>20.791523281997716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840.47239870045678</v>
      </c>
      <c r="BH271" s="399">
        <v>0</v>
      </c>
      <c r="BI271" s="399">
        <v>0</v>
      </c>
      <c r="BJ271" s="399">
        <v>0</v>
      </c>
      <c r="BK271" s="399">
        <v>9655.39</v>
      </c>
      <c r="BL271" s="399">
        <v>40</v>
      </c>
      <c r="BM271" s="399"/>
      <c r="BN271" s="399"/>
      <c r="BO271" s="399"/>
      <c r="BP271" s="399"/>
      <c r="BQ271" s="399">
        <v>1290.7647377999992</v>
      </c>
      <c r="BR271" s="399"/>
      <c r="BS271" s="399"/>
      <c r="BT271" s="399"/>
      <c r="BU271" s="399"/>
      <c r="BV271" s="399">
        <v>9522.1232303581764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20223.136500000001</v>
      </c>
      <c r="CJ271" s="399">
        <v>-73.388633999999001</v>
      </c>
      <c r="CK271" s="399"/>
      <c r="CL271" s="399"/>
      <c r="CM271" s="399"/>
      <c r="CN271" s="399"/>
      <c r="CO271" s="399">
        <v>-1260.9779400000004</v>
      </c>
      <c r="CP271" s="399">
        <v>1181.7074699999996</v>
      </c>
      <c r="CQ271" s="399">
        <v>29</v>
      </c>
      <c r="CR271" s="399">
        <v>926.76330286373559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126.09043275068325</v>
      </c>
      <c r="DA271" s="399">
        <v>0</v>
      </c>
      <c r="DB271" s="399">
        <v>0</v>
      </c>
      <c r="DC271" s="399">
        <v>1181.9881531084629</v>
      </c>
      <c r="DD271" s="399">
        <v>0</v>
      </c>
      <c r="DE271" s="399">
        <v>0</v>
      </c>
      <c r="DF271" s="399">
        <v>0</v>
      </c>
      <c r="DG271" s="399">
        <v>114.42851567538764</v>
      </c>
      <c r="DH271" s="399">
        <v>0</v>
      </c>
      <c r="DI271" s="399">
        <v>-435.93385596637563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-56.555545411460685</v>
      </c>
      <c r="DP271" s="399">
        <v>-3.2543972929636773</v>
      </c>
      <c r="DQ271" s="399">
        <v>0</v>
      </c>
      <c r="DR271" s="399">
        <v>0</v>
      </c>
      <c r="DS271" s="399"/>
      <c r="DT271" s="399"/>
      <c r="DU271" s="399"/>
      <c r="DV271" s="399">
        <v>4652.007283836736</v>
      </c>
      <c r="DW271" s="399">
        <v>0</v>
      </c>
      <c r="DX271" s="399">
        <v>0</v>
      </c>
      <c r="DY271" s="399">
        <v>-1260.9779400000007</v>
      </c>
      <c r="DZ271" s="399">
        <v>1181.7074699999994</v>
      </c>
      <c r="EA271" s="399">
        <v>0</v>
      </c>
      <c r="EB271" s="399">
        <v>0</v>
      </c>
      <c r="EC271" s="399">
        <v>-1005.738874480433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605.23773432273322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215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272</v>
      </c>
      <c r="B272" s="399" t="s">
        <v>956</v>
      </c>
      <c r="C272" s="399" t="s">
        <v>2343</v>
      </c>
      <c r="D272" s="399" t="s">
        <v>1826</v>
      </c>
      <c r="E272" s="399" t="s">
        <v>2359</v>
      </c>
      <c r="F272" s="399" t="s">
        <v>1239</v>
      </c>
      <c r="G272" s="399" t="s">
        <v>1239</v>
      </c>
      <c r="H272" s="399" t="s">
        <v>1239</v>
      </c>
      <c r="I272" s="399" t="s">
        <v>1239</v>
      </c>
      <c r="J272" s="399" t="s">
        <v>2344</v>
      </c>
      <c r="K272" s="791">
        <v>44593</v>
      </c>
      <c r="L272" s="399">
        <v>0</v>
      </c>
      <c r="M272" s="399">
        <v>0</v>
      </c>
      <c r="N272" s="399">
        <v>10.852</v>
      </c>
      <c r="O272" s="399">
        <v>10.852</v>
      </c>
      <c r="P272" s="399">
        <v>10.852</v>
      </c>
      <c r="Q272" s="399">
        <v>10.852</v>
      </c>
      <c r="R272" s="399"/>
      <c r="S272" s="399">
        <v>239.69</v>
      </c>
      <c r="T272" s="399">
        <v>171.61</v>
      </c>
      <c r="U272" s="399"/>
      <c r="V272" s="399">
        <v>4463.4276</v>
      </c>
      <c r="W272" s="399">
        <v>4463.4276</v>
      </c>
      <c r="X272" s="399">
        <v>4447.04108</v>
      </c>
      <c r="Y272" s="399">
        <v>0</v>
      </c>
      <c r="Z272" s="399">
        <v>656.08261215371567</v>
      </c>
      <c r="AA272" s="399">
        <v>0</v>
      </c>
      <c r="AB272" s="399">
        <v>0</v>
      </c>
      <c r="AC272" s="399">
        <v>0</v>
      </c>
      <c r="AD272" s="399">
        <v>578.80219634249204</v>
      </c>
      <c r="AE272" s="399">
        <v>961.64700924236161</v>
      </c>
      <c r="AF272" s="399">
        <v>1794.6411190191741</v>
      </c>
      <c r="AG272" s="399">
        <v>67.666093584891271</v>
      </c>
      <c r="AH272" s="399">
        <v>0</v>
      </c>
      <c r="AI272" s="399">
        <v>0</v>
      </c>
      <c r="AJ272" s="399">
        <v>0</v>
      </c>
      <c r="AK272" s="399">
        <v>0</v>
      </c>
      <c r="AL272" s="399">
        <v>101.44569815645909</v>
      </c>
      <c r="AM272" s="399"/>
      <c r="AN272" s="399">
        <v>4.2979524669264757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173.73957503661842</v>
      </c>
      <c r="BH272" s="399">
        <v>0</v>
      </c>
      <c r="BI272" s="399">
        <v>0</v>
      </c>
      <c r="BJ272" s="399">
        <v>0</v>
      </c>
      <c r="BK272" s="399">
        <v>1995.97</v>
      </c>
      <c r="BL272" s="399">
        <v>4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1968.3806940557924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4446.2214999999997</v>
      </c>
      <c r="CJ272" s="399">
        <v>-17.236100000000988</v>
      </c>
      <c r="CK272" s="399"/>
      <c r="CL272" s="399"/>
      <c r="CM272" s="399"/>
      <c r="CN272" s="399"/>
      <c r="CO272" s="399">
        <v>-260.66504000000015</v>
      </c>
      <c r="CP272" s="399">
        <v>244.2785199999999</v>
      </c>
      <c r="CQ272" s="399">
        <v>29</v>
      </c>
      <c r="CR272" s="399">
        <v>191.57733513681296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26.064982307758783</v>
      </c>
      <c r="DA272" s="399">
        <v>0</v>
      </c>
      <c r="DB272" s="399">
        <v>0</v>
      </c>
      <c r="DC272" s="399">
        <v>244.33654185063983</v>
      </c>
      <c r="DD272" s="399">
        <v>0</v>
      </c>
      <c r="DE272" s="399">
        <v>0</v>
      </c>
      <c r="DF272" s="399">
        <v>0</v>
      </c>
      <c r="DG272" s="399">
        <v>23.654270760411208</v>
      </c>
      <c r="DH272" s="399">
        <v>0</v>
      </c>
      <c r="DI272" s="399">
        <v>-90.114753318229646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-11.690968604018735</v>
      </c>
      <c r="DP272" s="399">
        <v>-0.67273785974897216</v>
      </c>
      <c r="DQ272" s="399">
        <v>0</v>
      </c>
      <c r="DR272" s="399">
        <v>0</v>
      </c>
      <c r="DS272" s="399"/>
      <c r="DT272" s="399"/>
      <c r="DU272" s="399"/>
      <c r="DV272" s="399">
        <v>961.64700924236161</v>
      </c>
      <c r="DW272" s="399">
        <v>0</v>
      </c>
      <c r="DX272" s="399">
        <v>0</v>
      </c>
      <c r="DY272" s="399">
        <v>-260.66503999999986</v>
      </c>
      <c r="DZ272" s="399">
        <v>244.27851999999984</v>
      </c>
      <c r="EA272" s="399">
        <v>0</v>
      </c>
      <c r="EB272" s="399">
        <v>0</v>
      </c>
      <c r="EC272" s="399">
        <v>-207.90289475325562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125.11267106444751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215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273</v>
      </c>
      <c r="B273" s="399" t="s">
        <v>956</v>
      </c>
      <c r="C273" s="399" t="s">
        <v>2343</v>
      </c>
      <c r="D273" s="399" t="s">
        <v>2353</v>
      </c>
      <c r="E273" s="399" t="s">
        <v>894</v>
      </c>
      <c r="F273" s="399" t="s">
        <v>2360</v>
      </c>
      <c r="G273" s="399" t="s">
        <v>2361</v>
      </c>
      <c r="H273" s="399" t="s">
        <v>1239</v>
      </c>
      <c r="I273" s="399" t="s">
        <v>1239</v>
      </c>
      <c r="J273" s="399" t="s">
        <v>2344</v>
      </c>
      <c r="K273" s="791">
        <v>44593</v>
      </c>
      <c r="L273" s="399">
        <v>0</v>
      </c>
      <c r="M273" s="399">
        <v>0</v>
      </c>
      <c r="N273" s="399">
        <v>0</v>
      </c>
      <c r="O273" s="399">
        <v>0</v>
      </c>
      <c r="P273" s="399">
        <v>0</v>
      </c>
      <c r="Q273" s="399">
        <v>0</v>
      </c>
      <c r="R273" s="399"/>
      <c r="S273" s="399"/>
      <c r="T273" s="399"/>
      <c r="U273" s="399"/>
      <c r="V273" s="399"/>
      <c r="W273" s="399"/>
      <c r="X273" s="399"/>
      <c r="Y273" s="399"/>
      <c r="Z273" s="399"/>
      <c r="AA273" s="399">
        <v>0</v>
      </c>
      <c r="AB273" s="399"/>
      <c r="AC273" s="399"/>
      <c r="AD273" s="399"/>
      <c r="AE273" s="399"/>
      <c r="AF273" s="399"/>
      <c r="AG273" s="399"/>
      <c r="AH273" s="399"/>
      <c r="AI273" s="399"/>
      <c r="AJ273" s="399"/>
      <c r="AK273" s="399"/>
      <c r="AL273" s="399"/>
      <c r="AM273" s="399"/>
      <c r="AN273" s="399"/>
      <c r="AO273" s="399"/>
      <c r="AP273" s="399"/>
      <c r="AQ273" s="399"/>
      <c r="AR273" s="399"/>
      <c r="AS273" s="399"/>
      <c r="AT273" s="399"/>
      <c r="AU273" s="399"/>
      <c r="AV273" s="399"/>
      <c r="AW273" s="399"/>
      <c r="AX273" s="399"/>
      <c r="AY273" s="399"/>
      <c r="AZ273" s="399">
        <v>0</v>
      </c>
      <c r="BA273" s="399"/>
      <c r="BB273" s="399"/>
      <c r="BC273" s="399"/>
      <c r="BD273" s="399"/>
      <c r="BE273" s="399"/>
      <c r="BF273" s="399"/>
      <c r="BG273" s="399"/>
      <c r="BH273" s="399"/>
      <c r="BI273" s="399">
        <v>0</v>
      </c>
      <c r="BJ273" s="399">
        <v>0</v>
      </c>
      <c r="BK273" s="399">
        <v>7.52</v>
      </c>
      <c r="BL273" s="399">
        <v>1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/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/>
      <c r="CJ273" s="399">
        <v>-0.03</v>
      </c>
      <c r="CK273" s="399"/>
      <c r="CL273" s="399"/>
      <c r="CM273" s="399"/>
      <c r="CN273" s="399"/>
      <c r="CO273" s="399">
        <v>0</v>
      </c>
      <c r="CP273" s="399">
        <v>0</v>
      </c>
      <c r="CQ273" s="399">
        <v>29</v>
      </c>
      <c r="CR273" s="399"/>
      <c r="CS273" s="399"/>
      <c r="CT273" s="399"/>
      <c r="CU273" s="399"/>
      <c r="CV273" s="399"/>
      <c r="CW273" s="399"/>
      <c r="CX273" s="399"/>
      <c r="CY273" s="399"/>
      <c r="CZ273" s="399"/>
      <c r="DA273" s="399"/>
      <c r="DB273" s="399"/>
      <c r="DC273" s="399"/>
      <c r="DD273" s="399"/>
      <c r="DE273" s="399"/>
      <c r="DF273" s="399"/>
      <c r="DG273" s="399"/>
      <c r="DH273" s="399"/>
      <c r="DI273" s="399"/>
      <c r="DJ273" s="399"/>
      <c r="DK273" s="399">
        <v>0</v>
      </c>
      <c r="DL273" s="399"/>
      <c r="DM273" s="399"/>
      <c r="DN273" s="399"/>
      <c r="DO273" s="399"/>
      <c r="DP273" s="399"/>
      <c r="DQ273" s="399"/>
      <c r="DR273" s="399"/>
      <c r="DS273" s="399"/>
      <c r="DT273" s="399"/>
      <c r="DU273" s="399"/>
      <c r="DV273" s="399"/>
      <c r="DW273" s="399"/>
      <c r="DX273" s="399"/>
      <c r="DY273" s="399"/>
      <c r="DZ273" s="399"/>
      <c r="EA273" s="399"/>
      <c r="EB273" s="399"/>
      <c r="EC273" s="399"/>
      <c r="ED273" s="399"/>
      <c r="EE273" s="399"/>
      <c r="EF273" s="399"/>
      <c r="EG273" s="399"/>
      <c r="EH273" s="399"/>
      <c r="EI273" s="399"/>
      <c r="EJ273" s="399"/>
      <c r="EK273" s="399"/>
      <c r="EL273" s="399"/>
      <c r="EM273" s="399"/>
      <c r="EN273" s="399"/>
      <c r="EO273" s="399"/>
      <c r="EP273" s="399"/>
      <c r="EQ273" s="399"/>
      <c r="ER273" s="399"/>
      <c r="ES273" s="399"/>
      <c r="ET273" s="399"/>
      <c r="EU273" s="399"/>
      <c r="EV273" s="399">
        <v>215</v>
      </c>
      <c r="EW273" s="399"/>
      <c r="EX273" s="399"/>
      <c r="EY273" s="399"/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274</v>
      </c>
      <c r="B274" s="399" t="s">
        <v>956</v>
      </c>
      <c r="C274" s="399" t="s">
        <v>2343</v>
      </c>
      <c r="D274" s="399" t="s">
        <v>2353</v>
      </c>
      <c r="E274" s="399" t="s">
        <v>894</v>
      </c>
      <c r="F274" s="399" t="s">
        <v>2360</v>
      </c>
      <c r="G274" s="399" t="s">
        <v>2361</v>
      </c>
      <c r="H274" s="399" t="s">
        <v>1239</v>
      </c>
      <c r="I274" s="399" t="s">
        <v>1239</v>
      </c>
      <c r="J274" s="399" t="s">
        <v>2344</v>
      </c>
      <c r="K274" s="791">
        <v>44593</v>
      </c>
      <c r="L274" s="399">
        <v>0</v>
      </c>
      <c r="M274" s="399">
        <v>0</v>
      </c>
      <c r="N274" s="399">
        <v>0.1</v>
      </c>
      <c r="O274" s="399">
        <v>0.1</v>
      </c>
      <c r="P274" s="399">
        <v>0.1</v>
      </c>
      <c r="Q274" s="399">
        <v>0.1</v>
      </c>
      <c r="R274" s="399"/>
      <c r="S274" s="399">
        <v>239.69</v>
      </c>
      <c r="T274" s="399">
        <v>171.61</v>
      </c>
      <c r="U274" s="399"/>
      <c r="V274" s="399">
        <v>41.13</v>
      </c>
      <c r="W274" s="399">
        <v>41.13</v>
      </c>
      <c r="X274" s="399">
        <v>40.978999999999999</v>
      </c>
      <c r="Y274" s="399">
        <v>0</v>
      </c>
      <c r="Z274" s="399">
        <v>6.0457299313832999</v>
      </c>
      <c r="AA274" s="399">
        <v>0</v>
      </c>
      <c r="AB274" s="399">
        <v>0</v>
      </c>
      <c r="AC274" s="399">
        <v>0</v>
      </c>
      <c r="AD274" s="399">
        <v>5.3335993028242905</v>
      </c>
      <c r="AE274" s="399">
        <v>8.8614726247913893</v>
      </c>
      <c r="AF274" s="399">
        <v>16.537422770173002</v>
      </c>
      <c r="AG274" s="399">
        <v>0.62353569466357606</v>
      </c>
      <c r="AH274" s="399">
        <v>0</v>
      </c>
      <c r="AI274" s="399">
        <v>0</v>
      </c>
      <c r="AJ274" s="399">
        <v>0</v>
      </c>
      <c r="AK274" s="399">
        <v>0</v>
      </c>
      <c r="AL274" s="399">
        <v>0.9348110777410531</v>
      </c>
      <c r="AM274" s="399"/>
      <c r="AN274" s="399">
        <v>3.9605164641784707E-2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1.6009912922651901</v>
      </c>
      <c r="BH274" s="399">
        <v>0</v>
      </c>
      <c r="BI274" s="399">
        <v>0</v>
      </c>
      <c r="BJ274" s="399">
        <v>0</v>
      </c>
      <c r="BK274" s="399">
        <v>0</v>
      </c>
      <c r="BL274" s="399">
        <v>0</v>
      </c>
      <c r="BM274" s="399"/>
      <c r="BN274" s="399"/>
      <c r="BO274" s="399"/>
      <c r="BP274" s="399"/>
      <c r="BQ274" s="399"/>
      <c r="BR274" s="399">
        <v>4.9169999999999989</v>
      </c>
      <c r="BS274" s="399"/>
      <c r="BT274" s="399"/>
      <c r="BU274" s="399"/>
      <c r="BV274" s="399">
        <v>18.138414062438191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36.061999999999998</v>
      </c>
      <c r="CJ274" s="399">
        <v>-0.16300000000001091</v>
      </c>
      <c r="CK274" s="399"/>
      <c r="CL274" s="399"/>
      <c r="CM274" s="399"/>
      <c r="CN274" s="399"/>
      <c r="CO274" s="399">
        <v>-2.402000000000001</v>
      </c>
      <c r="CP274" s="399">
        <v>2.250999999999999</v>
      </c>
      <c r="CQ274" s="399">
        <v>29</v>
      </c>
      <c r="CR274" s="399">
        <v>1.7653643119868505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0.24018597777145967</v>
      </c>
      <c r="DA274" s="399">
        <v>0</v>
      </c>
      <c r="DB274" s="399">
        <v>0</v>
      </c>
      <c r="DC274" s="399">
        <v>2.2515346650445984</v>
      </c>
      <c r="DD274" s="399">
        <v>0</v>
      </c>
      <c r="DE274" s="399">
        <v>0</v>
      </c>
      <c r="DF274" s="399">
        <v>0</v>
      </c>
      <c r="DG274" s="399">
        <v>0.21797153299310001</v>
      </c>
      <c r="DH274" s="399">
        <v>0</v>
      </c>
      <c r="DI274" s="399">
        <v>-0.83039765313518021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-0.10773100446018002</v>
      </c>
      <c r="DP274" s="399">
        <v>-6.1992062269533091E-3</v>
      </c>
      <c r="DQ274" s="399">
        <v>0</v>
      </c>
      <c r="DR274" s="399">
        <v>0</v>
      </c>
      <c r="DS274" s="399"/>
      <c r="DT274" s="399"/>
      <c r="DU274" s="399"/>
      <c r="DV274" s="399">
        <v>8.8614726247913893</v>
      </c>
      <c r="DW274" s="399">
        <v>0</v>
      </c>
      <c r="DX274" s="399">
        <v>0</v>
      </c>
      <c r="DY274" s="399">
        <v>-2.402000000000001</v>
      </c>
      <c r="DZ274" s="399">
        <v>2.2510000000000012</v>
      </c>
      <c r="EA274" s="399">
        <v>0</v>
      </c>
      <c r="EB274" s="399">
        <v>0</v>
      </c>
      <c r="EC274" s="399">
        <v>-1.915802568680939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1.1528996596429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215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276</v>
      </c>
      <c r="B275" s="399" t="s">
        <v>956</v>
      </c>
      <c r="C275" s="399" t="s">
        <v>2343</v>
      </c>
      <c r="D275" s="399" t="s">
        <v>2353</v>
      </c>
      <c r="E275" s="399" t="s">
        <v>894</v>
      </c>
      <c r="F275" s="399" t="s">
        <v>2363</v>
      </c>
      <c r="G275" s="399" t="s">
        <v>2361</v>
      </c>
      <c r="H275" s="399" t="s">
        <v>1239</v>
      </c>
      <c r="I275" s="399" t="s">
        <v>1239</v>
      </c>
      <c r="J275" s="399" t="s">
        <v>2344</v>
      </c>
      <c r="K275" s="791">
        <v>44593</v>
      </c>
      <c r="L275" s="399">
        <v>0</v>
      </c>
      <c r="M275" s="399">
        <v>0</v>
      </c>
      <c r="N275" s="399">
        <v>0</v>
      </c>
      <c r="O275" s="399">
        <v>0</v>
      </c>
      <c r="P275" s="399">
        <v>0</v>
      </c>
      <c r="Q275" s="399">
        <v>0</v>
      </c>
      <c r="R275" s="399"/>
      <c r="S275" s="399"/>
      <c r="T275" s="399"/>
      <c r="U275" s="399"/>
      <c r="V275" s="399"/>
      <c r="W275" s="399"/>
      <c r="X275" s="399"/>
      <c r="Y275" s="399"/>
      <c r="Z275" s="399"/>
      <c r="AA275" s="399">
        <v>0</v>
      </c>
      <c r="AB275" s="399"/>
      <c r="AC275" s="399"/>
      <c r="AD275" s="399"/>
      <c r="AE275" s="399"/>
      <c r="AF275" s="399"/>
      <c r="AG275" s="399"/>
      <c r="AH275" s="399"/>
      <c r="AI275" s="399"/>
      <c r="AJ275" s="399"/>
      <c r="AK275" s="399"/>
      <c r="AL275" s="399"/>
      <c r="AM275" s="399"/>
      <c r="AN275" s="399"/>
      <c r="AO275" s="399"/>
      <c r="AP275" s="399"/>
      <c r="AQ275" s="399"/>
      <c r="AR275" s="399"/>
      <c r="AS275" s="399"/>
      <c r="AT275" s="399"/>
      <c r="AU275" s="399"/>
      <c r="AV275" s="399"/>
      <c r="AW275" s="399"/>
      <c r="AX275" s="399"/>
      <c r="AY275" s="399"/>
      <c r="AZ275" s="399">
        <v>0</v>
      </c>
      <c r="BA275" s="399"/>
      <c r="BB275" s="399"/>
      <c r="BC275" s="399"/>
      <c r="BD275" s="399"/>
      <c r="BE275" s="399"/>
      <c r="BF275" s="399"/>
      <c r="BG275" s="399"/>
      <c r="BH275" s="399"/>
      <c r="BI275" s="399">
        <v>0</v>
      </c>
      <c r="BJ275" s="399">
        <v>0</v>
      </c>
      <c r="BK275" s="399">
        <v>22977.81</v>
      </c>
      <c r="BL275" s="399">
        <v>21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/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/>
      <c r="CJ275" s="399">
        <v>-0.03</v>
      </c>
      <c r="CK275" s="399"/>
      <c r="CL275" s="399"/>
      <c r="CM275" s="399"/>
      <c r="CN275" s="399"/>
      <c r="CO275" s="399">
        <v>0</v>
      </c>
      <c r="CP275" s="399">
        <v>0</v>
      </c>
      <c r="CQ275" s="399">
        <v>29</v>
      </c>
      <c r="CR275" s="399"/>
      <c r="CS275" s="399"/>
      <c r="CT275" s="399"/>
      <c r="CU275" s="399"/>
      <c r="CV275" s="399"/>
      <c r="CW275" s="399"/>
      <c r="CX275" s="399"/>
      <c r="CY275" s="399"/>
      <c r="CZ275" s="399"/>
      <c r="DA275" s="399"/>
      <c r="DB275" s="399"/>
      <c r="DC275" s="399"/>
      <c r="DD275" s="399"/>
      <c r="DE275" s="399"/>
      <c r="DF275" s="399"/>
      <c r="DG275" s="399"/>
      <c r="DH275" s="399"/>
      <c r="DI275" s="399"/>
      <c r="DJ275" s="399"/>
      <c r="DK275" s="399">
        <v>0</v>
      </c>
      <c r="DL275" s="399"/>
      <c r="DM275" s="399"/>
      <c r="DN275" s="399"/>
      <c r="DO275" s="399"/>
      <c r="DP275" s="399"/>
      <c r="DQ275" s="399"/>
      <c r="DR275" s="399"/>
      <c r="DS275" s="399"/>
      <c r="DT275" s="399"/>
      <c r="DU275" s="399"/>
      <c r="DV275" s="399"/>
      <c r="DW275" s="399"/>
      <c r="DX275" s="399"/>
      <c r="DY275" s="399"/>
      <c r="DZ275" s="399"/>
      <c r="EA275" s="399"/>
      <c r="EB275" s="399"/>
      <c r="EC275" s="399"/>
      <c r="ED275" s="399"/>
      <c r="EE275" s="399"/>
      <c r="EF275" s="399"/>
      <c r="EG275" s="399"/>
      <c r="EH275" s="399"/>
      <c r="EI275" s="399"/>
      <c r="EJ275" s="399"/>
      <c r="EK275" s="399"/>
      <c r="EL275" s="399"/>
      <c r="EM275" s="399"/>
      <c r="EN275" s="399"/>
      <c r="EO275" s="399"/>
      <c r="EP275" s="399"/>
      <c r="EQ275" s="399"/>
      <c r="ER275" s="399"/>
      <c r="ES275" s="399"/>
      <c r="ET275" s="399"/>
      <c r="EU275" s="399"/>
      <c r="EV275" s="399">
        <v>215</v>
      </c>
      <c r="EW275" s="399"/>
      <c r="EX275" s="399"/>
      <c r="EY275" s="399"/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277</v>
      </c>
      <c r="B276" s="399" t="s">
        <v>2346</v>
      </c>
      <c r="C276" s="399" t="s">
        <v>2343</v>
      </c>
      <c r="D276" s="399" t="s">
        <v>2353</v>
      </c>
      <c r="E276" s="399" t="s">
        <v>894</v>
      </c>
      <c r="F276" s="399" t="s">
        <v>2363</v>
      </c>
      <c r="G276" s="399" t="s">
        <v>2361</v>
      </c>
      <c r="H276" s="399" t="s">
        <v>1239</v>
      </c>
      <c r="I276" s="399" t="s">
        <v>1239</v>
      </c>
      <c r="J276" s="399" t="s">
        <v>2344</v>
      </c>
      <c r="K276" s="791">
        <v>44593</v>
      </c>
      <c r="L276" s="399">
        <v>0</v>
      </c>
      <c r="M276" s="399">
        <v>0</v>
      </c>
      <c r="N276" s="399">
        <v>0</v>
      </c>
      <c r="O276" s="399">
        <v>0</v>
      </c>
      <c r="P276" s="399">
        <v>0</v>
      </c>
      <c r="Q276" s="399">
        <v>0</v>
      </c>
      <c r="R276" s="399"/>
      <c r="S276" s="399"/>
      <c r="T276" s="399"/>
      <c r="U276" s="399"/>
      <c r="V276" s="399"/>
      <c r="W276" s="399"/>
      <c r="X276" s="399"/>
      <c r="Y276" s="399"/>
      <c r="Z276" s="399"/>
      <c r="AA276" s="399">
        <v>0</v>
      </c>
      <c r="AB276" s="399"/>
      <c r="AC276" s="399"/>
      <c r="AD276" s="399"/>
      <c r="AE276" s="399"/>
      <c r="AF276" s="399"/>
      <c r="AG276" s="399"/>
      <c r="AH276" s="399"/>
      <c r="AI276" s="399"/>
      <c r="AJ276" s="399"/>
      <c r="AK276" s="399"/>
      <c r="AL276" s="399"/>
      <c r="AM276" s="399"/>
      <c r="AN276" s="399"/>
      <c r="AO276" s="399"/>
      <c r="AP276" s="399"/>
      <c r="AQ276" s="399"/>
      <c r="AR276" s="399"/>
      <c r="AS276" s="399"/>
      <c r="AT276" s="399"/>
      <c r="AU276" s="399"/>
      <c r="AV276" s="399"/>
      <c r="AW276" s="399"/>
      <c r="AX276" s="399"/>
      <c r="AY276" s="399"/>
      <c r="AZ276" s="399">
        <v>0</v>
      </c>
      <c r="BA276" s="399"/>
      <c r="BB276" s="399"/>
      <c r="BC276" s="399"/>
      <c r="BD276" s="399"/>
      <c r="BE276" s="399"/>
      <c r="BF276" s="399"/>
      <c r="BG276" s="399"/>
      <c r="BH276" s="399"/>
      <c r="BI276" s="399">
        <v>0</v>
      </c>
      <c r="BJ276" s="399">
        <v>0</v>
      </c>
      <c r="BK276" s="399">
        <v>309.29000000000002</v>
      </c>
      <c r="BL276" s="399">
        <v>1</v>
      </c>
      <c r="BM276" s="399"/>
      <c r="BN276" s="399"/>
      <c r="BO276" s="399"/>
      <c r="BP276" s="399"/>
      <c r="BQ276" s="399"/>
      <c r="BR276" s="399"/>
      <c r="BS276" s="399"/>
      <c r="BT276" s="399"/>
      <c r="BU276" s="399"/>
      <c r="BV276" s="399"/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/>
      <c r="CJ276" s="399">
        <v>-0.03</v>
      </c>
      <c r="CK276" s="399"/>
      <c r="CL276" s="399"/>
      <c r="CM276" s="399"/>
      <c r="CN276" s="399"/>
      <c r="CO276" s="399">
        <v>0</v>
      </c>
      <c r="CP276" s="399">
        <v>0</v>
      </c>
      <c r="CQ276" s="399">
        <v>29</v>
      </c>
      <c r="CR276" s="399"/>
      <c r="CS276" s="399"/>
      <c r="CT276" s="399"/>
      <c r="CU276" s="399"/>
      <c r="CV276" s="399"/>
      <c r="CW276" s="399"/>
      <c r="CX276" s="399"/>
      <c r="CY276" s="399"/>
      <c r="CZ276" s="399"/>
      <c r="DA276" s="399"/>
      <c r="DB276" s="399"/>
      <c r="DC276" s="399"/>
      <c r="DD276" s="399"/>
      <c r="DE276" s="399"/>
      <c r="DF276" s="399"/>
      <c r="DG276" s="399"/>
      <c r="DH276" s="399"/>
      <c r="DI276" s="399"/>
      <c r="DJ276" s="399"/>
      <c r="DK276" s="399">
        <v>0</v>
      </c>
      <c r="DL276" s="399"/>
      <c r="DM276" s="399"/>
      <c r="DN276" s="399"/>
      <c r="DO276" s="399"/>
      <c r="DP276" s="399"/>
      <c r="DQ276" s="399"/>
      <c r="DR276" s="399"/>
      <c r="DS276" s="399"/>
      <c r="DT276" s="399"/>
      <c r="DU276" s="399"/>
      <c r="DV276" s="399"/>
      <c r="DW276" s="399"/>
      <c r="DX276" s="399"/>
      <c r="DY276" s="399"/>
      <c r="DZ276" s="399"/>
      <c r="EA276" s="399"/>
      <c r="EB276" s="399"/>
      <c r="EC276" s="399"/>
      <c r="ED276" s="399"/>
      <c r="EE276" s="399"/>
      <c r="EF276" s="399"/>
      <c r="EG276" s="399"/>
      <c r="EH276" s="399"/>
      <c r="EI276" s="399"/>
      <c r="EJ276" s="399"/>
      <c r="EK276" s="399"/>
      <c r="EL276" s="399"/>
      <c r="EM276" s="399"/>
      <c r="EN276" s="399"/>
      <c r="EO276" s="399"/>
      <c r="EP276" s="399"/>
      <c r="EQ276" s="399"/>
      <c r="ER276" s="399"/>
      <c r="ES276" s="399"/>
      <c r="ET276" s="399"/>
      <c r="EU276" s="399"/>
      <c r="EV276" s="399">
        <v>215</v>
      </c>
      <c r="EW276" s="399"/>
      <c r="EX276" s="399"/>
      <c r="EY276" s="399"/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278</v>
      </c>
      <c r="B277" s="399" t="s">
        <v>956</v>
      </c>
      <c r="C277" s="399" t="s">
        <v>2343</v>
      </c>
      <c r="D277" s="399" t="s">
        <v>2353</v>
      </c>
      <c r="E277" s="399" t="s">
        <v>894</v>
      </c>
      <c r="F277" s="399" t="s">
        <v>2363</v>
      </c>
      <c r="G277" s="399" t="s">
        <v>2361</v>
      </c>
      <c r="H277" s="399" t="s">
        <v>1239</v>
      </c>
      <c r="I277" s="399" t="s">
        <v>1239</v>
      </c>
      <c r="J277" s="399" t="s">
        <v>2344</v>
      </c>
      <c r="K277" s="791">
        <v>44593</v>
      </c>
      <c r="L277" s="399">
        <v>0</v>
      </c>
      <c r="M277" s="399">
        <v>0</v>
      </c>
      <c r="N277" s="399">
        <v>53.286999999999999</v>
      </c>
      <c r="O277" s="399">
        <v>53.286999999999999</v>
      </c>
      <c r="P277" s="399">
        <v>53.286999999999999</v>
      </c>
      <c r="Q277" s="399">
        <v>53.286999999999999</v>
      </c>
      <c r="R277" s="399"/>
      <c r="S277" s="399">
        <v>239.69</v>
      </c>
      <c r="T277" s="399">
        <v>171.61</v>
      </c>
      <c r="U277" s="399"/>
      <c r="V277" s="399">
        <v>21916.9431</v>
      </c>
      <c r="W277" s="399">
        <v>21916.9431</v>
      </c>
      <c r="X277" s="399">
        <v>21836.479729999999</v>
      </c>
      <c r="Y277" s="399">
        <v>0</v>
      </c>
      <c r="Z277" s="399">
        <v>3221.5881085362189</v>
      </c>
      <c r="AA277" s="399">
        <v>0</v>
      </c>
      <c r="AB277" s="399">
        <v>0</v>
      </c>
      <c r="AC277" s="399">
        <v>0</v>
      </c>
      <c r="AD277" s="399">
        <v>2842.1150604959794</v>
      </c>
      <c r="AE277" s="399">
        <v>4722.0129175725879</v>
      </c>
      <c r="AF277" s="399">
        <v>8812.2964715420876</v>
      </c>
      <c r="AG277" s="399">
        <v>332.26346561537974</v>
      </c>
      <c r="AH277" s="399">
        <v>0</v>
      </c>
      <c r="AI277" s="399">
        <v>0</v>
      </c>
      <c r="AJ277" s="399">
        <v>0</v>
      </c>
      <c r="AK277" s="399">
        <v>0</v>
      </c>
      <c r="AL277" s="399">
        <v>498.13277899587496</v>
      </c>
      <c r="AM277" s="399"/>
      <c r="AN277" s="399">
        <v>21.104404082667813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853.12022990935179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/>
      <c r="BO277" s="399"/>
      <c r="BP277" s="399"/>
      <c r="BQ277" s="399"/>
      <c r="BR277" s="399">
        <v>2620.1217899999992</v>
      </c>
      <c r="BS277" s="399"/>
      <c r="BT277" s="399"/>
      <c r="BU277" s="399"/>
      <c r="BV277" s="399">
        <v>9665.4167014514387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19217.4398</v>
      </c>
      <c r="CJ277" s="399">
        <v>-69.81984999999986</v>
      </c>
      <c r="CK277" s="399"/>
      <c r="CL277" s="399"/>
      <c r="CM277" s="399"/>
      <c r="CN277" s="399"/>
      <c r="CO277" s="399">
        <v>-1279.9537400000006</v>
      </c>
      <c r="CP277" s="399">
        <v>1199.4903699999995</v>
      </c>
      <c r="CQ277" s="399">
        <v>29</v>
      </c>
      <c r="CR277" s="399">
        <v>940.70968092843032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127.98790197507788</v>
      </c>
      <c r="DA277" s="399">
        <v>0</v>
      </c>
      <c r="DB277" s="399">
        <v>0</v>
      </c>
      <c r="DC277" s="399">
        <v>1199.7752769623148</v>
      </c>
      <c r="DD277" s="399">
        <v>0</v>
      </c>
      <c r="DE277" s="399">
        <v>0</v>
      </c>
      <c r="DF277" s="399">
        <v>0</v>
      </c>
      <c r="DG277" s="399">
        <v>116.15049078603317</v>
      </c>
      <c r="DH277" s="399">
        <v>0</v>
      </c>
      <c r="DI277" s="399">
        <v>-442.49399742614332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-57.406620346696116</v>
      </c>
      <c r="DP277" s="399">
        <v>-3.3033710221566039</v>
      </c>
      <c r="DQ277" s="399">
        <v>0</v>
      </c>
      <c r="DR277" s="399">
        <v>0</v>
      </c>
      <c r="DS277" s="399"/>
      <c r="DT277" s="399"/>
      <c r="DU277" s="399"/>
      <c r="DV277" s="399">
        <v>4722.0129175725879</v>
      </c>
      <c r="DW277" s="399">
        <v>0</v>
      </c>
      <c r="DX277" s="399">
        <v>0</v>
      </c>
      <c r="DY277" s="399">
        <v>-1279.9537400000008</v>
      </c>
      <c r="DZ277" s="399">
        <v>1199.4903699999995</v>
      </c>
      <c r="EA277" s="399">
        <v>0</v>
      </c>
      <c r="EB277" s="399">
        <v>0</v>
      </c>
      <c r="EC277" s="399">
        <v>-1020.8737147730126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614.34564163391212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215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279</v>
      </c>
      <c r="B278" s="399" t="s">
        <v>2346</v>
      </c>
      <c r="C278" s="399" t="s">
        <v>2343</v>
      </c>
      <c r="D278" s="399" t="s">
        <v>2353</v>
      </c>
      <c r="E278" s="399" t="s">
        <v>894</v>
      </c>
      <c r="F278" s="399" t="s">
        <v>2363</v>
      </c>
      <c r="G278" s="399" t="s">
        <v>2361</v>
      </c>
      <c r="H278" s="399" t="s">
        <v>1239</v>
      </c>
      <c r="I278" s="399" t="s">
        <v>1239</v>
      </c>
      <c r="J278" s="399" t="s">
        <v>2344</v>
      </c>
      <c r="K278" s="791">
        <v>44593</v>
      </c>
      <c r="L278" s="399">
        <v>0</v>
      </c>
      <c r="M278" s="399">
        <v>0</v>
      </c>
      <c r="N278" s="399">
        <v>1.385</v>
      </c>
      <c r="O278" s="399">
        <v>1.385</v>
      </c>
      <c r="P278" s="399">
        <v>1.385</v>
      </c>
      <c r="Q278" s="399">
        <v>1.385</v>
      </c>
      <c r="R278" s="399"/>
      <c r="S278" s="399">
        <v>239.69</v>
      </c>
      <c r="T278" s="399">
        <v>171.61</v>
      </c>
      <c r="U278" s="399"/>
      <c r="V278" s="399">
        <v>569.65049999999997</v>
      </c>
      <c r="W278" s="399">
        <v>569.65049999999997</v>
      </c>
      <c r="X278" s="399">
        <v>567.55915000000005</v>
      </c>
      <c r="Y278" s="399">
        <v>0</v>
      </c>
      <c r="Z278" s="399">
        <v>83.733359549658701</v>
      </c>
      <c r="AA278" s="399">
        <v>0</v>
      </c>
      <c r="AB278" s="399">
        <v>0</v>
      </c>
      <c r="AC278" s="399">
        <v>0</v>
      </c>
      <c r="AD278" s="399">
        <v>73.870350344116417</v>
      </c>
      <c r="AE278" s="399">
        <v>122.73139585336074</v>
      </c>
      <c r="AF278" s="399">
        <v>229.04330536689605</v>
      </c>
      <c r="AG278" s="399">
        <v>8.6359693710905283</v>
      </c>
      <c r="AH278" s="399">
        <v>0</v>
      </c>
      <c r="AI278" s="399">
        <v>0</v>
      </c>
      <c r="AJ278" s="399">
        <v>0</v>
      </c>
      <c r="AK278" s="399">
        <v>0</v>
      </c>
      <c r="AL278" s="399">
        <v>12.947133426713584</v>
      </c>
      <c r="AM278" s="399"/>
      <c r="AN278" s="399">
        <v>0.54853153028871815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22.173729397872883</v>
      </c>
      <c r="BH278" s="399">
        <v>0</v>
      </c>
      <c r="BI278" s="399">
        <v>0</v>
      </c>
      <c r="BJ278" s="399">
        <v>0</v>
      </c>
      <c r="BK278" s="399">
        <v>0</v>
      </c>
      <c r="BL278" s="399">
        <v>0</v>
      </c>
      <c r="BM278" s="399"/>
      <c r="BN278" s="399"/>
      <c r="BO278" s="399"/>
      <c r="BP278" s="399"/>
      <c r="BQ278" s="399"/>
      <c r="BR278" s="399">
        <v>68.100449999999981</v>
      </c>
      <c r="BS278" s="399"/>
      <c r="BT278" s="399"/>
      <c r="BU278" s="399"/>
      <c r="BV278" s="399">
        <v>251.21703476476893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501.26179999999999</v>
      </c>
      <c r="CJ278" s="399">
        <v>-6.8950000000029377E-2</v>
      </c>
      <c r="CK278" s="399"/>
      <c r="CL278" s="399"/>
      <c r="CM278" s="399"/>
      <c r="CN278" s="399"/>
      <c r="CO278" s="399">
        <v>-33.267700000000012</v>
      </c>
      <c r="CP278" s="399">
        <v>31.176349999999989</v>
      </c>
      <c r="CQ278" s="399">
        <v>29</v>
      </c>
      <c r="CR278" s="399">
        <v>24.450295721017767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3.3265757921347188</v>
      </c>
      <c r="DA278" s="399">
        <v>0</v>
      </c>
      <c r="DB278" s="399">
        <v>0</v>
      </c>
      <c r="DC278" s="399">
        <v>31.183755110867708</v>
      </c>
      <c r="DD278" s="399">
        <v>0</v>
      </c>
      <c r="DE278" s="399">
        <v>0</v>
      </c>
      <c r="DF278" s="399">
        <v>0</v>
      </c>
      <c r="DG278" s="399">
        <v>3.0189057319544332</v>
      </c>
      <c r="DH278" s="399">
        <v>0</v>
      </c>
      <c r="DI278" s="399">
        <v>-11.501007495922238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-1.4920744117734923</v>
      </c>
      <c r="DP278" s="399">
        <v>-8.5859006243303282E-2</v>
      </c>
      <c r="DQ278" s="399">
        <v>0</v>
      </c>
      <c r="DR278" s="399">
        <v>0</v>
      </c>
      <c r="DS278" s="399"/>
      <c r="DT278" s="399"/>
      <c r="DU278" s="399"/>
      <c r="DV278" s="399">
        <v>122.73139585336074</v>
      </c>
      <c r="DW278" s="399">
        <v>0</v>
      </c>
      <c r="DX278" s="399">
        <v>0</v>
      </c>
      <c r="DY278" s="399">
        <v>-33.267699999999991</v>
      </c>
      <c r="DZ278" s="399">
        <v>31.176349999999985</v>
      </c>
      <c r="EA278" s="399">
        <v>0</v>
      </c>
      <c r="EB278" s="399">
        <v>0</v>
      </c>
      <c r="EC278" s="399">
        <v>-26.533865576231008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15.967660286054166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215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280</v>
      </c>
      <c r="B279" s="399" t="s">
        <v>956</v>
      </c>
      <c r="C279" s="399" t="s">
        <v>2343</v>
      </c>
      <c r="D279" s="399" t="s">
        <v>2353</v>
      </c>
      <c r="E279" s="399" t="s">
        <v>894</v>
      </c>
      <c r="F279" s="399" t="s">
        <v>2363</v>
      </c>
      <c r="G279" s="399" t="s">
        <v>2362</v>
      </c>
      <c r="H279" s="399" t="s">
        <v>1239</v>
      </c>
      <c r="I279" s="399" t="s">
        <v>1239</v>
      </c>
      <c r="J279" s="399" t="s">
        <v>2344</v>
      </c>
      <c r="K279" s="791">
        <v>44593</v>
      </c>
      <c r="L279" s="399">
        <v>0</v>
      </c>
      <c r="M279" s="399">
        <v>0</v>
      </c>
      <c r="N279" s="399">
        <v>77.459999999999994</v>
      </c>
      <c r="O279" s="399">
        <v>30.984000000000002</v>
      </c>
      <c r="P279" s="399">
        <v>77.459999999999994</v>
      </c>
      <c r="Q279" s="399">
        <v>30.984000000000002</v>
      </c>
      <c r="R279" s="399"/>
      <c r="S279" s="399">
        <v>239.69</v>
      </c>
      <c r="T279" s="399">
        <v>171.61</v>
      </c>
      <c r="U279" s="399"/>
      <c r="V279" s="399">
        <v>31859.297999999999</v>
      </c>
      <c r="W279" s="399">
        <v>31859.297999999999</v>
      </c>
      <c r="X279" s="399">
        <v>31742.333399999996</v>
      </c>
      <c r="Y279" s="399">
        <v>0</v>
      </c>
      <c r="Z279" s="399">
        <v>4683.0224048495038</v>
      </c>
      <c r="AA279" s="399">
        <v>0</v>
      </c>
      <c r="AB279" s="399">
        <v>0</v>
      </c>
      <c r="AC279" s="399">
        <v>0</v>
      </c>
      <c r="AD279" s="399">
        <v>4131.4060199676951</v>
      </c>
      <c r="AE279" s="399">
        <v>6864.09669516341</v>
      </c>
      <c r="AF279" s="399">
        <v>12809.887677776005</v>
      </c>
      <c r="AG279" s="399">
        <v>482.99074908640597</v>
      </c>
      <c r="AH279" s="399">
        <v>0</v>
      </c>
      <c r="AI279" s="399">
        <v>0</v>
      </c>
      <c r="AJ279" s="399">
        <v>0</v>
      </c>
      <c r="AK279" s="399">
        <v>0</v>
      </c>
      <c r="AL279" s="399">
        <v>724.1046608182196</v>
      </c>
      <c r="AM279" s="399"/>
      <c r="AN279" s="399">
        <v>30.678160531526427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1240.127854988616</v>
      </c>
      <c r="BH279" s="399">
        <v>0</v>
      </c>
      <c r="BI279" s="399">
        <v>0</v>
      </c>
      <c r="BJ279" s="399">
        <v>0</v>
      </c>
      <c r="BK279" s="399">
        <v>0</v>
      </c>
      <c r="BL279" s="399">
        <v>0</v>
      </c>
      <c r="BM279" s="399"/>
      <c r="BN279" s="399"/>
      <c r="BO279" s="399"/>
      <c r="BP279" s="399"/>
      <c r="BQ279" s="399"/>
      <c r="BR279" s="399"/>
      <c r="BS279" s="399">
        <v>20568.883319999994</v>
      </c>
      <c r="BT279" s="399"/>
      <c r="BU279" s="399"/>
      <c r="BV279" s="399">
        <v>14050.015532764621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11172.007600000001</v>
      </c>
      <c r="CJ279" s="399">
        <v>-42.681200000000899</v>
      </c>
      <c r="CK279" s="399"/>
      <c r="CL279" s="399"/>
      <c r="CM279" s="399"/>
      <c r="CN279" s="399"/>
      <c r="CO279" s="399">
        <v>-1860.5892000000006</v>
      </c>
      <c r="CP279" s="399">
        <v>1743.6245999999992</v>
      </c>
      <c r="CQ279" s="399">
        <v>29</v>
      </c>
      <c r="CR279" s="399">
        <v>1367.4511960650125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186.04805838177253</v>
      </c>
      <c r="DA279" s="399">
        <v>0</v>
      </c>
      <c r="DB279" s="399">
        <v>0</v>
      </c>
      <c r="DC279" s="399">
        <v>1744.0387515435468</v>
      </c>
      <c r="DD279" s="399">
        <v>0</v>
      </c>
      <c r="DE279" s="399">
        <v>0</v>
      </c>
      <c r="DF279" s="399">
        <v>0</v>
      </c>
      <c r="DG279" s="399">
        <v>168.84074945645534</v>
      </c>
      <c r="DH279" s="399">
        <v>0</v>
      </c>
      <c r="DI279" s="399">
        <v>-643.22602211851063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-83.448436054855392</v>
      </c>
      <c r="DP279" s="399">
        <v>-4.8019051433980273</v>
      </c>
      <c r="DQ279" s="399">
        <v>0</v>
      </c>
      <c r="DR279" s="399">
        <v>0</v>
      </c>
      <c r="DS279" s="399"/>
      <c r="DT279" s="399"/>
      <c r="DU279" s="399"/>
      <c r="DV279" s="399">
        <v>6864.09669516341</v>
      </c>
      <c r="DW279" s="399">
        <v>0</v>
      </c>
      <c r="DX279" s="399">
        <v>0</v>
      </c>
      <c r="DY279" s="399">
        <v>-1860.5892000000022</v>
      </c>
      <c r="DZ279" s="399">
        <v>1743.6245999999992</v>
      </c>
      <c r="EA279" s="399">
        <v>0</v>
      </c>
      <c r="EB279" s="399">
        <v>0</v>
      </c>
      <c r="EC279" s="399">
        <v>-1483.9806697002559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893.03607635939022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215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281</v>
      </c>
      <c r="B280" s="399" t="s">
        <v>956</v>
      </c>
      <c r="C280" s="399" t="s">
        <v>2343</v>
      </c>
      <c r="D280" s="399" t="s">
        <v>1823</v>
      </c>
      <c r="E280" s="399" t="s">
        <v>889</v>
      </c>
      <c r="F280" s="399" t="s">
        <v>889</v>
      </c>
      <c r="G280" s="399" t="s">
        <v>1239</v>
      </c>
      <c r="H280" s="399" t="s">
        <v>1239</v>
      </c>
      <c r="I280" s="399" t="s">
        <v>1239</v>
      </c>
      <c r="J280" s="399" t="s">
        <v>2344</v>
      </c>
      <c r="K280" s="791">
        <v>44621</v>
      </c>
      <c r="L280" s="399">
        <v>0</v>
      </c>
      <c r="M280" s="399">
        <v>0</v>
      </c>
      <c r="N280" s="399">
        <v>1528.277</v>
      </c>
      <c r="O280" s="399">
        <v>1528.277</v>
      </c>
      <c r="P280" s="399">
        <v>1528.277</v>
      </c>
      <c r="Q280" s="399">
        <v>1528.277</v>
      </c>
      <c r="R280" s="399"/>
      <c r="S280" s="399">
        <v>239.69</v>
      </c>
      <c r="T280" s="399">
        <v>171.61</v>
      </c>
      <c r="U280" s="399"/>
      <c r="V280" s="399">
        <v>628580.33010000002</v>
      </c>
      <c r="W280" s="399">
        <v>628580.33010000002</v>
      </c>
      <c r="X280" s="399">
        <v>626272.63183000009</v>
      </c>
      <c r="Y280" s="399">
        <v>0</v>
      </c>
      <c r="Z280" s="399">
        <v>92395.500023446759</v>
      </c>
      <c r="AA280" s="399">
        <v>0</v>
      </c>
      <c r="AB280" s="399">
        <v>0</v>
      </c>
      <c r="AC280" s="399">
        <v>0</v>
      </c>
      <c r="AD280" s="399">
        <v>81512.171417223988</v>
      </c>
      <c r="AE280" s="399">
        <v>135427.8479859831</v>
      </c>
      <c r="AF280" s="399">
        <v>252737.62858931682</v>
      </c>
      <c r="AG280" s="399">
        <v>9529.3526083336601</v>
      </c>
      <c r="AH280" s="399">
        <v>0</v>
      </c>
      <c r="AI280" s="399">
        <v>0</v>
      </c>
      <c r="AJ280" s="399">
        <v>0</v>
      </c>
      <c r="AK280" s="399">
        <v>0</v>
      </c>
      <c r="AL280" s="399">
        <v>14286.502694568635</v>
      </c>
      <c r="AM280" s="399"/>
      <c r="AN280" s="399">
        <v>605.27662203252805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24467.581691691677</v>
      </c>
      <c r="BH280" s="399">
        <v>0</v>
      </c>
      <c r="BI280" s="399">
        <v>0</v>
      </c>
      <c r="BJ280" s="399">
        <v>0</v>
      </c>
      <c r="BK280" s="399">
        <v>212012.23</v>
      </c>
      <c r="BL280" s="399">
        <v>4666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277205.21028100851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626273.86119999993</v>
      </c>
      <c r="CJ280" s="399">
        <v>-2306.4989000001224</v>
      </c>
      <c r="CK280" s="399"/>
      <c r="CL280" s="399"/>
      <c r="CM280" s="399"/>
      <c r="CN280" s="399"/>
      <c r="CO280" s="399">
        <v>-36709.213540000019</v>
      </c>
      <c r="CP280" s="399">
        <v>34401.515269999989</v>
      </c>
      <c r="CQ280" s="399">
        <v>31</v>
      </c>
      <c r="CR280" s="399">
        <v>26979.656746303255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3670.7070555063256</v>
      </c>
      <c r="DA280" s="399">
        <v>0</v>
      </c>
      <c r="DB280" s="399">
        <v>0</v>
      </c>
      <c r="DC280" s="399">
        <v>34409.686432903662</v>
      </c>
      <c r="DD280" s="399">
        <v>0</v>
      </c>
      <c r="DE280" s="399">
        <v>0</v>
      </c>
      <c r="DF280" s="399">
        <v>0</v>
      </c>
      <c r="DG280" s="399">
        <v>3331.2088052809595</v>
      </c>
      <c r="DH280" s="399">
        <v>0</v>
      </c>
      <c r="DI280" s="399">
        <v>-12690.776341404737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-1646.4281630339065</v>
      </c>
      <c r="DP280" s="399">
        <v>-94.741042949095174</v>
      </c>
      <c r="DQ280" s="399">
        <v>0</v>
      </c>
      <c r="DR280" s="399">
        <v>0</v>
      </c>
      <c r="DS280" s="399"/>
      <c r="DT280" s="399"/>
      <c r="DU280" s="399"/>
      <c r="DV280" s="399">
        <v>135427.8479859831</v>
      </c>
      <c r="DW280" s="399">
        <v>0</v>
      </c>
      <c r="DX280" s="399">
        <v>0</v>
      </c>
      <c r="DY280" s="399">
        <v>-36709.213539999968</v>
      </c>
      <c r="DZ280" s="399">
        <v>34401.515269999974</v>
      </c>
      <c r="EA280" s="399">
        <v>0</v>
      </c>
      <c r="EB280" s="399">
        <v>0</v>
      </c>
      <c r="EC280" s="399">
        <v>-29278.770022559998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17619.500331400723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215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282</v>
      </c>
      <c r="B281" s="399" t="s">
        <v>2345</v>
      </c>
      <c r="C281" s="399" t="s">
        <v>2343</v>
      </c>
      <c r="D281" s="399" t="s">
        <v>1823</v>
      </c>
      <c r="E281" s="399" t="s">
        <v>889</v>
      </c>
      <c r="F281" s="399" t="s">
        <v>889</v>
      </c>
      <c r="G281" s="399" t="s">
        <v>1239</v>
      </c>
      <c r="H281" s="399" t="s">
        <v>1239</v>
      </c>
      <c r="I281" s="399" t="s">
        <v>1239</v>
      </c>
      <c r="J281" s="399" t="s">
        <v>2344</v>
      </c>
      <c r="K281" s="791">
        <v>44621</v>
      </c>
      <c r="L281" s="399">
        <v>0</v>
      </c>
      <c r="M281" s="399">
        <v>0</v>
      </c>
      <c r="N281" s="399">
        <v>-2.7429999999999999</v>
      </c>
      <c r="O281" s="399">
        <v>-2.7429999999999999</v>
      </c>
      <c r="P281" s="399">
        <v>-2.7429999999999999</v>
      </c>
      <c r="Q281" s="399">
        <v>-2.7429999999999999</v>
      </c>
      <c r="R281" s="399"/>
      <c r="S281" s="399">
        <v>239.69</v>
      </c>
      <c r="T281" s="399">
        <v>171.61</v>
      </c>
      <c r="U281" s="399"/>
      <c r="V281" s="399">
        <v>-1128.1958999999999</v>
      </c>
      <c r="W281" s="399">
        <v>-1128.1958999999999</v>
      </c>
      <c r="X281" s="399">
        <v>-1124.0539699999999</v>
      </c>
      <c r="Y281" s="399">
        <v>0</v>
      </c>
      <c r="Z281" s="399">
        <v>-165.83437201784392</v>
      </c>
      <c r="AA281" s="399">
        <v>0</v>
      </c>
      <c r="AB281" s="399">
        <v>0</v>
      </c>
      <c r="AC281" s="399">
        <v>0</v>
      </c>
      <c r="AD281" s="399">
        <v>-146.30062887647028</v>
      </c>
      <c r="AE281" s="399">
        <v>-243.0701940980278</v>
      </c>
      <c r="AF281" s="399">
        <v>-453.6215065858454</v>
      </c>
      <c r="AG281" s="399">
        <v>-17.103584104621891</v>
      </c>
      <c r="AH281" s="399">
        <v>0</v>
      </c>
      <c r="AI281" s="399">
        <v>0</v>
      </c>
      <c r="AJ281" s="399">
        <v>0</v>
      </c>
      <c r="AK281" s="399">
        <v>0</v>
      </c>
      <c r="AL281" s="399">
        <v>-25.641867862437085</v>
      </c>
      <c r="AM281" s="399"/>
      <c r="AN281" s="399">
        <v>-1.0863696661241544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-43.915191146834161</v>
      </c>
      <c r="BH281" s="399">
        <v>0</v>
      </c>
      <c r="BI281" s="399">
        <v>0</v>
      </c>
      <c r="BJ281" s="399">
        <v>0</v>
      </c>
      <c r="BK281" s="399">
        <v>-517.57000000000005</v>
      </c>
      <c r="BL281" s="399">
        <v>0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-497.53669773267956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-1122.8245999999999</v>
      </c>
      <c r="CJ281" s="399">
        <v>5.3413000000000466</v>
      </c>
      <c r="CK281" s="399"/>
      <c r="CL281" s="399"/>
      <c r="CM281" s="399"/>
      <c r="CN281" s="399"/>
      <c r="CO281" s="399">
        <v>65.886860000000027</v>
      </c>
      <c r="CP281" s="399">
        <v>-61.744929999999975</v>
      </c>
      <c r="CQ281" s="399">
        <v>31</v>
      </c>
      <c r="CR281" s="399">
        <v>-48.423943077799322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-6.5883013702711253</v>
      </c>
      <c r="DA281" s="399">
        <v>0</v>
      </c>
      <c r="DB281" s="399">
        <v>0</v>
      </c>
      <c r="DC281" s="399">
        <v>-61.759595862173342</v>
      </c>
      <c r="DD281" s="399">
        <v>0</v>
      </c>
      <c r="DE281" s="399">
        <v>0</v>
      </c>
      <c r="DF281" s="399">
        <v>0</v>
      </c>
      <c r="DG281" s="399">
        <v>-5.9789591500007333</v>
      </c>
      <c r="DH281" s="399">
        <v>0</v>
      </c>
      <c r="DI281" s="399">
        <v>22.777807625498014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2.9550614523427363</v>
      </c>
      <c r="DP281" s="399">
        <v>0.17004422680532916</v>
      </c>
      <c r="DQ281" s="399">
        <v>0</v>
      </c>
      <c r="DR281" s="399">
        <v>0</v>
      </c>
      <c r="DS281" s="399"/>
      <c r="DT281" s="399"/>
      <c r="DU281" s="399"/>
      <c r="DV281" s="399">
        <v>-243.0701940980278</v>
      </c>
      <c r="DW281" s="399">
        <v>0</v>
      </c>
      <c r="DX281" s="399">
        <v>0</v>
      </c>
      <c r="DY281" s="399">
        <v>65.886859999999956</v>
      </c>
      <c r="DZ281" s="399">
        <v>-61.744929999999897</v>
      </c>
      <c r="EA281" s="399">
        <v>0</v>
      </c>
      <c r="EB281" s="399">
        <v>0</v>
      </c>
      <c r="EC281" s="399">
        <v>52.550464458918157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-31.624037664004746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215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283</v>
      </c>
      <c r="B282" s="399" t="s">
        <v>2346</v>
      </c>
      <c r="C282" s="399" t="s">
        <v>2343</v>
      </c>
      <c r="D282" s="399" t="s">
        <v>1823</v>
      </c>
      <c r="E282" s="399" t="s">
        <v>889</v>
      </c>
      <c r="F282" s="399" t="s">
        <v>889</v>
      </c>
      <c r="G282" s="399" t="s">
        <v>1239</v>
      </c>
      <c r="H282" s="399" t="s">
        <v>1239</v>
      </c>
      <c r="I282" s="399" t="s">
        <v>1239</v>
      </c>
      <c r="J282" s="399" t="s">
        <v>2344</v>
      </c>
      <c r="K282" s="791">
        <v>44621</v>
      </c>
      <c r="L282" s="399">
        <v>0</v>
      </c>
      <c r="M282" s="399">
        <v>0</v>
      </c>
      <c r="N282" s="399">
        <v>4.2119999999999997</v>
      </c>
      <c r="O282" s="399">
        <v>4.2119999999999997</v>
      </c>
      <c r="P282" s="399">
        <v>4.2119999999999997</v>
      </c>
      <c r="Q282" s="399">
        <v>4.2119999999999997</v>
      </c>
      <c r="R282" s="399"/>
      <c r="S282" s="399">
        <v>239.69</v>
      </c>
      <c r="T282" s="399">
        <v>171.61</v>
      </c>
      <c r="U282" s="399"/>
      <c r="V282" s="399">
        <v>1732.3955999999998</v>
      </c>
      <c r="W282" s="399">
        <v>1732.3955999999998</v>
      </c>
      <c r="X282" s="399">
        <v>1726.03548</v>
      </c>
      <c r="Y282" s="399">
        <v>0</v>
      </c>
      <c r="Z282" s="399">
        <v>254.64614470986456</v>
      </c>
      <c r="AA282" s="399">
        <v>0</v>
      </c>
      <c r="AB282" s="399">
        <v>0</v>
      </c>
      <c r="AC282" s="399">
        <v>0</v>
      </c>
      <c r="AD282" s="399">
        <v>224.65120263495911</v>
      </c>
      <c r="AE282" s="399">
        <v>373.24522695621329</v>
      </c>
      <c r="AF282" s="399">
        <v>696.55624707968673</v>
      </c>
      <c r="AG282" s="399">
        <v>26.26332345922982</v>
      </c>
      <c r="AH282" s="399">
        <v>0</v>
      </c>
      <c r="AI282" s="399">
        <v>0</v>
      </c>
      <c r="AJ282" s="399">
        <v>0</v>
      </c>
      <c r="AK282" s="399">
        <v>0</v>
      </c>
      <c r="AL282" s="399">
        <v>39.37424259445315</v>
      </c>
      <c r="AM282" s="399"/>
      <c r="AN282" s="399">
        <v>1.6681695347119716</v>
      </c>
      <c r="AO282" s="399">
        <v>0</v>
      </c>
      <c r="AP282" s="399">
        <v>0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>
        <v>0</v>
      </c>
      <c r="BG282" s="399">
        <v>67.433753230209803</v>
      </c>
      <c r="BH282" s="399">
        <v>0</v>
      </c>
      <c r="BI282" s="399">
        <v>0</v>
      </c>
      <c r="BJ282" s="399">
        <v>0</v>
      </c>
      <c r="BK282" s="399">
        <v>1034.25</v>
      </c>
      <c r="BL282" s="399">
        <v>14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>
        <v>763.99000030989657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1725.2159000000001</v>
      </c>
      <c r="CJ282" s="399">
        <v>-7.2096999999996569</v>
      </c>
      <c r="CK282" s="399"/>
      <c r="CL282" s="399"/>
      <c r="CM282" s="399"/>
      <c r="CN282" s="399"/>
      <c r="CO282" s="399">
        <v>-101.17224000000003</v>
      </c>
      <c r="CP282" s="399">
        <v>94.81211999999995</v>
      </c>
      <c r="CQ282" s="399">
        <v>31</v>
      </c>
      <c r="CR282" s="399">
        <v>74.357144820886106</v>
      </c>
      <c r="CS282" s="399">
        <v>0</v>
      </c>
      <c r="CT282" s="399">
        <v>0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10.11663338373387</v>
      </c>
      <c r="DA282" s="399">
        <v>0</v>
      </c>
      <c r="DB282" s="399">
        <v>0</v>
      </c>
      <c r="DC282" s="399">
        <v>94.83464009167858</v>
      </c>
      <c r="DD282" s="399">
        <v>0</v>
      </c>
      <c r="DE282" s="399">
        <v>0</v>
      </c>
      <c r="DF282" s="399">
        <v>0</v>
      </c>
      <c r="DG282" s="399">
        <v>9.1809609696693713</v>
      </c>
      <c r="DH282" s="399">
        <v>0</v>
      </c>
      <c r="DI282" s="399">
        <v>-34.976349150053778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-4.5376299078627795</v>
      </c>
      <c r="DP282" s="399">
        <v>-0.2611105662792732</v>
      </c>
      <c r="DQ282" s="399">
        <v>0</v>
      </c>
      <c r="DR282" s="399">
        <v>0</v>
      </c>
      <c r="DS282" s="399"/>
      <c r="DT282" s="399"/>
      <c r="DU282" s="399"/>
      <c r="DV282" s="399">
        <v>373.24522695621329</v>
      </c>
      <c r="DW282" s="399">
        <v>0</v>
      </c>
      <c r="DX282" s="399">
        <v>0</v>
      </c>
      <c r="DY282" s="399">
        <v>-101.17223999999999</v>
      </c>
      <c r="DZ282" s="399">
        <v>94.812119999999936</v>
      </c>
      <c r="EA282" s="399">
        <v>0</v>
      </c>
      <c r="EB282" s="399">
        <v>0</v>
      </c>
      <c r="EC282" s="399">
        <v>-80.693604192841178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48.560133664158947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215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284</v>
      </c>
      <c r="B283" s="399" t="s">
        <v>956</v>
      </c>
      <c r="C283" s="399" t="s">
        <v>2343</v>
      </c>
      <c r="D283" s="399" t="s">
        <v>1823</v>
      </c>
      <c r="E283" s="399" t="s">
        <v>889</v>
      </c>
      <c r="F283" s="399" t="s">
        <v>2347</v>
      </c>
      <c r="G283" s="399" t="s">
        <v>1239</v>
      </c>
      <c r="H283" s="399" t="s">
        <v>1239</v>
      </c>
      <c r="I283" s="399" t="s">
        <v>1239</v>
      </c>
      <c r="J283" s="399" t="s">
        <v>2344</v>
      </c>
      <c r="K283" s="791">
        <v>44621</v>
      </c>
      <c r="L283" s="399">
        <v>0</v>
      </c>
      <c r="M283" s="399">
        <v>0</v>
      </c>
      <c r="N283" s="399">
        <v>9.84</v>
      </c>
      <c r="O283" s="399">
        <v>9.84</v>
      </c>
      <c r="P283" s="399">
        <v>9.84</v>
      </c>
      <c r="Q283" s="399">
        <v>9.84</v>
      </c>
      <c r="R283" s="399"/>
      <c r="S283" s="399">
        <v>158.36000000000001</v>
      </c>
      <c r="T283" s="399">
        <v>171.61</v>
      </c>
      <c r="U283" s="399"/>
      <c r="V283" s="399">
        <v>3246.9048000000003</v>
      </c>
      <c r="W283" s="399">
        <v>3246.9048000000003</v>
      </c>
      <c r="X283" s="399">
        <v>3324.3456000000001</v>
      </c>
      <c r="Y283" s="399">
        <v>0</v>
      </c>
      <c r="Z283" s="399">
        <v>0</v>
      </c>
      <c r="AA283" s="399">
        <v>0</v>
      </c>
      <c r="AB283" s="399">
        <v>0</v>
      </c>
      <c r="AC283" s="399">
        <v>0</v>
      </c>
      <c r="AD283" s="399">
        <v>524.82617139791012</v>
      </c>
      <c r="AE283" s="399">
        <v>871.96890627947266</v>
      </c>
      <c r="AF283" s="399">
        <v>1627.2824005850232</v>
      </c>
      <c r="AG283" s="399">
        <v>61.355912354895878</v>
      </c>
      <c r="AH283" s="399">
        <v>0</v>
      </c>
      <c r="AI283" s="399">
        <v>0</v>
      </c>
      <c r="AJ283" s="399">
        <v>0</v>
      </c>
      <c r="AK283" s="399">
        <v>0</v>
      </c>
      <c r="AL283" s="399">
        <v>0</v>
      </c>
      <c r="AM283" s="399"/>
      <c r="AN283" s="399">
        <v>3.8971482007516145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157.53754315889469</v>
      </c>
      <c r="BH283" s="399">
        <v>0</v>
      </c>
      <c r="BI283" s="399">
        <v>0</v>
      </c>
      <c r="BJ283" s="399">
        <v>0</v>
      </c>
      <c r="BK283" s="399">
        <v>157.44</v>
      </c>
      <c r="BL283" s="399">
        <v>2</v>
      </c>
      <c r="BM283" s="399"/>
      <c r="BN283" s="399"/>
      <c r="BO283" s="399"/>
      <c r="BP283" s="399"/>
      <c r="BQ283" s="399"/>
      <c r="BR283" s="399"/>
      <c r="BS283" s="399"/>
      <c r="BT283" s="399">
        <v>2160.864</v>
      </c>
      <c r="BU283" s="399"/>
      <c r="BV283" s="399">
        <v>1784.819943743918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1163.4815999999998</v>
      </c>
      <c r="CJ283" s="399">
        <v>27.128399999999829</v>
      </c>
      <c r="CK283" s="399"/>
      <c r="CL283" s="399"/>
      <c r="CM283" s="399"/>
      <c r="CN283" s="399"/>
      <c r="CO283" s="399">
        <v>-144.05760000000015</v>
      </c>
      <c r="CP283" s="399">
        <v>221.49839999999992</v>
      </c>
      <c r="CQ283" s="399">
        <v>31</v>
      </c>
      <c r="CR283" s="399">
        <v>266.02370820688975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23.634300212711651</v>
      </c>
      <c r="DA283" s="399">
        <v>0</v>
      </c>
      <c r="DB283" s="399">
        <v>0</v>
      </c>
      <c r="DC283" s="399">
        <v>221.55101104038863</v>
      </c>
      <c r="DD283" s="399">
        <v>0</v>
      </c>
      <c r="DE283" s="399">
        <v>0</v>
      </c>
      <c r="DF283" s="399">
        <v>0</v>
      </c>
      <c r="DG283" s="399">
        <v>21.44839884652103</v>
      </c>
      <c r="DH283" s="399">
        <v>0</v>
      </c>
      <c r="DI283" s="399">
        <v>0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0</v>
      </c>
      <c r="DP283" s="399">
        <v>-0.61000189273220506</v>
      </c>
      <c r="DQ283" s="399">
        <v>0</v>
      </c>
      <c r="DR283" s="399">
        <v>0</v>
      </c>
      <c r="DS283" s="399"/>
      <c r="DT283" s="399"/>
      <c r="DU283" s="399"/>
      <c r="DV283" s="399">
        <v>871.96890627947266</v>
      </c>
      <c r="DW283" s="399">
        <v>0</v>
      </c>
      <c r="DX283" s="399">
        <v>0</v>
      </c>
      <c r="DY283" s="399">
        <v>-144.05760000000009</v>
      </c>
      <c r="DZ283" s="399">
        <v>221.49839999999995</v>
      </c>
      <c r="EA283" s="399">
        <v>0</v>
      </c>
      <c r="EB283" s="399">
        <v>0</v>
      </c>
      <c r="EC283" s="399">
        <v>-188.51497275820441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215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285</v>
      </c>
      <c r="B284" s="399" t="s">
        <v>956</v>
      </c>
      <c r="C284" s="399" t="s">
        <v>2343</v>
      </c>
      <c r="D284" s="399" t="s">
        <v>1823</v>
      </c>
      <c r="E284" s="399" t="s">
        <v>889</v>
      </c>
      <c r="F284" s="399" t="s">
        <v>2348</v>
      </c>
      <c r="G284" s="399" t="s">
        <v>1239</v>
      </c>
      <c r="H284" s="399" t="s">
        <v>1239</v>
      </c>
      <c r="I284" s="399" t="s">
        <v>1239</v>
      </c>
      <c r="J284" s="399" t="s">
        <v>2344</v>
      </c>
      <c r="K284" s="791">
        <v>44621</v>
      </c>
      <c r="L284" s="399">
        <v>0</v>
      </c>
      <c r="M284" s="399">
        <v>0</v>
      </c>
      <c r="N284" s="399">
        <v>22.318000000000001</v>
      </c>
      <c r="O284" s="399">
        <v>22.318000000000001</v>
      </c>
      <c r="P284" s="399">
        <v>22.318000000000001</v>
      </c>
      <c r="Q284" s="399">
        <v>22.318000000000001</v>
      </c>
      <c r="R284" s="399"/>
      <c r="S284" s="399">
        <v>158.36000000000001</v>
      </c>
      <c r="T284" s="399">
        <v>171.61</v>
      </c>
      <c r="U284" s="399"/>
      <c r="V284" s="399">
        <v>7364.2704600000015</v>
      </c>
      <c r="W284" s="399">
        <v>7364.2704600000015</v>
      </c>
      <c r="X284" s="399">
        <v>7539.9131200000011</v>
      </c>
      <c r="Y284" s="399">
        <v>0</v>
      </c>
      <c r="Z284" s="399">
        <v>0</v>
      </c>
      <c r="AA284" s="399">
        <v>0</v>
      </c>
      <c r="AB284" s="399">
        <v>0</v>
      </c>
      <c r="AC284" s="399">
        <v>0</v>
      </c>
      <c r="AD284" s="399">
        <v>1190.3526924043251</v>
      </c>
      <c r="AE284" s="399">
        <v>1977.7034604009423</v>
      </c>
      <c r="AF284" s="399">
        <v>3690.8220138472107</v>
      </c>
      <c r="AG284" s="399">
        <v>139.16069633501689</v>
      </c>
      <c r="AH284" s="399">
        <v>0</v>
      </c>
      <c r="AI284" s="399">
        <v>0</v>
      </c>
      <c r="AJ284" s="399">
        <v>0</v>
      </c>
      <c r="AK284" s="399">
        <v>0</v>
      </c>
      <c r="AL284" s="399">
        <v>0</v>
      </c>
      <c r="AM284" s="399"/>
      <c r="AN284" s="399">
        <v>8.8390806447535102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357.30923660774511</v>
      </c>
      <c r="BH284" s="399">
        <v>0</v>
      </c>
      <c r="BI284" s="399">
        <v>0</v>
      </c>
      <c r="BJ284" s="399">
        <v>0</v>
      </c>
      <c r="BK284" s="399">
        <v>609.83000000000004</v>
      </c>
      <c r="BL284" s="399">
        <v>28</v>
      </c>
      <c r="BM284" s="399"/>
      <c r="BN284" s="399"/>
      <c r="BO284" s="399"/>
      <c r="BP284" s="399"/>
      <c r="BQ284" s="399"/>
      <c r="BR284" s="399"/>
      <c r="BS284" s="399"/>
      <c r="BT284" s="399">
        <v>3016.0545200000001</v>
      </c>
      <c r="BU284" s="399"/>
      <c r="BV284" s="399">
        <v>4048.131250454956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4524.2640000000001</v>
      </c>
      <c r="CJ284" s="399">
        <v>105.71635999999944</v>
      </c>
      <c r="CK284" s="399"/>
      <c r="CL284" s="399"/>
      <c r="CM284" s="399"/>
      <c r="CN284" s="399"/>
      <c r="CO284" s="399">
        <v>-326.73552000000035</v>
      </c>
      <c r="CP284" s="399">
        <v>502.37817999999982</v>
      </c>
      <c r="CQ284" s="399">
        <v>31</v>
      </c>
      <c r="CR284" s="399">
        <v>603.3655609513562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53.60470651903438</v>
      </c>
      <c r="DA284" s="399">
        <v>0</v>
      </c>
      <c r="DB284" s="399">
        <v>0</v>
      </c>
      <c r="DC284" s="399">
        <v>502.49750654465333</v>
      </c>
      <c r="DD284" s="399">
        <v>0</v>
      </c>
      <c r="DE284" s="399">
        <v>0</v>
      </c>
      <c r="DF284" s="399">
        <v>0</v>
      </c>
      <c r="DG284" s="399">
        <v>48.646886733400095</v>
      </c>
      <c r="DH284" s="399">
        <v>0</v>
      </c>
      <c r="DI284" s="399">
        <v>0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0</v>
      </c>
      <c r="DP284" s="399">
        <v>-1.3835388457314384</v>
      </c>
      <c r="DQ284" s="399">
        <v>0</v>
      </c>
      <c r="DR284" s="399">
        <v>0</v>
      </c>
      <c r="DS284" s="399"/>
      <c r="DT284" s="399"/>
      <c r="DU284" s="399"/>
      <c r="DV284" s="399">
        <v>1977.7034604009423</v>
      </c>
      <c r="DW284" s="399">
        <v>0</v>
      </c>
      <c r="DX284" s="399">
        <v>0</v>
      </c>
      <c r="DY284" s="399">
        <v>-326.73552000000018</v>
      </c>
      <c r="DZ284" s="399">
        <v>502.3781799999997</v>
      </c>
      <c r="EA284" s="399">
        <v>0</v>
      </c>
      <c r="EB284" s="399">
        <v>0</v>
      </c>
      <c r="EC284" s="399">
        <v>-427.56881727821201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215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286</v>
      </c>
      <c r="B285" s="399" t="s">
        <v>2345</v>
      </c>
      <c r="C285" s="399" t="s">
        <v>2343</v>
      </c>
      <c r="D285" s="399" t="s">
        <v>1823</v>
      </c>
      <c r="E285" s="399" t="s">
        <v>889</v>
      </c>
      <c r="F285" s="399" t="s">
        <v>2348</v>
      </c>
      <c r="G285" s="399" t="s">
        <v>1239</v>
      </c>
      <c r="H285" s="399" t="s">
        <v>1239</v>
      </c>
      <c r="I285" s="399" t="s">
        <v>1239</v>
      </c>
      <c r="J285" s="399" t="s">
        <v>2344</v>
      </c>
      <c r="K285" s="791">
        <v>44621</v>
      </c>
      <c r="L285" s="399">
        <v>0</v>
      </c>
      <c r="M285" s="399">
        <v>0</v>
      </c>
      <c r="N285" s="399">
        <v>-0.05</v>
      </c>
      <c r="O285" s="399">
        <v>-0.05</v>
      </c>
      <c r="P285" s="399">
        <v>-0.05</v>
      </c>
      <c r="Q285" s="399">
        <v>-0.05</v>
      </c>
      <c r="R285" s="399"/>
      <c r="S285" s="399">
        <v>158.36000000000001</v>
      </c>
      <c r="T285" s="399">
        <v>171.61</v>
      </c>
      <c r="U285" s="399"/>
      <c r="V285" s="399">
        <v>-16.4985</v>
      </c>
      <c r="W285" s="399">
        <v>-16.4985</v>
      </c>
      <c r="X285" s="399">
        <v>-16.892000000000003</v>
      </c>
      <c r="Y285" s="399">
        <v>0</v>
      </c>
      <c r="Z285" s="399">
        <v>0</v>
      </c>
      <c r="AA285" s="399">
        <v>0</v>
      </c>
      <c r="AB285" s="399">
        <v>0</v>
      </c>
      <c r="AC285" s="399">
        <v>0</v>
      </c>
      <c r="AD285" s="399">
        <v>-2.6667996514121453</v>
      </c>
      <c r="AE285" s="399">
        <v>-4.4307363123956947</v>
      </c>
      <c r="AF285" s="399">
        <v>-8.2687113850865011</v>
      </c>
      <c r="AG285" s="399">
        <v>-0.31176784733178803</v>
      </c>
      <c r="AH285" s="399">
        <v>0</v>
      </c>
      <c r="AI285" s="399">
        <v>0</v>
      </c>
      <c r="AJ285" s="399">
        <v>0</v>
      </c>
      <c r="AK285" s="399">
        <v>0</v>
      </c>
      <c r="AL285" s="399">
        <v>0</v>
      </c>
      <c r="AM285" s="399"/>
      <c r="AN285" s="399">
        <v>-1.9802582320892353E-2</v>
      </c>
      <c r="AO285" s="399">
        <v>0</v>
      </c>
      <c r="AP285" s="399">
        <v>0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>
        <v>0</v>
      </c>
      <c r="BG285" s="399">
        <v>-0.80049564613259505</v>
      </c>
      <c r="BH285" s="399">
        <v>0</v>
      </c>
      <c r="BI285" s="399">
        <v>0</v>
      </c>
      <c r="BJ285" s="399">
        <v>0</v>
      </c>
      <c r="BK285" s="399">
        <v>-1.37</v>
      </c>
      <c r="BL285" s="399">
        <v>0</v>
      </c>
      <c r="BM285" s="399"/>
      <c r="BN285" s="399"/>
      <c r="BO285" s="399"/>
      <c r="BP285" s="399"/>
      <c r="BQ285" s="399"/>
      <c r="BR285" s="399"/>
      <c r="BS285" s="399"/>
      <c r="BT285" s="399">
        <v>-6.7569999999999997</v>
      </c>
      <c r="BU285" s="399"/>
      <c r="BV285" s="399">
        <v>-9.0692070312190953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-10.135000000000002</v>
      </c>
      <c r="CJ285" s="399">
        <v>-0.26600000000000001</v>
      </c>
      <c r="CK285" s="399"/>
      <c r="CL285" s="399"/>
      <c r="CM285" s="399"/>
      <c r="CN285" s="399"/>
      <c r="CO285" s="399">
        <v>0.73200000000000076</v>
      </c>
      <c r="CP285" s="399">
        <v>-1.1254999999999995</v>
      </c>
      <c r="CQ285" s="399">
        <v>31</v>
      </c>
      <c r="CR285" s="399">
        <v>-1.3517464847911036</v>
      </c>
      <c r="CS285" s="399">
        <v>0</v>
      </c>
      <c r="CT285" s="399">
        <v>0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-0.12009298888572983</v>
      </c>
      <c r="DA285" s="399">
        <v>0</v>
      </c>
      <c r="DB285" s="399">
        <v>0</v>
      </c>
      <c r="DC285" s="399">
        <v>-1.1257673325222992</v>
      </c>
      <c r="DD285" s="399">
        <v>0</v>
      </c>
      <c r="DE285" s="399">
        <v>0</v>
      </c>
      <c r="DF285" s="399">
        <v>0</v>
      </c>
      <c r="DG285" s="399">
        <v>-0.10898576649655001</v>
      </c>
      <c r="DH285" s="399">
        <v>0</v>
      </c>
      <c r="DI285" s="399">
        <v>0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0</v>
      </c>
      <c r="DP285" s="399">
        <v>3.0996031134766545E-3</v>
      </c>
      <c r="DQ285" s="399">
        <v>0</v>
      </c>
      <c r="DR285" s="399">
        <v>0</v>
      </c>
      <c r="DS285" s="399"/>
      <c r="DT285" s="399"/>
      <c r="DU285" s="399"/>
      <c r="DV285" s="399">
        <v>-4.4307363123956947</v>
      </c>
      <c r="DW285" s="399">
        <v>0</v>
      </c>
      <c r="DX285" s="399">
        <v>0</v>
      </c>
      <c r="DY285" s="399">
        <v>0.73200000000000109</v>
      </c>
      <c r="DZ285" s="399">
        <v>-1.1255000000000006</v>
      </c>
      <c r="EA285" s="399">
        <v>0</v>
      </c>
      <c r="EB285" s="399">
        <v>0</v>
      </c>
      <c r="EC285" s="399">
        <v>0.95790128434046951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0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215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287</v>
      </c>
      <c r="B286" s="399" t="s">
        <v>956</v>
      </c>
      <c r="C286" s="399" t="s">
        <v>2343</v>
      </c>
      <c r="D286" s="399" t="s">
        <v>1823</v>
      </c>
      <c r="E286" s="399" t="s">
        <v>889</v>
      </c>
      <c r="F286" s="399" t="s">
        <v>2349</v>
      </c>
      <c r="G286" s="399" t="s">
        <v>1239</v>
      </c>
      <c r="H286" s="399" t="s">
        <v>1239</v>
      </c>
      <c r="I286" s="399" t="s">
        <v>1239</v>
      </c>
      <c r="J286" s="399" t="s">
        <v>2344</v>
      </c>
      <c r="K286" s="791">
        <v>44621</v>
      </c>
      <c r="L286" s="399">
        <v>0</v>
      </c>
      <c r="M286" s="399">
        <v>0</v>
      </c>
      <c r="N286" s="399">
        <v>30.167999999999999</v>
      </c>
      <c r="O286" s="399">
        <v>30.167999999999999</v>
      </c>
      <c r="P286" s="399">
        <v>30.167999999999999</v>
      </c>
      <c r="Q286" s="399">
        <v>30.167999999999999</v>
      </c>
      <c r="R286" s="399"/>
      <c r="S286" s="399">
        <v>158.36000000000001</v>
      </c>
      <c r="T286" s="399">
        <v>171.61</v>
      </c>
      <c r="U286" s="399"/>
      <c r="V286" s="399">
        <v>9954.5349600000009</v>
      </c>
      <c r="W286" s="399">
        <v>9954.5349600000009</v>
      </c>
      <c r="X286" s="399">
        <v>10191.957119999999</v>
      </c>
      <c r="Y286" s="399">
        <v>0</v>
      </c>
      <c r="Z286" s="399">
        <v>0</v>
      </c>
      <c r="AA286" s="399">
        <v>0</v>
      </c>
      <c r="AB286" s="399">
        <v>0</v>
      </c>
      <c r="AC286" s="399">
        <v>0</v>
      </c>
      <c r="AD286" s="399">
        <v>1609.0402376760319</v>
      </c>
      <c r="AE286" s="399">
        <v>2673.3290614470661</v>
      </c>
      <c r="AF286" s="399">
        <v>4989.0097013057912</v>
      </c>
      <c r="AG286" s="399">
        <v>188.1082483661076</v>
      </c>
      <c r="AH286" s="399">
        <v>0</v>
      </c>
      <c r="AI286" s="399">
        <v>0</v>
      </c>
      <c r="AJ286" s="399">
        <v>0</v>
      </c>
      <c r="AK286" s="399">
        <v>0</v>
      </c>
      <c r="AL286" s="399">
        <v>0</v>
      </c>
      <c r="AM286" s="399"/>
      <c r="AN286" s="399">
        <v>11.948086069133609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482.98705305056251</v>
      </c>
      <c r="BH286" s="399">
        <v>0</v>
      </c>
      <c r="BI286" s="399">
        <v>0</v>
      </c>
      <c r="BJ286" s="399">
        <v>0</v>
      </c>
      <c r="BK286" s="399">
        <v>2252.9299999999998</v>
      </c>
      <c r="BL286" s="399">
        <v>90</v>
      </c>
      <c r="BM286" s="399"/>
      <c r="BN286" s="399"/>
      <c r="BO286" s="399"/>
      <c r="BP286" s="399"/>
      <c r="BQ286" s="399"/>
      <c r="BR286" s="399"/>
      <c r="BS286" s="399"/>
      <c r="BT286" s="399">
        <v>1019.0750399999999</v>
      </c>
      <c r="BU286" s="399"/>
      <c r="BV286" s="399">
        <v>5471.9967543563534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9173.4902000000002</v>
      </c>
      <c r="CJ286" s="399">
        <v>214.46924000000035</v>
      </c>
      <c r="CK286" s="399"/>
      <c r="CL286" s="399"/>
      <c r="CM286" s="399"/>
      <c r="CN286" s="399"/>
      <c r="CO286" s="399">
        <v>-441.65952000000044</v>
      </c>
      <c r="CP286" s="399">
        <v>679.08167999999966</v>
      </c>
      <c r="CQ286" s="399">
        <v>31</v>
      </c>
      <c r="CR286" s="399">
        <v>815.58975906355863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72.459305774093991</v>
      </c>
      <c r="DA286" s="399">
        <v>0</v>
      </c>
      <c r="DB286" s="399">
        <v>0</v>
      </c>
      <c r="DC286" s="399">
        <v>679.24297775065406</v>
      </c>
      <c r="DD286" s="399">
        <v>0</v>
      </c>
      <c r="DE286" s="399">
        <v>0</v>
      </c>
      <c r="DF286" s="399">
        <v>0</v>
      </c>
      <c r="DG286" s="399">
        <v>65.757652073358372</v>
      </c>
      <c r="DH286" s="399">
        <v>0</v>
      </c>
      <c r="DI286" s="399">
        <v>0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0</v>
      </c>
      <c r="DP286" s="399">
        <v>-1.870176534547273</v>
      </c>
      <c r="DQ286" s="399">
        <v>0</v>
      </c>
      <c r="DR286" s="399">
        <v>0</v>
      </c>
      <c r="DS286" s="399"/>
      <c r="DT286" s="399"/>
      <c r="DU286" s="399"/>
      <c r="DV286" s="399">
        <v>2673.3290614470661</v>
      </c>
      <c r="DW286" s="399">
        <v>0</v>
      </c>
      <c r="DX286" s="399">
        <v>0</v>
      </c>
      <c r="DY286" s="399">
        <v>-441.65952000000016</v>
      </c>
      <c r="DZ286" s="399">
        <v>679.08167999999932</v>
      </c>
      <c r="EA286" s="399">
        <v>0</v>
      </c>
      <c r="EB286" s="399">
        <v>0</v>
      </c>
      <c r="EC286" s="399">
        <v>-577.95931891966575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215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288</v>
      </c>
      <c r="B287" s="399" t="s">
        <v>2345</v>
      </c>
      <c r="C287" s="399" t="s">
        <v>2343</v>
      </c>
      <c r="D287" s="399" t="s">
        <v>1823</v>
      </c>
      <c r="E287" s="399" t="s">
        <v>889</v>
      </c>
      <c r="F287" s="399" t="s">
        <v>2349</v>
      </c>
      <c r="G287" s="399" t="s">
        <v>1239</v>
      </c>
      <c r="H287" s="399" t="s">
        <v>1239</v>
      </c>
      <c r="I287" s="399" t="s">
        <v>1239</v>
      </c>
      <c r="J287" s="399" t="s">
        <v>2344</v>
      </c>
      <c r="K287" s="791">
        <v>44621</v>
      </c>
      <c r="L287" s="399">
        <v>0</v>
      </c>
      <c r="M287" s="399">
        <v>0</v>
      </c>
      <c r="N287" s="399">
        <v>0.05</v>
      </c>
      <c r="O287" s="399">
        <v>0.05</v>
      </c>
      <c r="P287" s="399">
        <v>0.05</v>
      </c>
      <c r="Q287" s="399">
        <v>0.05</v>
      </c>
      <c r="R287" s="399"/>
      <c r="S287" s="399">
        <v>158.36000000000001</v>
      </c>
      <c r="T287" s="399">
        <v>171.61</v>
      </c>
      <c r="U287" s="399"/>
      <c r="V287" s="399">
        <v>16.4985</v>
      </c>
      <c r="W287" s="399">
        <v>16.4985</v>
      </c>
      <c r="X287" s="399">
        <v>16.892000000000003</v>
      </c>
      <c r="Y287" s="399">
        <v>0</v>
      </c>
      <c r="Z287" s="399">
        <v>0</v>
      </c>
      <c r="AA287" s="399">
        <v>0</v>
      </c>
      <c r="AB287" s="399">
        <v>0</v>
      </c>
      <c r="AC287" s="399">
        <v>0</v>
      </c>
      <c r="AD287" s="399">
        <v>2.6667996514121453</v>
      </c>
      <c r="AE287" s="399">
        <v>4.4307363123956947</v>
      </c>
      <c r="AF287" s="399">
        <v>8.2687113850865011</v>
      </c>
      <c r="AG287" s="399">
        <v>0.31176784733178803</v>
      </c>
      <c r="AH287" s="399">
        <v>0</v>
      </c>
      <c r="AI287" s="399">
        <v>0</v>
      </c>
      <c r="AJ287" s="399">
        <v>0</v>
      </c>
      <c r="AK287" s="399">
        <v>0</v>
      </c>
      <c r="AL287" s="399">
        <v>0</v>
      </c>
      <c r="AM287" s="399"/>
      <c r="AN287" s="399">
        <v>1.9802582320892353E-2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0.80049564613259505</v>
      </c>
      <c r="BH287" s="399">
        <v>0</v>
      </c>
      <c r="BI287" s="399">
        <v>0</v>
      </c>
      <c r="BJ287" s="399">
        <v>0</v>
      </c>
      <c r="BK287" s="399">
        <v>9.36</v>
      </c>
      <c r="BL287" s="399">
        <v>0</v>
      </c>
      <c r="BM287" s="399"/>
      <c r="BN287" s="399"/>
      <c r="BO287" s="399"/>
      <c r="BP287" s="399"/>
      <c r="BQ287" s="399"/>
      <c r="BR287" s="399"/>
      <c r="BS287" s="399"/>
      <c r="BT287" s="399">
        <v>1.6890000000000001</v>
      </c>
      <c r="BU287" s="399"/>
      <c r="BV287" s="399">
        <v>9.0692070312190953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15.202999999999999</v>
      </c>
      <c r="CJ287" s="399">
        <v>0.32449999999999868</v>
      </c>
      <c r="CK287" s="399"/>
      <c r="CL287" s="399"/>
      <c r="CM287" s="399"/>
      <c r="CN287" s="399"/>
      <c r="CO287" s="399">
        <v>-0.73200000000000076</v>
      </c>
      <c r="CP287" s="399">
        <v>1.1254999999999995</v>
      </c>
      <c r="CQ287" s="399">
        <v>31</v>
      </c>
      <c r="CR287" s="399">
        <v>1.3517464847911036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0.12009298888572983</v>
      </c>
      <c r="DA287" s="399">
        <v>0</v>
      </c>
      <c r="DB287" s="399">
        <v>0</v>
      </c>
      <c r="DC287" s="399">
        <v>1.1257673325222992</v>
      </c>
      <c r="DD287" s="399">
        <v>0</v>
      </c>
      <c r="DE287" s="399">
        <v>0</v>
      </c>
      <c r="DF287" s="399">
        <v>0</v>
      </c>
      <c r="DG287" s="399">
        <v>0.10898576649655001</v>
      </c>
      <c r="DH287" s="399">
        <v>0</v>
      </c>
      <c r="DI287" s="399">
        <v>0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0</v>
      </c>
      <c r="DP287" s="399">
        <v>-3.0996031134766545E-3</v>
      </c>
      <c r="DQ287" s="399">
        <v>0</v>
      </c>
      <c r="DR287" s="399">
        <v>0</v>
      </c>
      <c r="DS287" s="399"/>
      <c r="DT287" s="399"/>
      <c r="DU287" s="399"/>
      <c r="DV287" s="399">
        <v>4.4307363123956947</v>
      </c>
      <c r="DW287" s="399">
        <v>0</v>
      </c>
      <c r="DX287" s="399">
        <v>0</v>
      </c>
      <c r="DY287" s="399">
        <v>-0.73200000000000109</v>
      </c>
      <c r="DZ287" s="399">
        <v>1.1255000000000006</v>
      </c>
      <c r="EA287" s="399">
        <v>0</v>
      </c>
      <c r="EB287" s="399">
        <v>0</v>
      </c>
      <c r="EC287" s="399">
        <v>-0.95790128434046951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215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289</v>
      </c>
      <c r="B288" s="399" t="s">
        <v>956</v>
      </c>
      <c r="C288" s="399" t="s">
        <v>2343</v>
      </c>
      <c r="D288" s="399" t="s">
        <v>1823</v>
      </c>
      <c r="E288" s="399" t="s">
        <v>889</v>
      </c>
      <c r="F288" s="399" t="s">
        <v>2350</v>
      </c>
      <c r="G288" s="399" t="s">
        <v>1239</v>
      </c>
      <c r="H288" s="399" t="s">
        <v>1239</v>
      </c>
      <c r="I288" s="399" t="s">
        <v>1239</v>
      </c>
      <c r="J288" s="399" t="s">
        <v>2344</v>
      </c>
      <c r="K288" s="791">
        <v>44621</v>
      </c>
      <c r="L288" s="399">
        <v>0</v>
      </c>
      <c r="M288" s="399">
        <v>0</v>
      </c>
      <c r="N288" s="399">
        <v>34.133000000000003</v>
      </c>
      <c r="O288" s="399">
        <v>34.133000000000003</v>
      </c>
      <c r="P288" s="399">
        <v>34.133000000000003</v>
      </c>
      <c r="Q288" s="399">
        <v>34.133000000000003</v>
      </c>
      <c r="R288" s="399"/>
      <c r="S288" s="399">
        <v>158.36000000000001</v>
      </c>
      <c r="T288" s="399">
        <v>171.61</v>
      </c>
      <c r="U288" s="399"/>
      <c r="V288" s="399">
        <v>11262.866010000002</v>
      </c>
      <c r="W288" s="399">
        <v>11262.866010000002</v>
      </c>
      <c r="X288" s="399">
        <v>11531.49272</v>
      </c>
      <c r="Y288" s="399">
        <v>0</v>
      </c>
      <c r="Z288" s="399">
        <v>0</v>
      </c>
      <c r="AA288" s="399">
        <v>0</v>
      </c>
      <c r="AB288" s="399">
        <v>0</v>
      </c>
      <c r="AC288" s="399">
        <v>0</v>
      </c>
      <c r="AD288" s="399">
        <v>1820.5174500330152</v>
      </c>
      <c r="AE288" s="399">
        <v>3024.6864510200453</v>
      </c>
      <c r="AF288" s="399">
        <v>5644.718514143151</v>
      </c>
      <c r="AG288" s="399">
        <v>212.83143865951843</v>
      </c>
      <c r="AH288" s="399">
        <v>0</v>
      </c>
      <c r="AI288" s="399">
        <v>0</v>
      </c>
      <c r="AJ288" s="399">
        <v>0</v>
      </c>
      <c r="AK288" s="399">
        <v>0</v>
      </c>
      <c r="AL288" s="399">
        <v>0</v>
      </c>
      <c r="AM288" s="399"/>
      <c r="AN288" s="399">
        <v>13.518430847180372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546.4663577888773</v>
      </c>
      <c r="BH288" s="399">
        <v>0</v>
      </c>
      <c r="BI288" s="399">
        <v>0</v>
      </c>
      <c r="BJ288" s="399">
        <v>0</v>
      </c>
      <c r="BK288" s="399">
        <v>3842.79</v>
      </c>
      <c r="BL288" s="399">
        <v>205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6191.1848719320278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11530.479200000002</v>
      </c>
      <c r="CJ288" s="399">
        <v>267.58318999999938</v>
      </c>
      <c r="CK288" s="399"/>
      <c r="CL288" s="399"/>
      <c r="CM288" s="399"/>
      <c r="CN288" s="399"/>
      <c r="CO288" s="399">
        <v>-499.70712000000054</v>
      </c>
      <c r="CP288" s="399">
        <v>768.33382999999969</v>
      </c>
      <c r="CQ288" s="399">
        <v>31</v>
      </c>
      <c r="CR288" s="399">
        <v>922.7832553074968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81.98267979273237</v>
      </c>
      <c r="DA288" s="399">
        <v>0</v>
      </c>
      <c r="DB288" s="399">
        <v>0</v>
      </c>
      <c r="DC288" s="399">
        <v>768.51632721967326</v>
      </c>
      <c r="DD288" s="399">
        <v>0</v>
      </c>
      <c r="DE288" s="399">
        <v>0</v>
      </c>
      <c r="DF288" s="399">
        <v>0</v>
      </c>
      <c r="DG288" s="399">
        <v>74.400223356534866</v>
      </c>
      <c r="DH288" s="399">
        <v>0</v>
      </c>
      <c r="DI288" s="399">
        <v>0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0</v>
      </c>
      <c r="DP288" s="399">
        <v>-2.1159750614459707</v>
      </c>
      <c r="DQ288" s="399">
        <v>0</v>
      </c>
      <c r="DR288" s="399">
        <v>0</v>
      </c>
      <c r="DS288" s="399"/>
      <c r="DT288" s="399"/>
      <c r="DU288" s="399"/>
      <c r="DV288" s="399">
        <v>3024.6864510200453</v>
      </c>
      <c r="DW288" s="399">
        <v>0</v>
      </c>
      <c r="DX288" s="399">
        <v>0</v>
      </c>
      <c r="DY288" s="399">
        <v>-499.70712000000094</v>
      </c>
      <c r="DZ288" s="399">
        <v>768.33382999999958</v>
      </c>
      <c r="EA288" s="399">
        <v>0</v>
      </c>
      <c r="EB288" s="399">
        <v>0</v>
      </c>
      <c r="EC288" s="399">
        <v>-653.92089076786533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215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290</v>
      </c>
      <c r="B289" s="399" t="s">
        <v>956</v>
      </c>
      <c r="C289" s="399" t="s">
        <v>2343</v>
      </c>
      <c r="D289" s="399" t="s">
        <v>1826</v>
      </c>
      <c r="E289" s="399" t="s">
        <v>890</v>
      </c>
      <c r="F289" s="399" t="s">
        <v>1239</v>
      </c>
      <c r="G289" s="399" t="s">
        <v>1239</v>
      </c>
      <c r="H289" s="399" t="s">
        <v>1239</v>
      </c>
      <c r="I289" s="399" t="s">
        <v>1239</v>
      </c>
      <c r="J289" s="399" t="s">
        <v>2344</v>
      </c>
      <c r="K289" s="791">
        <v>44621</v>
      </c>
      <c r="L289" s="399">
        <v>0</v>
      </c>
      <c r="M289" s="399">
        <v>0</v>
      </c>
      <c r="N289" s="399">
        <v>200.33199999999999</v>
      </c>
      <c r="O289" s="399">
        <v>200.33199999999999</v>
      </c>
      <c r="P289" s="399">
        <v>200.33199999999999</v>
      </c>
      <c r="Q289" s="399">
        <v>200.33199999999999</v>
      </c>
      <c r="R289" s="399"/>
      <c r="S289" s="399">
        <v>239.69</v>
      </c>
      <c r="T289" s="399">
        <v>171.61</v>
      </c>
      <c r="U289" s="399"/>
      <c r="V289" s="399">
        <v>82396.551600000006</v>
      </c>
      <c r="W289" s="399">
        <v>82396.551600000006</v>
      </c>
      <c r="X289" s="399">
        <v>82094.050279999996</v>
      </c>
      <c r="Y289" s="399">
        <v>0</v>
      </c>
      <c r="Z289" s="399">
        <v>12111.531686138791</v>
      </c>
      <c r="AA289" s="399">
        <v>0</v>
      </c>
      <c r="AB289" s="399">
        <v>0</v>
      </c>
      <c r="AC289" s="399">
        <v>0</v>
      </c>
      <c r="AD289" s="399">
        <v>10684.906155333956</v>
      </c>
      <c r="AE289" s="399">
        <v>17752.365338697087</v>
      </c>
      <c r="AF289" s="399">
        <v>33129.749783942978</v>
      </c>
      <c r="AG289" s="399">
        <v>1249.141527833435</v>
      </c>
      <c r="AH289" s="399">
        <v>0</v>
      </c>
      <c r="AI289" s="399">
        <v>0</v>
      </c>
      <c r="AJ289" s="399">
        <v>0</v>
      </c>
      <c r="AK289" s="399">
        <v>0</v>
      </c>
      <c r="AL289" s="399">
        <v>1872.7257282602063</v>
      </c>
      <c r="AM289" s="399"/>
      <c r="AN289" s="399">
        <v>79.341818430180126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3207.2978756207003</v>
      </c>
      <c r="BH289" s="399">
        <v>0</v>
      </c>
      <c r="BI289" s="399">
        <v>0</v>
      </c>
      <c r="BJ289" s="399">
        <v>0</v>
      </c>
      <c r="BK289" s="399">
        <v>36846.33</v>
      </c>
      <c r="BL289" s="399">
        <v>80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36337.047659563679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82093.2307</v>
      </c>
      <c r="CJ289" s="399">
        <v>-303.35089999999036</v>
      </c>
      <c r="CK289" s="399"/>
      <c r="CL289" s="399"/>
      <c r="CM289" s="399"/>
      <c r="CN289" s="399"/>
      <c r="CO289" s="399">
        <v>-4811.9746400000022</v>
      </c>
      <c r="CP289" s="399">
        <v>4509.4733199999982</v>
      </c>
      <c r="CQ289" s="399">
        <v>31</v>
      </c>
      <c r="CR289" s="399">
        <v>3536.5896334894715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481.16937298912126</v>
      </c>
      <c r="DA289" s="399">
        <v>0</v>
      </c>
      <c r="DB289" s="399">
        <v>0</v>
      </c>
      <c r="DC289" s="399">
        <v>4510.5444251771405</v>
      </c>
      <c r="DD289" s="399">
        <v>0</v>
      </c>
      <c r="DE289" s="399">
        <v>0</v>
      </c>
      <c r="DF289" s="399">
        <v>0</v>
      </c>
      <c r="DG289" s="399">
        <v>436.66673147573692</v>
      </c>
      <c r="DH289" s="399">
        <v>0</v>
      </c>
      <c r="DI289" s="399">
        <v>-1663.5522264787687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-215.81967585516782</v>
      </c>
      <c r="DP289" s="399">
        <v>-12.418993818580091</v>
      </c>
      <c r="DQ289" s="399">
        <v>0</v>
      </c>
      <c r="DR289" s="399">
        <v>0</v>
      </c>
      <c r="DS289" s="399"/>
      <c r="DT289" s="399"/>
      <c r="DU289" s="399"/>
      <c r="DV289" s="399">
        <v>17752.365338697087</v>
      </c>
      <c r="DW289" s="399">
        <v>0</v>
      </c>
      <c r="DX289" s="399">
        <v>0</v>
      </c>
      <c r="DY289" s="399">
        <v>-4811.9746400000004</v>
      </c>
      <c r="DZ289" s="399">
        <v>4509.4733199999973</v>
      </c>
      <c r="EA289" s="399">
        <v>0</v>
      </c>
      <c r="EB289" s="399">
        <v>0</v>
      </c>
      <c r="EC289" s="399">
        <v>-3837.9656018899022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2309.6269461558145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215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291</v>
      </c>
      <c r="B290" s="399" t="s">
        <v>2346</v>
      </c>
      <c r="C290" s="399" t="s">
        <v>2343</v>
      </c>
      <c r="D290" s="399" t="s">
        <v>1826</v>
      </c>
      <c r="E290" s="399" t="s">
        <v>890</v>
      </c>
      <c r="F290" s="399" t="s">
        <v>1239</v>
      </c>
      <c r="G290" s="399" t="s">
        <v>1239</v>
      </c>
      <c r="H290" s="399" t="s">
        <v>1239</v>
      </c>
      <c r="I290" s="399" t="s">
        <v>1239</v>
      </c>
      <c r="J290" s="399" t="s">
        <v>2344</v>
      </c>
      <c r="K290" s="791">
        <v>44621</v>
      </c>
      <c r="L290" s="399">
        <v>0</v>
      </c>
      <c r="M290" s="399">
        <v>0</v>
      </c>
      <c r="N290" s="399">
        <v>6.3049999999999997</v>
      </c>
      <c r="O290" s="399">
        <v>6.3049999999999997</v>
      </c>
      <c r="P290" s="399">
        <v>6.3049999999999997</v>
      </c>
      <c r="Q290" s="399">
        <v>6.3049999999999997</v>
      </c>
      <c r="R290" s="399"/>
      <c r="S290" s="399">
        <v>239.69</v>
      </c>
      <c r="T290" s="399">
        <v>171.61</v>
      </c>
      <c r="U290" s="399"/>
      <c r="V290" s="399">
        <v>2593.2465000000002</v>
      </c>
      <c r="W290" s="399">
        <v>2593.2465000000002</v>
      </c>
      <c r="X290" s="399">
        <v>2583.72595</v>
      </c>
      <c r="Y290" s="399">
        <v>0</v>
      </c>
      <c r="Z290" s="399">
        <v>381.18327217371706</v>
      </c>
      <c r="AA290" s="399">
        <v>0</v>
      </c>
      <c r="AB290" s="399">
        <v>0</v>
      </c>
      <c r="AC290" s="399">
        <v>0</v>
      </c>
      <c r="AD290" s="399">
        <v>336.2834360430715</v>
      </c>
      <c r="AE290" s="399">
        <v>558.7158489930971</v>
      </c>
      <c r="AF290" s="399">
        <v>1042.6845056594077</v>
      </c>
      <c r="AG290" s="399">
        <v>39.313925548538464</v>
      </c>
      <c r="AH290" s="399">
        <v>0</v>
      </c>
      <c r="AI290" s="399">
        <v>0</v>
      </c>
      <c r="AJ290" s="399">
        <v>0</v>
      </c>
      <c r="AK290" s="399">
        <v>0</v>
      </c>
      <c r="AL290" s="399">
        <v>58.939838451573394</v>
      </c>
      <c r="AM290" s="399"/>
      <c r="AN290" s="399">
        <v>2.4971056306645254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100.94250097732022</v>
      </c>
      <c r="BH290" s="399">
        <v>0</v>
      </c>
      <c r="BI290" s="399">
        <v>0</v>
      </c>
      <c r="BJ290" s="399">
        <v>0</v>
      </c>
      <c r="BK290" s="399">
        <v>1237.48</v>
      </c>
      <c r="BL290" s="399">
        <v>5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1143.6270066367279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2585.7748999999994</v>
      </c>
      <c r="CJ290" s="399">
        <v>-7.5016000000005079</v>
      </c>
      <c r="CK290" s="399"/>
      <c r="CL290" s="399"/>
      <c r="CM290" s="399"/>
      <c r="CN290" s="399"/>
      <c r="CO290" s="399">
        <v>-151.44610000000006</v>
      </c>
      <c r="CP290" s="399">
        <v>141.92554999999993</v>
      </c>
      <c r="CQ290" s="399">
        <v>31</v>
      </c>
      <c r="CR290" s="399">
        <v>111.30621987077006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15.143725898490516</v>
      </c>
      <c r="DA290" s="399">
        <v>0</v>
      </c>
      <c r="DB290" s="399">
        <v>0</v>
      </c>
      <c r="DC290" s="399">
        <v>141.95926063106185</v>
      </c>
      <c r="DD290" s="399">
        <v>0</v>
      </c>
      <c r="DE290" s="399">
        <v>0</v>
      </c>
      <c r="DF290" s="399">
        <v>0</v>
      </c>
      <c r="DG290" s="399">
        <v>13.743105155214948</v>
      </c>
      <c r="DH290" s="399">
        <v>0</v>
      </c>
      <c r="DI290" s="399">
        <v>-52.35657203017314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-6.7924398312143524</v>
      </c>
      <c r="DP290" s="399">
        <v>-0.39085995260940587</v>
      </c>
      <c r="DQ290" s="399">
        <v>0</v>
      </c>
      <c r="DR290" s="399">
        <v>0</v>
      </c>
      <c r="DS290" s="399"/>
      <c r="DT290" s="399"/>
      <c r="DU290" s="399"/>
      <c r="DV290" s="399">
        <v>558.7158489930971</v>
      </c>
      <c r="DW290" s="399">
        <v>0</v>
      </c>
      <c r="DX290" s="399">
        <v>0</v>
      </c>
      <c r="DY290" s="399">
        <v>-151.44610000000011</v>
      </c>
      <c r="DZ290" s="399">
        <v>141.92554999999993</v>
      </c>
      <c r="EA290" s="399">
        <v>0</v>
      </c>
      <c r="EB290" s="399">
        <v>0</v>
      </c>
      <c r="EC290" s="399">
        <v>-120.79135195533325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72.69032354048484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215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292</v>
      </c>
      <c r="B291" s="399" t="s">
        <v>956</v>
      </c>
      <c r="C291" s="399" t="s">
        <v>2351</v>
      </c>
      <c r="D291" s="399" t="s">
        <v>533</v>
      </c>
      <c r="E291" s="399" t="s">
        <v>890</v>
      </c>
      <c r="F291" s="399" t="s">
        <v>1239</v>
      </c>
      <c r="G291" s="399" t="s">
        <v>1239</v>
      </c>
      <c r="H291" s="399" t="s">
        <v>1239</v>
      </c>
      <c r="I291" s="399" t="s">
        <v>893</v>
      </c>
      <c r="J291" s="399" t="s">
        <v>2344</v>
      </c>
      <c r="K291" s="791">
        <v>44621</v>
      </c>
      <c r="L291" s="399">
        <v>19102</v>
      </c>
      <c r="M291" s="399">
        <v>19102</v>
      </c>
      <c r="N291" s="399">
        <v>950.56299999999999</v>
      </c>
      <c r="O291" s="399">
        <v>950.56299999999999</v>
      </c>
      <c r="P291" s="399">
        <v>950.56299999999999</v>
      </c>
      <c r="Q291" s="399">
        <v>950.56299999999999</v>
      </c>
      <c r="R291" s="399">
        <v>37.64</v>
      </c>
      <c r="S291" s="399">
        <v>78.42</v>
      </c>
      <c r="T291" s="399">
        <v>171.61</v>
      </c>
      <c r="U291" s="399">
        <v>718999.28</v>
      </c>
      <c r="V291" s="399">
        <v>237669.26689000003</v>
      </c>
      <c r="W291" s="399">
        <v>956668.54689000011</v>
      </c>
      <c r="X291" s="399">
        <v>897011.75751999998</v>
      </c>
      <c r="Y291" s="399">
        <v>0</v>
      </c>
      <c r="Z291" s="399">
        <v>49997.570472659871</v>
      </c>
      <c r="AA291" s="399">
        <v>0</v>
      </c>
      <c r="AB291" s="399">
        <v>0</v>
      </c>
      <c r="AC291" s="399">
        <v>0</v>
      </c>
      <c r="AD291" s="399">
        <v>312205.28959545516</v>
      </c>
      <c r="AE291" s="399">
        <v>406728.94209462579</v>
      </c>
      <c r="AF291" s="399">
        <v>157198.62200683958</v>
      </c>
      <c r="AG291" s="399">
        <v>5927.099605264928</v>
      </c>
      <c r="AH291" s="399">
        <v>0</v>
      </c>
      <c r="AI291" s="399">
        <v>0</v>
      </c>
      <c r="AJ291" s="399">
        <v>0</v>
      </c>
      <c r="AK291" s="399">
        <v>0</v>
      </c>
      <c r="AL291" s="399">
        <v>8885.9682249076868</v>
      </c>
      <c r="AM291" s="399"/>
      <c r="AN291" s="399">
        <v>251.00611717161323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5875.7043924352838</v>
      </c>
      <c r="BH291" s="399">
        <v>0</v>
      </c>
      <c r="BI291" s="399">
        <v>0</v>
      </c>
      <c r="BJ291" s="399">
        <v>0</v>
      </c>
      <c r="BK291" s="399">
        <v>0</v>
      </c>
      <c r="BL291" s="399">
        <v>0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163074.32639927487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897010.96240000008</v>
      </c>
      <c r="CJ291" s="399">
        <v>-59657.614490000065</v>
      </c>
      <c r="CK291" s="399"/>
      <c r="CL291" s="399"/>
      <c r="CM291" s="399"/>
      <c r="CN291" s="399"/>
      <c r="CO291" s="399">
        <v>-81053.962499999951</v>
      </c>
      <c r="CP291" s="399">
        <v>21397.173129999992</v>
      </c>
      <c r="CQ291" s="399">
        <v>31</v>
      </c>
      <c r="CR291" s="399">
        <v>28330.999950312427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14059.423756711127</v>
      </c>
      <c r="DA291" s="399">
        <v>0</v>
      </c>
      <c r="DB291" s="399">
        <v>0</v>
      </c>
      <c r="DC291" s="399">
        <v>21402.255458087893</v>
      </c>
      <c r="DD291" s="399">
        <v>0</v>
      </c>
      <c r="DE291" s="399">
        <v>0</v>
      </c>
      <c r="DF291" s="399">
        <v>0</v>
      </c>
      <c r="DG291" s="399">
        <v>799.96455947072172</v>
      </c>
      <c r="DH291" s="399">
        <v>0</v>
      </c>
      <c r="DI291" s="399">
        <v>-6867.3039739070155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-1024.0510679268218</v>
      </c>
      <c r="DP291" s="399">
        <v>-39.288782123429883</v>
      </c>
      <c r="DQ291" s="399">
        <v>0</v>
      </c>
      <c r="DR291" s="399">
        <v>0</v>
      </c>
      <c r="DS291" s="399"/>
      <c r="DT291" s="399"/>
      <c r="DU291" s="399">
        <v>406728.94209462579</v>
      </c>
      <c r="DV291" s="399">
        <v>0</v>
      </c>
      <c r="DW291" s="399">
        <v>0</v>
      </c>
      <c r="DX291" s="399">
        <v>0</v>
      </c>
      <c r="DY291" s="399">
        <v>-81053.962500000023</v>
      </c>
      <c r="DZ291" s="399">
        <v>21397.173129999981</v>
      </c>
      <c r="EA291" s="399">
        <v>0</v>
      </c>
      <c r="EB291" s="399">
        <v>0</v>
      </c>
      <c r="EC291" s="399">
        <v>-87932.602741646115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9534.3627047714363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215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293</v>
      </c>
      <c r="B292" s="399" t="s">
        <v>2346</v>
      </c>
      <c r="C292" s="399" t="s">
        <v>2351</v>
      </c>
      <c r="D292" s="399" t="s">
        <v>533</v>
      </c>
      <c r="E292" s="399" t="s">
        <v>890</v>
      </c>
      <c r="F292" s="399" t="s">
        <v>1239</v>
      </c>
      <c r="G292" s="399" t="s">
        <v>1239</v>
      </c>
      <c r="H292" s="399" t="s">
        <v>1239</v>
      </c>
      <c r="I292" s="399" t="s">
        <v>893</v>
      </c>
      <c r="J292" s="399" t="s">
        <v>2344</v>
      </c>
      <c r="K292" s="791">
        <v>44621</v>
      </c>
      <c r="L292" s="399">
        <v>1580</v>
      </c>
      <c r="M292" s="399">
        <v>1580</v>
      </c>
      <c r="N292" s="399">
        <v>86.271000000000001</v>
      </c>
      <c r="O292" s="399">
        <v>86.271000000000001</v>
      </c>
      <c r="P292" s="399">
        <v>86.271000000000001</v>
      </c>
      <c r="Q292" s="399">
        <v>86.271000000000001</v>
      </c>
      <c r="R292" s="399">
        <v>37.64</v>
      </c>
      <c r="S292" s="399">
        <v>78.42</v>
      </c>
      <c r="T292" s="399">
        <v>171.61</v>
      </c>
      <c r="U292" s="399">
        <v>59471.200000000004</v>
      </c>
      <c r="V292" s="399">
        <v>21570.338130000004</v>
      </c>
      <c r="W292" s="399">
        <v>81041.538130000015</v>
      </c>
      <c r="X292" s="399">
        <v>76221.865840000013</v>
      </c>
      <c r="Y292" s="399">
        <v>0</v>
      </c>
      <c r="Z292" s="399">
        <v>4537.6691521202065</v>
      </c>
      <c r="AA292" s="399">
        <v>0</v>
      </c>
      <c r="AB292" s="399">
        <v>0</v>
      </c>
      <c r="AC292" s="399">
        <v>0</v>
      </c>
      <c r="AD292" s="399">
        <v>25823.70210244054</v>
      </c>
      <c r="AE292" s="399">
        <v>33642.117501283043</v>
      </c>
      <c r="AF292" s="399">
        <v>14266.99999805595</v>
      </c>
      <c r="AG292" s="399">
        <v>537.93047914321369</v>
      </c>
      <c r="AH292" s="399">
        <v>0</v>
      </c>
      <c r="AI292" s="399">
        <v>0</v>
      </c>
      <c r="AJ292" s="399">
        <v>0</v>
      </c>
      <c r="AK292" s="399">
        <v>0</v>
      </c>
      <c r="AL292" s="399">
        <v>806.4708648779839</v>
      </c>
      <c r="AM292" s="399"/>
      <c r="AN292" s="399">
        <v>22.780761227306602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533.26596305535179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14800.265961111301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76221.600800000015</v>
      </c>
      <c r="CJ292" s="399">
        <v>-4819.9673299999849</v>
      </c>
      <c r="CK292" s="399"/>
      <c r="CL292" s="399"/>
      <c r="CM292" s="399"/>
      <c r="CN292" s="399"/>
      <c r="CO292" s="399">
        <v>-6761.6324999999961</v>
      </c>
      <c r="CP292" s="399">
        <v>1941.9602099999993</v>
      </c>
      <c r="CQ292" s="399">
        <v>31</v>
      </c>
      <c r="CR292" s="399">
        <v>2458.165853303406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1162.909095152525</v>
      </c>
      <c r="DA292" s="399">
        <v>0</v>
      </c>
      <c r="DB292" s="399">
        <v>0</v>
      </c>
      <c r="DC292" s="399">
        <v>1942.4214708806267</v>
      </c>
      <c r="DD292" s="399">
        <v>0</v>
      </c>
      <c r="DE292" s="399">
        <v>0</v>
      </c>
      <c r="DF292" s="399">
        <v>0</v>
      </c>
      <c r="DG292" s="399">
        <v>72.603017906334003</v>
      </c>
      <c r="DH292" s="399">
        <v>0</v>
      </c>
      <c r="DI292" s="399">
        <v>-623.26135262253274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-92.940614857841865</v>
      </c>
      <c r="DP292" s="399">
        <v>-3.5657631556986971</v>
      </c>
      <c r="DQ292" s="399">
        <v>0</v>
      </c>
      <c r="DR292" s="399">
        <v>0</v>
      </c>
      <c r="DS292" s="399"/>
      <c r="DT292" s="399"/>
      <c r="DU292" s="399">
        <v>33642.117501283043</v>
      </c>
      <c r="DV292" s="399">
        <v>0</v>
      </c>
      <c r="DW292" s="399">
        <v>0</v>
      </c>
      <c r="DX292" s="399">
        <v>0</v>
      </c>
      <c r="DY292" s="399">
        <v>-6761.632500000007</v>
      </c>
      <c r="DZ292" s="399">
        <v>1941.9602099999993</v>
      </c>
      <c r="EA292" s="399">
        <v>0</v>
      </c>
      <c r="EB292" s="399">
        <v>0</v>
      </c>
      <c r="EC292" s="399">
        <v>-7273.2442849859071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865.31771687235528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215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294</v>
      </c>
      <c r="B293" s="399" t="s">
        <v>956</v>
      </c>
      <c r="C293" s="399" t="s">
        <v>2351</v>
      </c>
      <c r="D293" s="399" t="s">
        <v>533</v>
      </c>
      <c r="E293" s="399" t="s">
        <v>890</v>
      </c>
      <c r="F293" s="399" t="s">
        <v>1239</v>
      </c>
      <c r="G293" s="399" t="s">
        <v>1239</v>
      </c>
      <c r="H293" s="399" t="s">
        <v>1239</v>
      </c>
      <c r="I293" s="399" t="s">
        <v>2326</v>
      </c>
      <c r="J293" s="399" t="s">
        <v>2344</v>
      </c>
      <c r="K293" s="791">
        <v>44621</v>
      </c>
      <c r="L293" s="399">
        <v>21248</v>
      </c>
      <c r="M293" s="399">
        <v>21248</v>
      </c>
      <c r="N293" s="399">
        <v>8346.1350000000002</v>
      </c>
      <c r="O293" s="399">
        <v>8346.1350000000002</v>
      </c>
      <c r="P293" s="399">
        <v>8346.1350000000002</v>
      </c>
      <c r="Q293" s="399">
        <v>8346.1350000000002</v>
      </c>
      <c r="R293" s="399">
        <v>12.58</v>
      </c>
      <c r="S293" s="399">
        <v>78.42</v>
      </c>
      <c r="T293" s="399">
        <v>171.61</v>
      </c>
      <c r="U293" s="399">
        <v>267299.84000000003</v>
      </c>
      <c r="V293" s="399">
        <v>2086784.13405</v>
      </c>
      <c r="W293" s="399">
        <v>2354083.9740500003</v>
      </c>
      <c r="X293" s="399">
        <v>2458323.9404000002</v>
      </c>
      <c r="Y293" s="399">
        <v>0</v>
      </c>
      <c r="Z293" s="399">
        <v>438988.76017353201</v>
      </c>
      <c r="AA293" s="399">
        <v>0</v>
      </c>
      <c r="AB293" s="399">
        <v>0</v>
      </c>
      <c r="AC293" s="399">
        <v>0</v>
      </c>
      <c r="AD293" s="399">
        <v>140819.83284909982</v>
      </c>
      <c r="AE293" s="399">
        <v>126419.41737187364</v>
      </c>
      <c r="AF293" s="399">
        <v>1380235.6299193783</v>
      </c>
      <c r="AG293" s="399">
        <v>52041.130849809851</v>
      </c>
      <c r="AH293" s="399">
        <v>0</v>
      </c>
      <c r="AI293" s="399">
        <v>0</v>
      </c>
      <c r="AJ293" s="399">
        <v>0</v>
      </c>
      <c r="AK293" s="399">
        <v>0</v>
      </c>
      <c r="AL293" s="399">
        <v>78020.59454322324</v>
      </c>
      <c r="AM293" s="399"/>
      <c r="AN293" s="399">
        <v>2203.8843714094724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51589.870507644271</v>
      </c>
      <c r="BH293" s="399">
        <v>0</v>
      </c>
      <c r="BI293" s="399">
        <v>0</v>
      </c>
      <c r="BJ293" s="399">
        <v>0</v>
      </c>
      <c r="BK293" s="399">
        <v>0</v>
      </c>
      <c r="BL293" s="399">
        <v>0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1431825.5004270226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2458325.2656</v>
      </c>
      <c r="CJ293" s="399">
        <v>104241.2615500004</v>
      </c>
      <c r="CK293" s="399"/>
      <c r="CL293" s="399"/>
      <c r="CM293" s="399"/>
      <c r="CN293" s="399"/>
      <c r="CO293" s="399">
        <v>-83631.532500000001</v>
      </c>
      <c r="CP293" s="399">
        <v>187871.49884999992</v>
      </c>
      <c r="CQ293" s="399">
        <v>31</v>
      </c>
      <c r="CR293" s="399">
        <v>131648.80626778631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6341.4867375890026</v>
      </c>
      <c r="DA293" s="399">
        <v>0</v>
      </c>
      <c r="DB293" s="399">
        <v>0</v>
      </c>
      <c r="DC293" s="399">
        <v>187916.1227164201</v>
      </c>
      <c r="DD293" s="399">
        <v>0</v>
      </c>
      <c r="DE293" s="399">
        <v>0</v>
      </c>
      <c r="DF293" s="399">
        <v>0</v>
      </c>
      <c r="DG293" s="399">
        <v>7023.8502956228767</v>
      </c>
      <c r="DH293" s="399">
        <v>0</v>
      </c>
      <c r="DI293" s="399">
        <v>-60296.314975719084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-8991.3750691026507</v>
      </c>
      <c r="DP293" s="399">
        <v>-344.96343702388208</v>
      </c>
      <c r="DQ293" s="399">
        <v>0</v>
      </c>
      <c r="DR293" s="399">
        <v>0</v>
      </c>
      <c r="DS293" s="399"/>
      <c r="DT293" s="399"/>
      <c r="DU293" s="399">
        <v>126419.41737187364</v>
      </c>
      <c r="DV293" s="399">
        <v>0</v>
      </c>
      <c r="DW293" s="399">
        <v>0</v>
      </c>
      <c r="DX293" s="399">
        <v>0</v>
      </c>
      <c r="DY293" s="399">
        <v>-83631.532499999972</v>
      </c>
      <c r="DZ293" s="399">
        <v>187871.49885000009</v>
      </c>
      <c r="EA293" s="399">
        <v>0</v>
      </c>
      <c r="EB293" s="399">
        <v>0</v>
      </c>
      <c r="EC293" s="399">
        <v>-27331.195929512323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83713.628947252902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215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295</v>
      </c>
      <c r="B294" s="399" t="s">
        <v>2346</v>
      </c>
      <c r="C294" s="399" t="s">
        <v>2351</v>
      </c>
      <c r="D294" s="399" t="s">
        <v>533</v>
      </c>
      <c r="E294" s="399" t="s">
        <v>890</v>
      </c>
      <c r="F294" s="399" t="s">
        <v>1239</v>
      </c>
      <c r="G294" s="399" t="s">
        <v>1239</v>
      </c>
      <c r="H294" s="399" t="s">
        <v>1239</v>
      </c>
      <c r="I294" s="399" t="s">
        <v>2326</v>
      </c>
      <c r="J294" s="399" t="s">
        <v>2344</v>
      </c>
      <c r="K294" s="791">
        <v>44621</v>
      </c>
      <c r="L294" s="399">
        <v>2008</v>
      </c>
      <c r="M294" s="399">
        <v>2008</v>
      </c>
      <c r="N294" s="399">
        <v>807.29</v>
      </c>
      <c r="O294" s="399">
        <v>807.29</v>
      </c>
      <c r="P294" s="399">
        <v>807.29</v>
      </c>
      <c r="Q294" s="399">
        <v>807.29</v>
      </c>
      <c r="R294" s="399">
        <v>12.58</v>
      </c>
      <c r="S294" s="399">
        <v>78.42</v>
      </c>
      <c r="T294" s="399">
        <v>171.61</v>
      </c>
      <c r="U294" s="399">
        <v>25260.639999999999</v>
      </c>
      <c r="V294" s="399">
        <v>201846.7187</v>
      </c>
      <c r="W294" s="399">
        <v>227107.35870000001</v>
      </c>
      <c r="X294" s="399">
        <v>237236.8616</v>
      </c>
      <c r="Y294" s="399">
        <v>0</v>
      </c>
      <c r="Z294" s="399">
        <v>42461.718651865878</v>
      </c>
      <c r="AA294" s="399">
        <v>0</v>
      </c>
      <c r="AB294" s="399">
        <v>0</v>
      </c>
      <c r="AC294" s="399">
        <v>0</v>
      </c>
      <c r="AD294" s="399">
        <v>13307.898360362971</v>
      </c>
      <c r="AE294" s="399">
        <v>11947.015723019686</v>
      </c>
      <c r="AF294" s="399">
        <v>133504.96028132961</v>
      </c>
      <c r="AG294" s="399">
        <v>5033.7413094495823</v>
      </c>
      <c r="AH294" s="399">
        <v>0</v>
      </c>
      <c r="AI294" s="399">
        <v>0</v>
      </c>
      <c r="AJ294" s="399">
        <v>0</v>
      </c>
      <c r="AK294" s="399">
        <v>0</v>
      </c>
      <c r="AL294" s="399">
        <v>7546.6363494957468</v>
      </c>
      <c r="AM294" s="399"/>
      <c r="AN294" s="399">
        <v>213.17338075590112</v>
      </c>
      <c r="AO294" s="399">
        <v>0</v>
      </c>
      <c r="AP294" s="399">
        <v>0</v>
      </c>
      <c r="AQ294" s="399">
        <v>0</v>
      </c>
      <c r="AR294" s="399">
        <v>0</v>
      </c>
      <c r="AS294" s="399">
        <v>0</v>
      </c>
      <c r="AT294" s="399">
        <v>0</v>
      </c>
      <c r="AU294" s="399">
        <v>0</v>
      </c>
      <c r="AV294" s="399">
        <v>0</v>
      </c>
      <c r="AW294" s="399">
        <v>0</v>
      </c>
      <c r="AX294" s="399">
        <v>0</v>
      </c>
      <c r="AY294" s="399">
        <v>0</v>
      </c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>
        <v>0</v>
      </c>
      <c r="BG294" s="399">
        <v>4990.0926071907707</v>
      </c>
      <c r="BH294" s="399">
        <v>0</v>
      </c>
      <c r="BI294" s="399">
        <v>0</v>
      </c>
      <c r="BJ294" s="399">
        <v>0</v>
      </c>
      <c r="BK294" s="399">
        <v>0</v>
      </c>
      <c r="BL294" s="399">
        <v>0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>
        <v>138495.05288852038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237236.8616</v>
      </c>
      <c r="CJ294" s="399">
        <v>10129.472899999993</v>
      </c>
      <c r="CK294" s="399"/>
      <c r="CL294" s="399"/>
      <c r="CM294" s="399"/>
      <c r="CN294" s="399"/>
      <c r="CO294" s="399">
        <v>-8042.5949999999993</v>
      </c>
      <c r="CP294" s="399">
        <v>18172.097899999993</v>
      </c>
      <c r="CQ294" s="399">
        <v>31</v>
      </c>
      <c r="CR294" s="399">
        <v>12719.791600413038</v>
      </c>
      <c r="CS294" s="399">
        <v>0</v>
      </c>
      <c r="CT294" s="399">
        <v>0</v>
      </c>
      <c r="CU294" s="399">
        <v>0</v>
      </c>
      <c r="CV294" s="399">
        <v>0</v>
      </c>
      <c r="CW294" s="399">
        <v>0</v>
      </c>
      <c r="CX294" s="399">
        <v>0</v>
      </c>
      <c r="CY294" s="399">
        <v>0</v>
      </c>
      <c r="CZ294" s="399">
        <v>599.28959756583026</v>
      </c>
      <c r="DA294" s="399">
        <v>0</v>
      </c>
      <c r="DB294" s="399">
        <v>0</v>
      </c>
      <c r="DC294" s="399">
        <v>18176.414197438542</v>
      </c>
      <c r="DD294" s="399">
        <v>0</v>
      </c>
      <c r="DE294" s="399">
        <v>0</v>
      </c>
      <c r="DF294" s="399">
        <v>0</v>
      </c>
      <c r="DG294" s="399">
        <v>679.39041306585477</v>
      </c>
      <c r="DH294" s="399">
        <v>0</v>
      </c>
      <c r="DI294" s="399">
        <v>-5832.2339761755866</v>
      </c>
      <c r="DJ294" s="399"/>
      <c r="DK294" s="399">
        <v>0</v>
      </c>
      <c r="DL294" s="399">
        <v>0</v>
      </c>
      <c r="DM294" s="399">
        <v>0</v>
      </c>
      <c r="DN294" s="399">
        <v>0</v>
      </c>
      <c r="DO294" s="399">
        <v>-869.70162590658674</v>
      </c>
      <c r="DP294" s="399">
        <v>-33.367005575036814</v>
      </c>
      <c r="DQ294" s="399">
        <v>0</v>
      </c>
      <c r="DR294" s="399">
        <v>0</v>
      </c>
      <c r="DS294" s="399"/>
      <c r="DT294" s="399"/>
      <c r="DU294" s="399">
        <v>11947.015723019686</v>
      </c>
      <c r="DV294" s="399">
        <v>0</v>
      </c>
      <c r="DW294" s="399">
        <v>0</v>
      </c>
      <c r="DX294" s="399">
        <v>0</v>
      </c>
      <c r="DY294" s="399">
        <v>-8042.5950000000012</v>
      </c>
      <c r="DZ294" s="399">
        <v>18172.097899999993</v>
      </c>
      <c r="EA294" s="399">
        <v>0</v>
      </c>
      <c r="EB294" s="399">
        <v>0</v>
      </c>
      <c r="EC294" s="399">
        <v>-2582.8803382182195</v>
      </c>
      <c r="ED294" s="399">
        <v>0</v>
      </c>
      <c r="EE294" s="399">
        <v>0</v>
      </c>
      <c r="EF294" s="399">
        <v>0</v>
      </c>
      <c r="EG294" s="399">
        <v>0</v>
      </c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>
        <v>0</v>
      </c>
      <c r="EN294" s="399">
        <v>0</v>
      </c>
      <c r="EO294" s="399">
        <v>0</v>
      </c>
      <c r="EP294" s="399">
        <v>8097.3019862280908</v>
      </c>
      <c r="EQ294" s="399">
        <v>0</v>
      </c>
      <c r="ER294" s="399">
        <v>0</v>
      </c>
      <c r="ES294" s="399">
        <v>0</v>
      </c>
      <c r="ET294" s="399">
        <v>0</v>
      </c>
      <c r="EU294" s="399">
        <v>0</v>
      </c>
      <c r="EV294" s="399">
        <v>215</v>
      </c>
      <c r="EW294" s="399">
        <v>0</v>
      </c>
      <c r="EX294" s="399">
        <v>0</v>
      </c>
      <c r="EY294" s="399">
        <v>0</v>
      </c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296</v>
      </c>
      <c r="B295" s="399" t="s">
        <v>956</v>
      </c>
      <c r="C295" s="399" t="s">
        <v>2351</v>
      </c>
      <c r="D295" s="399" t="s">
        <v>533</v>
      </c>
      <c r="E295" s="399" t="s">
        <v>890</v>
      </c>
      <c r="F295" s="399" t="s">
        <v>1239</v>
      </c>
      <c r="G295" s="399" t="s">
        <v>1239</v>
      </c>
      <c r="H295" s="399" t="s">
        <v>1239</v>
      </c>
      <c r="I295" s="399" t="s">
        <v>1239</v>
      </c>
      <c r="J295" s="399" t="s">
        <v>2344</v>
      </c>
      <c r="K295" s="791">
        <v>44621</v>
      </c>
      <c r="L295" s="399">
        <v>0</v>
      </c>
      <c r="M295" s="399">
        <v>0</v>
      </c>
      <c r="N295" s="399">
        <v>0</v>
      </c>
      <c r="O295" s="399">
        <v>0</v>
      </c>
      <c r="P295" s="399">
        <v>0</v>
      </c>
      <c r="Q295" s="399">
        <v>0</v>
      </c>
      <c r="R295" s="399"/>
      <c r="S295" s="399"/>
      <c r="T295" s="399"/>
      <c r="U295" s="399"/>
      <c r="V295" s="399"/>
      <c r="W295" s="399"/>
      <c r="X295" s="399"/>
      <c r="Y295" s="399"/>
      <c r="Z295" s="399"/>
      <c r="AA295" s="399">
        <v>0</v>
      </c>
      <c r="AB295" s="399"/>
      <c r="AC295" s="399"/>
      <c r="AD295" s="399"/>
      <c r="AE295" s="399"/>
      <c r="AF295" s="399"/>
      <c r="AG295" s="399"/>
      <c r="AH295" s="399"/>
      <c r="AI295" s="399"/>
      <c r="AJ295" s="399"/>
      <c r="AK295" s="399"/>
      <c r="AL295" s="399"/>
      <c r="AM295" s="399"/>
      <c r="AN295" s="399"/>
      <c r="AO295" s="399"/>
      <c r="AP295" s="399"/>
      <c r="AQ295" s="399"/>
      <c r="AR295" s="399"/>
      <c r="AS295" s="399"/>
      <c r="AT295" s="399"/>
      <c r="AU295" s="399"/>
      <c r="AV295" s="399"/>
      <c r="AW295" s="399"/>
      <c r="AX295" s="399"/>
      <c r="AY295" s="399"/>
      <c r="AZ295" s="399">
        <v>0</v>
      </c>
      <c r="BA295" s="399"/>
      <c r="BB295" s="399"/>
      <c r="BC295" s="399"/>
      <c r="BD295" s="399"/>
      <c r="BE295" s="399"/>
      <c r="BF295" s="399"/>
      <c r="BG295" s="399"/>
      <c r="BH295" s="399"/>
      <c r="BI295" s="399">
        <v>0</v>
      </c>
      <c r="BJ295" s="399">
        <v>0</v>
      </c>
      <c r="BK295" s="399">
        <v>1548665.68</v>
      </c>
      <c r="BL295" s="399">
        <v>22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/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/>
      <c r="CJ295" s="399">
        <v>-0.03</v>
      </c>
      <c r="CK295" s="399"/>
      <c r="CL295" s="399"/>
      <c r="CM295" s="399"/>
      <c r="CN295" s="399"/>
      <c r="CO295" s="399">
        <v>0</v>
      </c>
      <c r="CP295" s="399">
        <v>0</v>
      </c>
      <c r="CQ295" s="399">
        <v>31</v>
      </c>
      <c r="CR295" s="399"/>
      <c r="CS295" s="399"/>
      <c r="CT295" s="399"/>
      <c r="CU295" s="399"/>
      <c r="CV295" s="399"/>
      <c r="CW295" s="399"/>
      <c r="CX295" s="399"/>
      <c r="CY295" s="399"/>
      <c r="CZ295" s="399"/>
      <c r="DA295" s="399"/>
      <c r="DB295" s="399"/>
      <c r="DC295" s="399"/>
      <c r="DD295" s="399"/>
      <c r="DE295" s="399"/>
      <c r="DF295" s="399"/>
      <c r="DG295" s="399"/>
      <c r="DH295" s="399"/>
      <c r="DI295" s="399"/>
      <c r="DJ295" s="399"/>
      <c r="DK295" s="399">
        <v>0</v>
      </c>
      <c r="DL295" s="399"/>
      <c r="DM295" s="399"/>
      <c r="DN295" s="399"/>
      <c r="DO295" s="399"/>
      <c r="DP295" s="399"/>
      <c r="DQ295" s="399"/>
      <c r="DR295" s="399"/>
      <c r="DS295" s="399"/>
      <c r="DT295" s="399"/>
      <c r="DU295" s="399"/>
      <c r="DV295" s="399"/>
      <c r="DW295" s="399"/>
      <c r="DX295" s="399"/>
      <c r="DY295" s="399"/>
      <c r="DZ295" s="399"/>
      <c r="EA295" s="399"/>
      <c r="EB295" s="399"/>
      <c r="EC295" s="399"/>
      <c r="ED295" s="399"/>
      <c r="EE295" s="399"/>
      <c r="EF295" s="399"/>
      <c r="EG295" s="399"/>
      <c r="EH295" s="399"/>
      <c r="EI295" s="399"/>
      <c r="EJ295" s="399"/>
      <c r="EK295" s="399"/>
      <c r="EL295" s="399"/>
      <c r="EM295" s="399"/>
      <c r="EN295" s="399"/>
      <c r="EO295" s="399"/>
      <c r="EP295" s="399"/>
      <c r="EQ295" s="399"/>
      <c r="ER295" s="399"/>
      <c r="ES295" s="399"/>
      <c r="ET295" s="399"/>
      <c r="EU295" s="399"/>
      <c r="EV295" s="399">
        <v>215</v>
      </c>
      <c r="EW295" s="399"/>
      <c r="EX295" s="399"/>
      <c r="EY295" s="399"/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297</v>
      </c>
      <c r="B296" s="399" t="s">
        <v>2346</v>
      </c>
      <c r="C296" s="399" t="s">
        <v>2351</v>
      </c>
      <c r="D296" s="399" t="s">
        <v>533</v>
      </c>
      <c r="E296" s="399" t="s">
        <v>890</v>
      </c>
      <c r="F296" s="399" t="s">
        <v>1239</v>
      </c>
      <c r="G296" s="399" t="s">
        <v>1239</v>
      </c>
      <c r="H296" s="399" t="s">
        <v>1239</v>
      </c>
      <c r="I296" s="399" t="s">
        <v>1239</v>
      </c>
      <c r="J296" s="399" t="s">
        <v>2344</v>
      </c>
      <c r="K296" s="791">
        <v>44621</v>
      </c>
      <c r="L296" s="399">
        <v>0</v>
      </c>
      <c r="M296" s="399">
        <v>0</v>
      </c>
      <c r="N296" s="399">
        <v>0</v>
      </c>
      <c r="O296" s="399">
        <v>0</v>
      </c>
      <c r="P296" s="399">
        <v>0</v>
      </c>
      <c r="Q296" s="399">
        <v>0</v>
      </c>
      <c r="R296" s="399"/>
      <c r="S296" s="399"/>
      <c r="T296" s="399"/>
      <c r="U296" s="399"/>
      <c r="V296" s="399"/>
      <c r="W296" s="399"/>
      <c r="X296" s="399"/>
      <c r="Y296" s="399"/>
      <c r="Z296" s="399"/>
      <c r="AA296" s="399">
        <v>0</v>
      </c>
      <c r="AB296" s="399"/>
      <c r="AC296" s="399"/>
      <c r="AD296" s="399"/>
      <c r="AE296" s="399"/>
      <c r="AF296" s="399"/>
      <c r="AG296" s="399"/>
      <c r="AH296" s="399"/>
      <c r="AI296" s="399"/>
      <c r="AJ296" s="399"/>
      <c r="AK296" s="399"/>
      <c r="AL296" s="399"/>
      <c r="AM296" s="399"/>
      <c r="AN296" s="399"/>
      <c r="AO296" s="399"/>
      <c r="AP296" s="399"/>
      <c r="AQ296" s="399"/>
      <c r="AR296" s="399"/>
      <c r="AS296" s="399"/>
      <c r="AT296" s="399"/>
      <c r="AU296" s="399"/>
      <c r="AV296" s="399"/>
      <c r="AW296" s="399"/>
      <c r="AX296" s="399"/>
      <c r="AY296" s="399"/>
      <c r="AZ296" s="399">
        <v>0</v>
      </c>
      <c r="BA296" s="399"/>
      <c r="BB296" s="399"/>
      <c r="BC296" s="399"/>
      <c r="BD296" s="399"/>
      <c r="BE296" s="399"/>
      <c r="BF296" s="399"/>
      <c r="BG296" s="399"/>
      <c r="BH296" s="399"/>
      <c r="BI296" s="399">
        <v>0</v>
      </c>
      <c r="BJ296" s="399">
        <v>0</v>
      </c>
      <c r="BK296" s="399">
        <v>146804.85999999999</v>
      </c>
      <c r="BL296" s="399">
        <v>3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/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/>
      <c r="CJ296" s="399">
        <v>-0.03</v>
      </c>
      <c r="CK296" s="399"/>
      <c r="CL296" s="399"/>
      <c r="CM296" s="399"/>
      <c r="CN296" s="399"/>
      <c r="CO296" s="399">
        <v>0</v>
      </c>
      <c r="CP296" s="399">
        <v>0</v>
      </c>
      <c r="CQ296" s="399">
        <v>31</v>
      </c>
      <c r="CR296" s="399"/>
      <c r="CS296" s="399"/>
      <c r="CT296" s="399"/>
      <c r="CU296" s="399"/>
      <c r="CV296" s="399"/>
      <c r="CW296" s="399"/>
      <c r="CX296" s="399"/>
      <c r="CY296" s="399"/>
      <c r="CZ296" s="399"/>
      <c r="DA296" s="399"/>
      <c r="DB296" s="399"/>
      <c r="DC296" s="399"/>
      <c r="DD296" s="399"/>
      <c r="DE296" s="399"/>
      <c r="DF296" s="399"/>
      <c r="DG296" s="399"/>
      <c r="DH296" s="399"/>
      <c r="DI296" s="399"/>
      <c r="DJ296" s="399"/>
      <c r="DK296" s="399">
        <v>0</v>
      </c>
      <c r="DL296" s="399"/>
      <c r="DM296" s="399"/>
      <c r="DN296" s="399"/>
      <c r="DO296" s="399"/>
      <c r="DP296" s="399"/>
      <c r="DQ296" s="399"/>
      <c r="DR296" s="399"/>
      <c r="DS296" s="399"/>
      <c r="DT296" s="399"/>
      <c r="DU296" s="399"/>
      <c r="DV296" s="399"/>
      <c r="DW296" s="399"/>
      <c r="DX296" s="399"/>
      <c r="DY296" s="399"/>
      <c r="DZ296" s="399"/>
      <c r="EA296" s="399"/>
      <c r="EB296" s="399"/>
      <c r="EC296" s="399"/>
      <c r="ED296" s="399"/>
      <c r="EE296" s="399"/>
      <c r="EF296" s="399"/>
      <c r="EG296" s="399"/>
      <c r="EH296" s="399"/>
      <c r="EI296" s="399"/>
      <c r="EJ296" s="399"/>
      <c r="EK296" s="399"/>
      <c r="EL296" s="399"/>
      <c r="EM296" s="399"/>
      <c r="EN296" s="399"/>
      <c r="EO296" s="399"/>
      <c r="EP296" s="399"/>
      <c r="EQ296" s="399"/>
      <c r="ER296" s="399"/>
      <c r="ES296" s="399"/>
      <c r="ET296" s="399"/>
      <c r="EU296" s="399"/>
      <c r="EV296" s="399">
        <v>215</v>
      </c>
      <c r="EW296" s="399"/>
      <c r="EX296" s="399"/>
      <c r="EY296" s="399"/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298</v>
      </c>
      <c r="B297" s="399" t="s">
        <v>956</v>
      </c>
      <c r="C297" s="399" t="s">
        <v>2352</v>
      </c>
      <c r="D297" s="399" t="s">
        <v>533</v>
      </c>
      <c r="E297" s="399" t="s">
        <v>890</v>
      </c>
      <c r="F297" s="399" t="s">
        <v>1239</v>
      </c>
      <c r="G297" s="399" t="s">
        <v>1239</v>
      </c>
      <c r="H297" s="399" t="s">
        <v>1239</v>
      </c>
      <c r="I297" s="399" t="s">
        <v>893</v>
      </c>
      <c r="J297" s="399" t="s">
        <v>2344</v>
      </c>
      <c r="K297" s="791">
        <v>44621</v>
      </c>
      <c r="L297" s="399">
        <v>0</v>
      </c>
      <c r="M297" s="399">
        <v>0</v>
      </c>
      <c r="N297" s="399">
        <v>172.38900000000001</v>
      </c>
      <c r="O297" s="399">
        <v>172.38900000000001</v>
      </c>
      <c r="P297" s="399">
        <v>172.38900000000001</v>
      </c>
      <c r="Q297" s="399">
        <v>172.38900000000001</v>
      </c>
      <c r="R297" s="399"/>
      <c r="S297" s="399">
        <v>984.21</v>
      </c>
      <c r="T297" s="399">
        <v>171.61</v>
      </c>
      <c r="U297" s="399"/>
      <c r="V297" s="399">
        <v>199250.65398000003</v>
      </c>
      <c r="W297" s="399">
        <v>199250.65398000003</v>
      </c>
      <c r="X297" s="399">
        <v>185809.48365000001</v>
      </c>
      <c r="Y297" s="399">
        <v>0</v>
      </c>
      <c r="Z297" s="399">
        <v>9067.290833128749</v>
      </c>
      <c r="AA297" s="399">
        <v>0</v>
      </c>
      <c r="AB297" s="399">
        <v>0</v>
      </c>
      <c r="AC297" s="399">
        <v>0</v>
      </c>
      <c r="AD297" s="399">
        <v>67871.043119614231</v>
      </c>
      <c r="AE297" s="399">
        <v>88277.324723983416</v>
      </c>
      <c r="AF297" s="399">
        <v>28508.697739273535</v>
      </c>
      <c r="AG297" s="399">
        <v>1074.9069486735921</v>
      </c>
      <c r="AH297" s="399">
        <v>0</v>
      </c>
      <c r="AI297" s="399">
        <v>0</v>
      </c>
      <c r="AJ297" s="399">
        <v>0</v>
      </c>
      <c r="AK297" s="399">
        <v>0</v>
      </c>
      <c r="AL297" s="399">
        <v>1611.5114688070241</v>
      </c>
      <c r="AM297" s="399"/>
      <c r="AN297" s="399">
        <v>45.521121201958458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1065.5861889296409</v>
      </c>
      <c r="BH297" s="399">
        <v>0</v>
      </c>
      <c r="BI297" s="399">
        <v>0</v>
      </c>
      <c r="BJ297" s="399">
        <v>0</v>
      </c>
      <c r="BK297" s="399">
        <v>0</v>
      </c>
      <c r="BL297" s="399">
        <v>0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>
        <v>29574.283928203175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185810.56149999998</v>
      </c>
      <c r="CJ297" s="399">
        <v>-13440.122480000078</v>
      </c>
      <c r="CK297" s="399"/>
      <c r="CL297" s="399"/>
      <c r="CM297" s="399"/>
      <c r="CN297" s="399"/>
      <c r="CO297" s="399">
        <v>-17321.646720000004</v>
      </c>
      <c r="CP297" s="399">
        <v>3880.4763899999984</v>
      </c>
      <c r="CQ297" s="399">
        <v>31</v>
      </c>
      <c r="CR297" s="399">
        <v>5644.6276418496709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3056.4112391086092</v>
      </c>
      <c r="DA297" s="399">
        <v>0</v>
      </c>
      <c r="DB297" s="399">
        <v>0</v>
      </c>
      <c r="DC297" s="399">
        <v>3881.3980937237357</v>
      </c>
      <c r="DD297" s="399">
        <v>0</v>
      </c>
      <c r="DE297" s="399">
        <v>0</v>
      </c>
      <c r="DF297" s="399">
        <v>0</v>
      </c>
      <c r="DG297" s="399">
        <v>145.07727572249087</v>
      </c>
      <c r="DH297" s="399">
        <v>0</v>
      </c>
      <c r="DI297" s="399">
        <v>-1245.4173629289771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-185.71640127885985</v>
      </c>
      <c r="DP297" s="399">
        <v>-7.1252024973367938</v>
      </c>
      <c r="DQ297" s="399">
        <v>0</v>
      </c>
      <c r="DR297" s="399">
        <v>0</v>
      </c>
      <c r="DS297" s="399"/>
      <c r="DT297" s="399"/>
      <c r="DU297" s="399"/>
      <c r="DV297" s="399">
        <v>88277.324723983416</v>
      </c>
      <c r="DW297" s="399">
        <v>0</v>
      </c>
      <c r="DX297" s="399">
        <v>0</v>
      </c>
      <c r="DY297" s="399">
        <v>-17321.646720000019</v>
      </c>
      <c r="DZ297" s="399">
        <v>3880.4763899999962</v>
      </c>
      <c r="EA297" s="399">
        <v>0</v>
      </c>
      <c r="EB297" s="399">
        <v>0</v>
      </c>
      <c r="EC297" s="399">
        <v>-19085.081297813071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1729.1008090077598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215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299</v>
      </c>
      <c r="B298" s="399" t="s">
        <v>2346</v>
      </c>
      <c r="C298" s="399" t="s">
        <v>2352</v>
      </c>
      <c r="D298" s="399" t="s">
        <v>533</v>
      </c>
      <c r="E298" s="399" t="s">
        <v>890</v>
      </c>
      <c r="F298" s="399" t="s">
        <v>1239</v>
      </c>
      <c r="G298" s="399" t="s">
        <v>1239</v>
      </c>
      <c r="H298" s="399" t="s">
        <v>1239</v>
      </c>
      <c r="I298" s="399" t="s">
        <v>893</v>
      </c>
      <c r="J298" s="399" t="s">
        <v>2344</v>
      </c>
      <c r="K298" s="791">
        <v>44621</v>
      </c>
      <c r="L298" s="399">
        <v>0</v>
      </c>
      <c r="M298" s="399">
        <v>0</v>
      </c>
      <c r="N298" s="399">
        <v>1.363</v>
      </c>
      <c r="O298" s="399">
        <v>1.363</v>
      </c>
      <c r="P298" s="399">
        <v>1.363</v>
      </c>
      <c r="Q298" s="399">
        <v>1.363</v>
      </c>
      <c r="R298" s="399"/>
      <c r="S298" s="399">
        <v>984.21</v>
      </c>
      <c r="T298" s="399">
        <v>171.61</v>
      </c>
      <c r="U298" s="399"/>
      <c r="V298" s="399">
        <v>1575.38266</v>
      </c>
      <c r="W298" s="399">
        <v>1575.38266</v>
      </c>
      <c r="X298" s="399">
        <v>1469.1095499999999</v>
      </c>
      <c r="Y298" s="399">
        <v>0</v>
      </c>
      <c r="Z298" s="399">
        <v>71.690870099336294</v>
      </c>
      <c r="AA298" s="399">
        <v>0</v>
      </c>
      <c r="AB298" s="399">
        <v>0</v>
      </c>
      <c r="AC298" s="399">
        <v>0</v>
      </c>
      <c r="AD298" s="399">
        <v>536.62491093999142</v>
      </c>
      <c r="AE298" s="399">
        <v>697.96793066140754</v>
      </c>
      <c r="AF298" s="399">
        <v>225.40507235745801</v>
      </c>
      <c r="AG298" s="399">
        <v>8.4987915182645413</v>
      </c>
      <c r="AH298" s="399">
        <v>0</v>
      </c>
      <c r="AI298" s="399">
        <v>0</v>
      </c>
      <c r="AJ298" s="399">
        <v>0</v>
      </c>
      <c r="AK298" s="399">
        <v>0</v>
      </c>
      <c r="AL298" s="399">
        <v>12.741474989610554</v>
      </c>
      <c r="AM298" s="399"/>
      <c r="AN298" s="399">
        <v>0.35991442724460015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8.4250965868535719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/>
      <c r="BO298" s="399"/>
      <c r="BP298" s="399"/>
      <c r="BQ298" s="399"/>
      <c r="BR298" s="399"/>
      <c r="BS298" s="399"/>
      <c r="BT298" s="399"/>
      <c r="BU298" s="399"/>
      <c r="BV298" s="399">
        <v>233.83016894431159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1465.8760000000002</v>
      </c>
      <c r="CJ298" s="399">
        <v>-109.53665999999976</v>
      </c>
      <c r="CK298" s="399"/>
      <c r="CL298" s="399"/>
      <c r="CM298" s="399"/>
      <c r="CN298" s="399"/>
      <c r="CO298" s="399">
        <v>-136.95424000000003</v>
      </c>
      <c r="CP298" s="399">
        <v>30.681129999999989</v>
      </c>
      <c r="CQ298" s="399">
        <v>31</v>
      </c>
      <c r="CR298" s="399">
        <v>44.629457075805817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24.165628427017054</v>
      </c>
      <c r="DA298" s="399">
        <v>0</v>
      </c>
      <c r="DB298" s="399">
        <v>0</v>
      </c>
      <c r="DC298" s="399">
        <v>30.688417484557846</v>
      </c>
      <c r="DD298" s="399">
        <v>0</v>
      </c>
      <c r="DE298" s="399">
        <v>0</v>
      </c>
      <c r="DF298" s="399">
        <v>0</v>
      </c>
      <c r="DG298" s="399">
        <v>1.1470588425581401</v>
      </c>
      <c r="DH298" s="399">
        <v>0</v>
      </c>
      <c r="DI298" s="399">
        <v>-9.8469384106421884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-1.4683735907922539</v>
      </c>
      <c r="DP298" s="399">
        <v>-5.6335676892783515E-2</v>
      </c>
      <c r="DQ298" s="399">
        <v>0</v>
      </c>
      <c r="DR298" s="399">
        <v>0</v>
      </c>
      <c r="DS298" s="399"/>
      <c r="DT298" s="399"/>
      <c r="DU298" s="399"/>
      <c r="DV298" s="399">
        <v>697.96793066140754</v>
      </c>
      <c r="DW298" s="399">
        <v>0</v>
      </c>
      <c r="DX298" s="399">
        <v>0</v>
      </c>
      <c r="DY298" s="399">
        <v>-136.95424000000003</v>
      </c>
      <c r="DZ298" s="399">
        <v>30.681129999999968</v>
      </c>
      <c r="EA298" s="399">
        <v>0</v>
      </c>
      <c r="EB298" s="399">
        <v>0</v>
      </c>
      <c r="EC298" s="399">
        <v>-150.89690066604726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13.671199454011431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215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300</v>
      </c>
      <c r="B299" s="399" t="s">
        <v>956</v>
      </c>
      <c r="C299" s="399" t="s">
        <v>2352</v>
      </c>
      <c r="D299" s="399" t="s">
        <v>533</v>
      </c>
      <c r="E299" s="399" t="s">
        <v>890</v>
      </c>
      <c r="F299" s="399" t="s">
        <v>1239</v>
      </c>
      <c r="G299" s="399" t="s">
        <v>1239</v>
      </c>
      <c r="H299" s="399" t="s">
        <v>1239</v>
      </c>
      <c r="I299" s="399" t="s">
        <v>2326</v>
      </c>
      <c r="J299" s="399" t="s">
        <v>2344</v>
      </c>
      <c r="K299" s="791">
        <v>44621</v>
      </c>
      <c r="L299" s="399">
        <v>0</v>
      </c>
      <c r="M299" s="399">
        <v>0</v>
      </c>
      <c r="N299" s="399">
        <v>2102.66</v>
      </c>
      <c r="O299" s="399">
        <v>2102.66</v>
      </c>
      <c r="P299" s="399">
        <v>2102.66</v>
      </c>
      <c r="Q299" s="399">
        <v>2102.66</v>
      </c>
      <c r="R299" s="399"/>
      <c r="S299" s="399">
        <v>78.42</v>
      </c>
      <c r="T299" s="399">
        <v>171.61</v>
      </c>
      <c r="U299" s="399"/>
      <c r="V299" s="399">
        <v>525728.07979999995</v>
      </c>
      <c r="W299" s="399">
        <v>525728.07979999995</v>
      </c>
      <c r="X299" s="399">
        <v>557289.00640000007</v>
      </c>
      <c r="Y299" s="399">
        <v>0</v>
      </c>
      <c r="Z299" s="399">
        <v>110595.39612844493</v>
      </c>
      <c r="AA299" s="399">
        <v>0</v>
      </c>
      <c r="AB299" s="399">
        <v>0</v>
      </c>
      <c r="AC299" s="399">
        <v>0</v>
      </c>
      <c r="AD299" s="399">
        <v>0</v>
      </c>
      <c r="AE299" s="399">
        <v>0</v>
      </c>
      <c r="AF299" s="399">
        <v>347725.7736193196</v>
      </c>
      <c r="AG299" s="399">
        <v>13110.835637413147</v>
      </c>
      <c r="AH299" s="399">
        <v>0</v>
      </c>
      <c r="AI299" s="399">
        <v>0</v>
      </c>
      <c r="AJ299" s="399">
        <v>0</v>
      </c>
      <c r="AK299" s="399">
        <v>0</v>
      </c>
      <c r="AL299" s="399">
        <v>19655.898607230025</v>
      </c>
      <c r="AM299" s="399"/>
      <c r="AN299" s="399">
        <v>555.22939808520243</v>
      </c>
      <c r="AO299" s="399">
        <v>0</v>
      </c>
      <c r="AP299" s="399">
        <v>0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12997.148634859523</v>
      </c>
      <c r="BH299" s="399">
        <v>0</v>
      </c>
      <c r="BI299" s="399">
        <v>0</v>
      </c>
      <c r="BJ299" s="399">
        <v>0</v>
      </c>
      <c r="BK299" s="399">
        <v>0</v>
      </c>
      <c r="BL299" s="399">
        <v>0</v>
      </c>
      <c r="BM299" s="399"/>
      <c r="BN299" s="399"/>
      <c r="BO299" s="399"/>
      <c r="BP299" s="399"/>
      <c r="BQ299" s="399"/>
      <c r="BR299" s="399"/>
      <c r="BS299" s="399"/>
      <c r="BT299" s="399"/>
      <c r="BU299" s="399"/>
      <c r="BV299" s="399">
        <v>360722.92225417914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557289.00640000007</v>
      </c>
      <c r="CJ299" s="399">
        <v>31560.896600000095</v>
      </c>
      <c r="CK299" s="399"/>
      <c r="CL299" s="399"/>
      <c r="CM299" s="399"/>
      <c r="CN299" s="399"/>
      <c r="CO299" s="399">
        <v>-15769.949999999999</v>
      </c>
      <c r="CP299" s="399">
        <v>47330.876599999974</v>
      </c>
      <c r="CQ299" s="399">
        <v>31</v>
      </c>
      <c r="CR299" s="399">
        <v>31568.946402540081</v>
      </c>
      <c r="CS299" s="399">
        <v>0</v>
      </c>
      <c r="CT299" s="399">
        <v>0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0</v>
      </c>
      <c r="DA299" s="399">
        <v>0</v>
      </c>
      <c r="DB299" s="399">
        <v>0</v>
      </c>
      <c r="DC299" s="399">
        <v>47342.118788026739</v>
      </c>
      <c r="DD299" s="399">
        <v>0</v>
      </c>
      <c r="DE299" s="399">
        <v>0</v>
      </c>
      <c r="DF299" s="399">
        <v>0</v>
      </c>
      <c r="DG299" s="399">
        <v>1769.5339294888472</v>
      </c>
      <c r="DH299" s="399">
        <v>0</v>
      </c>
      <c r="DI299" s="399">
        <v>-15190.582185268446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-2265.2167383824199</v>
      </c>
      <c r="DP299" s="399">
        <v>-86.907391324563548</v>
      </c>
      <c r="DQ299" s="399">
        <v>0</v>
      </c>
      <c r="DR299" s="399">
        <v>0</v>
      </c>
      <c r="DS299" s="399"/>
      <c r="DT299" s="399"/>
      <c r="DU299" s="399"/>
      <c r="DV299" s="399">
        <v>0</v>
      </c>
      <c r="DW299" s="399">
        <v>0</v>
      </c>
      <c r="DX299" s="399">
        <v>0</v>
      </c>
      <c r="DY299" s="399">
        <v>-15769.949999999983</v>
      </c>
      <c r="DZ299" s="399">
        <v>47330.876600000018</v>
      </c>
      <c r="EA299" s="399">
        <v>0</v>
      </c>
      <c r="EB299" s="399">
        <v>0</v>
      </c>
      <c r="EC299" s="399">
        <v>0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21090.157185599175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215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301</v>
      </c>
      <c r="B300" s="399" t="s">
        <v>2346</v>
      </c>
      <c r="C300" s="399" t="s">
        <v>2352</v>
      </c>
      <c r="D300" s="399" t="s">
        <v>533</v>
      </c>
      <c r="E300" s="399" t="s">
        <v>890</v>
      </c>
      <c r="F300" s="399" t="s">
        <v>1239</v>
      </c>
      <c r="G300" s="399" t="s">
        <v>1239</v>
      </c>
      <c r="H300" s="399" t="s">
        <v>1239</v>
      </c>
      <c r="I300" s="399" t="s">
        <v>2326</v>
      </c>
      <c r="J300" s="399" t="s">
        <v>2344</v>
      </c>
      <c r="K300" s="791">
        <v>44621</v>
      </c>
      <c r="L300" s="399">
        <v>0</v>
      </c>
      <c r="M300" s="399">
        <v>0</v>
      </c>
      <c r="N300" s="399">
        <v>24.35</v>
      </c>
      <c r="O300" s="399">
        <v>24.35</v>
      </c>
      <c r="P300" s="399">
        <v>24.35</v>
      </c>
      <c r="Q300" s="399">
        <v>24.35</v>
      </c>
      <c r="R300" s="399"/>
      <c r="S300" s="399">
        <v>78.42</v>
      </c>
      <c r="T300" s="399">
        <v>171.61</v>
      </c>
      <c r="U300" s="399"/>
      <c r="V300" s="399">
        <v>6088.2305000000006</v>
      </c>
      <c r="W300" s="399">
        <v>6088.2305000000006</v>
      </c>
      <c r="X300" s="399">
        <v>6453.7240000000002</v>
      </c>
      <c r="Y300" s="399">
        <v>0</v>
      </c>
      <c r="Z300" s="399">
        <v>1280.7576573138949</v>
      </c>
      <c r="AA300" s="399">
        <v>0</v>
      </c>
      <c r="AB300" s="399">
        <v>0</v>
      </c>
      <c r="AC300" s="399">
        <v>0</v>
      </c>
      <c r="AD300" s="399">
        <v>0</v>
      </c>
      <c r="AE300" s="399">
        <v>0</v>
      </c>
      <c r="AF300" s="399">
        <v>4026.8624445371261</v>
      </c>
      <c r="AG300" s="399">
        <v>151.83094165058077</v>
      </c>
      <c r="AH300" s="399">
        <v>0</v>
      </c>
      <c r="AI300" s="399">
        <v>0</v>
      </c>
      <c r="AJ300" s="399">
        <v>0</v>
      </c>
      <c r="AK300" s="399">
        <v>0</v>
      </c>
      <c r="AL300" s="399">
        <v>227.62649742994643</v>
      </c>
      <c r="AM300" s="399"/>
      <c r="AN300" s="399">
        <v>6.429872563027156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150.51438143058289</v>
      </c>
      <c r="BH300" s="399">
        <v>0</v>
      </c>
      <c r="BI300" s="399">
        <v>0</v>
      </c>
      <c r="BJ300" s="399">
        <v>0</v>
      </c>
      <c r="BK300" s="399">
        <v>0</v>
      </c>
      <c r="BL300" s="399">
        <v>0</v>
      </c>
      <c r="BM300" s="399"/>
      <c r="BN300" s="399"/>
      <c r="BO300" s="399"/>
      <c r="BP300" s="399"/>
      <c r="BQ300" s="399"/>
      <c r="BR300" s="399"/>
      <c r="BS300" s="399"/>
      <c r="BT300" s="399"/>
      <c r="BU300" s="399"/>
      <c r="BV300" s="399">
        <v>4177.376825967709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6453.7240000000002</v>
      </c>
      <c r="CJ300" s="399">
        <v>365.46349999999984</v>
      </c>
      <c r="CK300" s="399"/>
      <c r="CL300" s="399"/>
      <c r="CM300" s="399"/>
      <c r="CN300" s="399"/>
      <c r="CO300" s="399">
        <v>-182.625</v>
      </c>
      <c r="CP300" s="399">
        <v>548.11849999999981</v>
      </c>
      <c r="CQ300" s="399">
        <v>31</v>
      </c>
      <c r="CR300" s="399">
        <v>365.58637387968247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0</v>
      </c>
      <c r="DA300" s="399">
        <v>0</v>
      </c>
      <c r="DB300" s="399">
        <v>0</v>
      </c>
      <c r="DC300" s="399">
        <v>548.24869093835969</v>
      </c>
      <c r="DD300" s="399">
        <v>0</v>
      </c>
      <c r="DE300" s="399">
        <v>0</v>
      </c>
      <c r="DF300" s="399">
        <v>0</v>
      </c>
      <c r="DG300" s="399">
        <v>20.492210430147281</v>
      </c>
      <c r="DH300" s="399">
        <v>0</v>
      </c>
      <c r="DI300" s="399">
        <v>-175.91559082842059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-26.232499586053819</v>
      </c>
      <c r="DP300" s="399">
        <v>-1.0064370743501669</v>
      </c>
      <c r="DQ300" s="399">
        <v>0</v>
      </c>
      <c r="DR300" s="399">
        <v>0</v>
      </c>
      <c r="DS300" s="399"/>
      <c r="DT300" s="399"/>
      <c r="DU300" s="399"/>
      <c r="DV300" s="399">
        <v>0</v>
      </c>
      <c r="DW300" s="399">
        <v>0</v>
      </c>
      <c r="DX300" s="399">
        <v>0</v>
      </c>
      <c r="DY300" s="399">
        <v>-182.625</v>
      </c>
      <c r="DZ300" s="399">
        <v>548.11849999999959</v>
      </c>
      <c r="EA300" s="399">
        <v>0</v>
      </c>
      <c r="EB300" s="399">
        <v>0</v>
      </c>
      <c r="EC300" s="399">
        <v>0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244.23602839704944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215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302</v>
      </c>
      <c r="B301" s="399" t="s">
        <v>956</v>
      </c>
      <c r="C301" s="399" t="s">
        <v>2352</v>
      </c>
      <c r="D301" s="399" t="s">
        <v>533</v>
      </c>
      <c r="E301" s="399" t="s">
        <v>890</v>
      </c>
      <c r="F301" s="399" t="s">
        <v>1239</v>
      </c>
      <c r="G301" s="399" t="s">
        <v>1239</v>
      </c>
      <c r="H301" s="399" t="s">
        <v>1239</v>
      </c>
      <c r="I301" s="399" t="s">
        <v>1239</v>
      </c>
      <c r="J301" s="399" t="s">
        <v>2344</v>
      </c>
      <c r="K301" s="791">
        <v>44621</v>
      </c>
      <c r="L301" s="399">
        <v>9953</v>
      </c>
      <c r="M301" s="399">
        <v>9953</v>
      </c>
      <c r="N301" s="399">
        <v>0</v>
      </c>
      <c r="O301" s="399">
        <v>0</v>
      </c>
      <c r="P301" s="399">
        <v>0</v>
      </c>
      <c r="Q301" s="399">
        <v>0</v>
      </c>
      <c r="R301" s="399">
        <v>12.58</v>
      </c>
      <c r="S301" s="399"/>
      <c r="T301" s="399"/>
      <c r="U301" s="399">
        <v>125208.74</v>
      </c>
      <c r="V301" s="399"/>
      <c r="W301" s="399">
        <v>125208.74</v>
      </c>
      <c r="X301" s="399">
        <v>115355.27</v>
      </c>
      <c r="Y301" s="399">
        <v>0</v>
      </c>
      <c r="Z301" s="399">
        <v>0</v>
      </c>
      <c r="AA301" s="399">
        <v>0</v>
      </c>
      <c r="AB301" s="399">
        <v>0</v>
      </c>
      <c r="AC301" s="399">
        <v>0</v>
      </c>
      <c r="AD301" s="399">
        <v>65962.904572058091</v>
      </c>
      <c r="AE301" s="399">
        <v>59217.453929887917</v>
      </c>
      <c r="AF301" s="399"/>
      <c r="AG301" s="399"/>
      <c r="AH301" s="399"/>
      <c r="AI301" s="399">
        <v>0</v>
      </c>
      <c r="AJ301" s="399">
        <v>0</v>
      </c>
      <c r="AK301" s="399">
        <v>0</v>
      </c>
      <c r="AL301" s="399">
        <v>0</v>
      </c>
      <c r="AM301" s="399"/>
      <c r="AN301" s="399">
        <v>0</v>
      </c>
      <c r="AO301" s="399">
        <v>0</v>
      </c>
      <c r="AP301" s="399">
        <v>0</v>
      </c>
      <c r="AQ301" s="399">
        <v>0</v>
      </c>
      <c r="AR301" s="399">
        <v>0</v>
      </c>
      <c r="AS301" s="399"/>
      <c r="AT301" s="399"/>
      <c r="AU301" s="399">
        <v>0</v>
      </c>
      <c r="AV301" s="399">
        <v>0</v>
      </c>
      <c r="AW301" s="399">
        <v>0</v>
      </c>
      <c r="AX301" s="399"/>
      <c r="AY301" s="399"/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/>
      <c r="BG301" s="399">
        <v>0</v>
      </c>
      <c r="BH301" s="399">
        <v>0</v>
      </c>
      <c r="BI301" s="399">
        <v>0</v>
      </c>
      <c r="BJ301" s="399">
        <v>0</v>
      </c>
      <c r="BK301" s="399">
        <v>394720.92</v>
      </c>
      <c r="BL301" s="399">
        <v>52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>
        <v>0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115355.27</v>
      </c>
      <c r="CJ301" s="399">
        <v>-9853.4999999999854</v>
      </c>
      <c r="CK301" s="399"/>
      <c r="CL301" s="399"/>
      <c r="CM301" s="399"/>
      <c r="CN301" s="399"/>
      <c r="CO301" s="399">
        <v>-9853.470000000003</v>
      </c>
      <c r="CP301" s="399">
        <v>0</v>
      </c>
      <c r="CQ301" s="399">
        <v>31</v>
      </c>
      <c r="CR301" s="399">
        <v>2970.4827512812335</v>
      </c>
      <c r="CS301" s="399">
        <v>0</v>
      </c>
      <c r="CT301" s="399">
        <v>0</v>
      </c>
      <c r="CU301" s="399">
        <v>0</v>
      </c>
      <c r="CV301" s="399">
        <v>0</v>
      </c>
      <c r="CW301" s="399"/>
      <c r="CX301" s="399"/>
      <c r="CY301" s="399"/>
      <c r="CZ301" s="399">
        <v>2970.4827512812335</v>
      </c>
      <c r="DA301" s="399">
        <v>0</v>
      </c>
      <c r="DB301" s="399">
        <v>0</v>
      </c>
      <c r="DC301" s="399"/>
      <c r="DD301" s="399"/>
      <c r="DE301" s="399">
        <v>0</v>
      </c>
      <c r="DF301" s="399">
        <v>0</v>
      </c>
      <c r="DG301" s="399">
        <v>0</v>
      </c>
      <c r="DH301" s="399">
        <v>0</v>
      </c>
      <c r="DI301" s="399">
        <v>0</v>
      </c>
      <c r="DJ301" s="399"/>
      <c r="DK301" s="399">
        <v>0</v>
      </c>
      <c r="DL301" s="399">
        <v>0</v>
      </c>
      <c r="DM301" s="399"/>
      <c r="DN301" s="399">
        <v>0</v>
      </c>
      <c r="DO301" s="399">
        <v>0</v>
      </c>
      <c r="DP301" s="399">
        <v>0</v>
      </c>
      <c r="DQ301" s="399">
        <v>0</v>
      </c>
      <c r="DR301" s="399">
        <v>0</v>
      </c>
      <c r="DS301" s="399"/>
      <c r="DT301" s="399"/>
      <c r="DU301" s="399">
        <v>59217.453929887917</v>
      </c>
      <c r="DV301" s="399"/>
      <c r="DW301" s="399">
        <v>0</v>
      </c>
      <c r="DX301" s="399">
        <v>0</v>
      </c>
      <c r="DY301" s="399">
        <v>-9853.4700000000012</v>
      </c>
      <c r="DZ301" s="399"/>
      <c r="EA301" s="399">
        <v>0</v>
      </c>
      <c r="EB301" s="399"/>
      <c r="EC301" s="399">
        <v>-12802.494027034838</v>
      </c>
      <c r="ED301" s="399"/>
      <c r="EE301" s="399">
        <v>0</v>
      </c>
      <c r="EF301" s="399">
        <v>0</v>
      </c>
      <c r="EG301" s="399"/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/>
      <c r="EN301" s="399"/>
      <c r="EO301" s="399">
        <v>0</v>
      </c>
      <c r="EP301" s="399">
        <v>0</v>
      </c>
      <c r="EQ301" s="399"/>
      <c r="ER301" s="399">
        <v>0</v>
      </c>
      <c r="ES301" s="399"/>
      <c r="ET301" s="399">
        <v>0</v>
      </c>
      <c r="EU301" s="399"/>
      <c r="EV301" s="399">
        <v>215</v>
      </c>
      <c r="EW301" s="399"/>
      <c r="EX301" s="399"/>
      <c r="EY301" s="399"/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303</v>
      </c>
      <c r="B302" s="399" t="s">
        <v>2346</v>
      </c>
      <c r="C302" s="399" t="s">
        <v>2352</v>
      </c>
      <c r="D302" s="399" t="s">
        <v>533</v>
      </c>
      <c r="E302" s="399" t="s">
        <v>890</v>
      </c>
      <c r="F302" s="399" t="s">
        <v>1239</v>
      </c>
      <c r="G302" s="399" t="s">
        <v>1239</v>
      </c>
      <c r="H302" s="399" t="s">
        <v>1239</v>
      </c>
      <c r="I302" s="399" t="s">
        <v>1239</v>
      </c>
      <c r="J302" s="399" t="s">
        <v>2344</v>
      </c>
      <c r="K302" s="791">
        <v>44621</v>
      </c>
      <c r="L302" s="399">
        <v>821</v>
      </c>
      <c r="M302" s="399">
        <v>821</v>
      </c>
      <c r="N302" s="399">
        <v>0</v>
      </c>
      <c r="O302" s="399">
        <v>0</v>
      </c>
      <c r="P302" s="399">
        <v>0</v>
      </c>
      <c r="Q302" s="399">
        <v>0</v>
      </c>
      <c r="R302" s="399">
        <v>12.58</v>
      </c>
      <c r="S302" s="399"/>
      <c r="T302" s="399"/>
      <c r="U302" s="399">
        <v>10328.18</v>
      </c>
      <c r="V302" s="399"/>
      <c r="W302" s="399">
        <v>10328.18</v>
      </c>
      <c r="X302" s="399">
        <v>9515.39</v>
      </c>
      <c r="Y302" s="399">
        <v>0</v>
      </c>
      <c r="Z302" s="399">
        <v>0</v>
      </c>
      <c r="AA302" s="399">
        <v>0</v>
      </c>
      <c r="AB302" s="399">
        <v>0</v>
      </c>
      <c r="AC302" s="399">
        <v>0</v>
      </c>
      <c r="AD302" s="399">
        <v>5441.1277658655381</v>
      </c>
      <c r="AE302" s="399">
        <v>4884.7111098601408</v>
      </c>
      <c r="AF302" s="399"/>
      <c r="AG302" s="399"/>
      <c r="AH302" s="399"/>
      <c r="AI302" s="399">
        <v>0</v>
      </c>
      <c r="AJ302" s="399">
        <v>0</v>
      </c>
      <c r="AK302" s="399">
        <v>0</v>
      </c>
      <c r="AL302" s="399">
        <v>0</v>
      </c>
      <c r="AM302" s="399"/>
      <c r="AN302" s="399">
        <v>0</v>
      </c>
      <c r="AO302" s="399">
        <v>0</v>
      </c>
      <c r="AP302" s="399">
        <v>0</v>
      </c>
      <c r="AQ302" s="399">
        <v>0</v>
      </c>
      <c r="AR302" s="399">
        <v>0</v>
      </c>
      <c r="AS302" s="399"/>
      <c r="AT302" s="399"/>
      <c r="AU302" s="399">
        <v>0</v>
      </c>
      <c r="AV302" s="399">
        <v>0</v>
      </c>
      <c r="AW302" s="399">
        <v>0</v>
      </c>
      <c r="AX302" s="399"/>
      <c r="AY302" s="399"/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/>
      <c r="BG302" s="399">
        <v>0</v>
      </c>
      <c r="BH302" s="399">
        <v>0</v>
      </c>
      <c r="BI302" s="399">
        <v>0</v>
      </c>
      <c r="BJ302" s="399">
        <v>0</v>
      </c>
      <c r="BK302" s="399">
        <v>7640.8</v>
      </c>
      <c r="BL302" s="399">
        <v>3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>
        <v>0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9515.39</v>
      </c>
      <c r="CJ302" s="399">
        <v>-812.82000000000153</v>
      </c>
      <c r="CK302" s="399"/>
      <c r="CL302" s="399"/>
      <c r="CM302" s="399"/>
      <c r="CN302" s="399"/>
      <c r="CO302" s="399">
        <v>-812.79000000000019</v>
      </c>
      <c r="CP302" s="399">
        <v>0</v>
      </c>
      <c r="CQ302" s="399">
        <v>31</v>
      </c>
      <c r="CR302" s="399">
        <v>245.02826673383697</v>
      </c>
      <c r="CS302" s="399">
        <v>0</v>
      </c>
      <c r="CT302" s="399">
        <v>0</v>
      </c>
      <c r="CU302" s="399">
        <v>0</v>
      </c>
      <c r="CV302" s="399">
        <v>0</v>
      </c>
      <c r="CW302" s="399"/>
      <c r="CX302" s="399"/>
      <c r="CY302" s="399"/>
      <c r="CZ302" s="399">
        <v>245.02826673383697</v>
      </c>
      <c r="DA302" s="399">
        <v>0</v>
      </c>
      <c r="DB302" s="399">
        <v>0</v>
      </c>
      <c r="DC302" s="399"/>
      <c r="DD302" s="399"/>
      <c r="DE302" s="399">
        <v>0</v>
      </c>
      <c r="DF302" s="399">
        <v>0</v>
      </c>
      <c r="DG302" s="399">
        <v>0</v>
      </c>
      <c r="DH302" s="399">
        <v>0</v>
      </c>
      <c r="DI302" s="399">
        <v>0</v>
      </c>
      <c r="DJ302" s="399"/>
      <c r="DK302" s="399">
        <v>0</v>
      </c>
      <c r="DL302" s="399">
        <v>0</v>
      </c>
      <c r="DM302" s="399"/>
      <c r="DN302" s="399">
        <v>0</v>
      </c>
      <c r="DO302" s="399">
        <v>0</v>
      </c>
      <c r="DP302" s="399">
        <v>0</v>
      </c>
      <c r="DQ302" s="399">
        <v>0</v>
      </c>
      <c r="DR302" s="399">
        <v>0</v>
      </c>
      <c r="DS302" s="399"/>
      <c r="DT302" s="399"/>
      <c r="DU302" s="399">
        <v>4884.7111098601408</v>
      </c>
      <c r="DV302" s="399"/>
      <c r="DW302" s="399">
        <v>0</v>
      </c>
      <c r="DX302" s="399">
        <v>0</v>
      </c>
      <c r="DY302" s="399">
        <v>-812.79000000000087</v>
      </c>
      <c r="DZ302" s="399"/>
      <c r="EA302" s="399">
        <v>0</v>
      </c>
      <c r="EB302" s="399"/>
      <c r="EC302" s="399">
        <v>-1056.0481860942032</v>
      </c>
      <c r="ED302" s="399"/>
      <c r="EE302" s="399">
        <v>0</v>
      </c>
      <c r="EF302" s="399">
        <v>0</v>
      </c>
      <c r="EG302" s="399"/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/>
      <c r="EN302" s="399"/>
      <c r="EO302" s="399">
        <v>0</v>
      </c>
      <c r="EP302" s="399">
        <v>0</v>
      </c>
      <c r="EQ302" s="399"/>
      <c r="ER302" s="399">
        <v>0</v>
      </c>
      <c r="ES302" s="399"/>
      <c r="ET302" s="399">
        <v>0</v>
      </c>
      <c r="EU302" s="399"/>
      <c r="EV302" s="399">
        <v>215</v>
      </c>
      <c r="EW302" s="399"/>
      <c r="EX302" s="399"/>
      <c r="EY302" s="399"/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304</v>
      </c>
      <c r="B303" s="399" t="s">
        <v>956</v>
      </c>
      <c r="C303" s="399" t="s">
        <v>2343</v>
      </c>
      <c r="D303" s="399" t="s">
        <v>1826</v>
      </c>
      <c r="E303" s="399" t="s">
        <v>918</v>
      </c>
      <c r="F303" s="399" t="s">
        <v>1239</v>
      </c>
      <c r="G303" s="399" t="s">
        <v>1239</v>
      </c>
      <c r="H303" s="399" t="s">
        <v>1239</v>
      </c>
      <c r="I303" s="399" t="s">
        <v>1239</v>
      </c>
      <c r="J303" s="399" t="s">
        <v>2344</v>
      </c>
      <c r="K303" s="791">
        <v>44621</v>
      </c>
      <c r="L303" s="399">
        <v>0</v>
      </c>
      <c r="M303" s="399">
        <v>0</v>
      </c>
      <c r="N303" s="399">
        <v>622.923</v>
      </c>
      <c r="O303" s="399">
        <v>622.923</v>
      </c>
      <c r="P303" s="399">
        <v>622.923</v>
      </c>
      <c r="Q303" s="399">
        <v>622.923</v>
      </c>
      <c r="R303" s="399"/>
      <c r="S303" s="399">
        <v>239.69</v>
      </c>
      <c r="T303" s="399">
        <v>171.61</v>
      </c>
      <c r="U303" s="399"/>
      <c r="V303" s="399">
        <v>256208.22989999998</v>
      </c>
      <c r="W303" s="399">
        <v>256208.22989999998</v>
      </c>
      <c r="X303" s="399">
        <v>255267.61616999999</v>
      </c>
      <c r="Y303" s="399">
        <v>0</v>
      </c>
      <c r="Z303" s="399">
        <v>37660.24226047079</v>
      </c>
      <c r="AA303" s="399">
        <v>0</v>
      </c>
      <c r="AB303" s="399">
        <v>0</v>
      </c>
      <c r="AC303" s="399">
        <v>0</v>
      </c>
      <c r="AD303" s="399">
        <v>33224.216785132157</v>
      </c>
      <c r="AE303" s="399">
        <v>55200.151118529269</v>
      </c>
      <c r="AF303" s="399">
        <v>103015.41004264475</v>
      </c>
      <c r="AG303" s="399">
        <v>3884.1472552691876</v>
      </c>
      <c r="AH303" s="399">
        <v>0</v>
      </c>
      <c r="AI303" s="399">
        <v>0</v>
      </c>
      <c r="AJ303" s="399">
        <v>0</v>
      </c>
      <c r="AK303" s="399">
        <v>0</v>
      </c>
      <c r="AL303" s="399">
        <v>5823.1532097969002</v>
      </c>
      <c r="AM303" s="399"/>
      <c r="AN303" s="399">
        <v>246.70967974154451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9972.9429875170899</v>
      </c>
      <c r="BH303" s="399">
        <v>0</v>
      </c>
      <c r="BI303" s="399">
        <v>0</v>
      </c>
      <c r="BJ303" s="399">
        <v>0</v>
      </c>
      <c r="BK303" s="399">
        <v>114326.1</v>
      </c>
      <c r="BL303" s="399">
        <v>558</v>
      </c>
      <c r="BM303" s="399"/>
      <c r="BN303" s="399"/>
      <c r="BO303" s="399"/>
      <c r="BP303" s="399"/>
      <c r="BQ303" s="399"/>
      <c r="BR303" s="399"/>
      <c r="BS303" s="399"/>
      <c r="BT303" s="399"/>
      <c r="BU303" s="399"/>
      <c r="BV303" s="399">
        <v>112988.35303016184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255266.38679999998</v>
      </c>
      <c r="CJ303" s="399">
        <v>-941.87310000002617</v>
      </c>
      <c r="CK303" s="399"/>
      <c r="CL303" s="399"/>
      <c r="CM303" s="399"/>
      <c r="CN303" s="399"/>
      <c r="CO303" s="399">
        <v>-14962.610460000007</v>
      </c>
      <c r="CP303" s="399">
        <v>14021.996729999993</v>
      </c>
      <c r="CQ303" s="399">
        <v>31</v>
      </c>
      <c r="CR303" s="399">
        <v>10996.860333157791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1496.1736983133087</v>
      </c>
      <c r="DA303" s="399">
        <v>0</v>
      </c>
      <c r="DB303" s="399">
        <v>0</v>
      </c>
      <c r="DC303" s="399">
        <v>14025.327281535778</v>
      </c>
      <c r="DD303" s="399">
        <v>0</v>
      </c>
      <c r="DE303" s="399">
        <v>0</v>
      </c>
      <c r="DF303" s="399">
        <v>0</v>
      </c>
      <c r="DG303" s="399">
        <v>1357.7948124666073</v>
      </c>
      <c r="DH303" s="399">
        <v>0</v>
      </c>
      <c r="DI303" s="399">
        <v>-5172.7379728392552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-671.08120491348745</v>
      </c>
      <c r="DP303" s="399">
        <v>-38.616281405124312</v>
      </c>
      <c r="DQ303" s="399">
        <v>0</v>
      </c>
      <c r="DR303" s="399">
        <v>0</v>
      </c>
      <c r="DS303" s="399"/>
      <c r="DT303" s="399"/>
      <c r="DU303" s="399"/>
      <c r="DV303" s="399">
        <v>55200.151118529269</v>
      </c>
      <c r="DW303" s="399">
        <v>0</v>
      </c>
      <c r="DX303" s="399">
        <v>0</v>
      </c>
      <c r="DY303" s="399">
        <v>-14962.610459999996</v>
      </c>
      <c r="DZ303" s="399">
        <v>14021.996729999999</v>
      </c>
      <c r="EA303" s="399">
        <v>0</v>
      </c>
      <c r="EB303" s="399">
        <v>0</v>
      </c>
      <c r="EC303" s="399">
        <v>-11933.974834904373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7181.6771468373418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215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305</v>
      </c>
      <c r="B304" s="399" t="s">
        <v>2346</v>
      </c>
      <c r="C304" s="399" t="s">
        <v>2343</v>
      </c>
      <c r="D304" s="399" t="s">
        <v>1826</v>
      </c>
      <c r="E304" s="399" t="s">
        <v>918</v>
      </c>
      <c r="F304" s="399" t="s">
        <v>1239</v>
      </c>
      <c r="G304" s="399" t="s">
        <v>1239</v>
      </c>
      <c r="H304" s="399" t="s">
        <v>1239</v>
      </c>
      <c r="I304" s="399" t="s">
        <v>1239</v>
      </c>
      <c r="J304" s="399" t="s">
        <v>2344</v>
      </c>
      <c r="K304" s="791">
        <v>44621</v>
      </c>
      <c r="L304" s="399">
        <v>0</v>
      </c>
      <c r="M304" s="399">
        <v>0</v>
      </c>
      <c r="N304" s="399">
        <v>6.4610000000000003</v>
      </c>
      <c r="O304" s="399">
        <v>6.4610000000000003</v>
      </c>
      <c r="P304" s="399">
        <v>6.4610000000000003</v>
      </c>
      <c r="Q304" s="399">
        <v>6.4610000000000003</v>
      </c>
      <c r="R304" s="399"/>
      <c r="S304" s="399">
        <v>239.69</v>
      </c>
      <c r="T304" s="399">
        <v>171.61</v>
      </c>
      <c r="U304" s="399"/>
      <c r="V304" s="399">
        <v>2657.4093000000003</v>
      </c>
      <c r="W304" s="399">
        <v>2657.4093000000003</v>
      </c>
      <c r="X304" s="399">
        <v>2647.65319</v>
      </c>
      <c r="Y304" s="399">
        <v>0</v>
      </c>
      <c r="Z304" s="399">
        <v>390.61461086667504</v>
      </c>
      <c r="AA304" s="399">
        <v>0</v>
      </c>
      <c r="AB304" s="399">
        <v>0</v>
      </c>
      <c r="AC304" s="399">
        <v>0</v>
      </c>
      <c r="AD304" s="399">
        <v>344.60385095547741</v>
      </c>
      <c r="AE304" s="399">
        <v>572.53974628777166</v>
      </c>
      <c r="AF304" s="399">
        <v>1068.4828851808777</v>
      </c>
      <c r="AG304" s="399">
        <v>40.286641232213647</v>
      </c>
      <c r="AH304" s="399">
        <v>0</v>
      </c>
      <c r="AI304" s="399">
        <v>0</v>
      </c>
      <c r="AJ304" s="399">
        <v>0</v>
      </c>
      <c r="AK304" s="399">
        <v>0</v>
      </c>
      <c r="AL304" s="399">
        <v>60.398143732849441</v>
      </c>
      <c r="AM304" s="399"/>
      <c r="AN304" s="399">
        <v>2.5588896875057099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103.44004739325393</v>
      </c>
      <c r="BH304" s="399">
        <v>0</v>
      </c>
      <c r="BI304" s="399">
        <v>0</v>
      </c>
      <c r="BJ304" s="399">
        <v>0</v>
      </c>
      <c r="BK304" s="399">
        <v>2109.42</v>
      </c>
      <c r="BL304" s="399">
        <v>7</v>
      </c>
      <c r="BM304" s="399"/>
      <c r="BN304" s="399"/>
      <c r="BO304" s="399"/>
      <c r="BP304" s="399"/>
      <c r="BQ304" s="399"/>
      <c r="BR304" s="399"/>
      <c r="BS304" s="399"/>
      <c r="BT304" s="399"/>
      <c r="BU304" s="399"/>
      <c r="BV304" s="399">
        <v>1171.9229325741317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2647.2434000000003</v>
      </c>
      <c r="CJ304" s="399">
        <v>-10.19589999999971</v>
      </c>
      <c r="CK304" s="399"/>
      <c r="CL304" s="399"/>
      <c r="CM304" s="399"/>
      <c r="CN304" s="399"/>
      <c r="CO304" s="399">
        <v>-155.19322000000008</v>
      </c>
      <c r="CP304" s="399">
        <v>145.43710999999996</v>
      </c>
      <c r="CQ304" s="399">
        <v>31</v>
      </c>
      <c r="CR304" s="399">
        <v>114.06018819747032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15.518416023814041</v>
      </c>
      <c r="DA304" s="399">
        <v>0</v>
      </c>
      <c r="DB304" s="399">
        <v>0</v>
      </c>
      <c r="DC304" s="399">
        <v>145.47165470853156</v>
      </c>
      <c r="DD304" s="399">
        <v>0</v>
      </c>
      <c r="DE304" s="399">
        <v>0</v>
      </c>
      <c r="DF304" s="399">
        <v>0</v>
      </c>
      <c r="DG304" s="399">
        <v>14.08314074668418</v>
      </c>
      <c r="DH304" s="399">
        <v>0</v>
      </c>
      <c r="DI304" s="399">
        <v>-53.651992369064033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-6.9605001981722339</v>
      </c>
      <c r="DP304" s="399">
        <v>-0.40053071432345311</v>
      </c>
      <c r="DQ304" s="399">
        <v>0</v>
      </c>
      <c r="DR304" s="399">
        <v>0</v>
      </c>
      <c r="DS304" s="399"/>
      <c r="DT304" s="399"/>
      <c r="DU304" s="399"/>
      <c r="DV304" s="399">
        <v>572.53974628777166</v>
      </c>
      <c r="DW304" s="399">
        <v>0</v>
      </c>
      <c r="DX304" s="399">
        <v>0</v>
      </c>
      <c r="DY304" s="399">
        <v>-155.19321999999988</v>
      </c>
      <c r="DZ304" s="399">
        <v>145.43711000000008</v>
      </c>
      <c r="EA304" s="399">
        <v>0</v>
      </c>
      <c r="EB304" s="399">
        <v>0</v>
      </c>
      <c r="EC304" s="399">
        <v>-123.78000396247546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74.488847009527774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215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306</v>
      </c>
      <c r="B305" s="399" t="s">
        <v>956</v>
      </c>
      <c r="C305" s="399" t="s">
        <v>2352</v>
      </c>
      <c r="D305" s="399" t="s">
        <v>533</v>
      </c>
      <c r="E305" s="399" t="s">
        <v>918</v>
      </c>
      <c r="F305" s="399" t="s">
        <v>1239</v>
      </c>
      <c r="G305" s="399" t="s">
        <v>1239</v>
      </c>
      <c r="H305" s="399" t="s">
        <v>1239</v>
      </c>
      <c r="I305" s="399" t="s">
        <v>893</v>
      </c>
      <c r="J305" s="399" t="s">
        <v>2344</v>
      </c>
      <c r="K305" s="791">
        <v>44621</v>
      </c>
      <c r="L305" s="399">
        <v>0</v>
      </c>
      <c r="M305" s="399">
        <v>0</v>
      </c>
      <c r="N305" s="399">
        <v>8.9550000000000001</v>
      </c>
      <c r="O305" s="399">
        <v>8.9550000000000001</v>
      </c>
      <c r="P305" s="399">
        <v>8.9550000000000001</v>
      </c>
      <c r="Q305" s="399">
        <v>8.9550000000000001</v>
      </c>
      <c r="R305" s="399"/>
      <c r="S305" s="399">
        <v>984.21</v>
      </c>
      <c r="T305" s="399">
        <v>171.61</v>
      </c>
      <c r="U305" s="399"/>
      <c r="V305" s="399">
        <v>10350.368100000002</v>
      </c>
      <c r="W305" s="399">
        <v>10350.368100000002</v>
      </c>
      <c r="X305" s="399">
        <v>9652.1467499999999</v>
      </c>
      <c r="Y305" s="399">
        <v>0</v>
      </c>
      <c r="Z305" s="399">
        <v>471.01375035917573</v>
      </c>
      <c r="AA305" s="399">
        <v>0</v>
      </c>
      <c r="AB305" s="399">
        <v>0</v>
      </c>
      <c r="AC305" s="399">
        <v>0</v>
      </c>
      <c r="AD305" s="399">
        <v>3525.6610986556298</v>
      </c>
      <c r="AE305" s="399">
        <v>4585.6953918363206</v>
      </c>
      <c r="AF305" s="399">
        <v>1480.9262090689922</v>
      </c>
      <c r="AG305" s="399">
        <v>55.837621457123234</v>
      </c>
      <c r="AH305" s="399">
        <v>0</v>
      </c>
      <c r="AI305" s="399">
        <v>0</v>
      </c>
      <c r="AJ305" s="399">
        <v>0</v>
      </c>
      <c r="AK305" s="399">
        <v>0</v>
      </c>
      <c r="AL305" s="399">
        <v>83.712332011711297</v>
      </c>
      <c r="AM305" s="399"/>
      <c r="AN305" s="399">
        <v>2.3646615524397609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55.353440891616827</v>
      </c>
      <c r="BH305" s="399">
        <v>0</v>
      </c>
      <c r="BI305" s="399">
        <v>0</v>
      </c>
      <c r="BJ305" s="399">
        <v>0</v>
      </c>
      <c r="BK305" s="399">
        <v>0</v>
      </c>
      <c r="BL305" s="399">
        <v>0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>
        <v>1536.279649960609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9657.5360000000019</v>
      </c>
      <c r="CJ305" s="399">
        <v>-692.86210000000028</v>
      </c>
      <c r="CK305" s="399"/>
      <c r="CL305" s="399"/>
      <c r="CM305" s="399"/>
      <c r="CN305" s="399"/>
      <c r="CO305" s="399">
        <v>-899.79840000000013</v>
      </c>
      <c r="CP305" s="399">
        <v>201.57704999999993</v>
      </c>
      <c r="CQ305" s="399">
        <v>31</v>
      </c>
      <c r="CR305" s="399">
        <v>293.21847990744118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158.76977444162685</v>
      </c>
      <c r="DA305" s="399">
        <v>0</v>
      </c>
      <c r="DB305" s="399">
        <v>0</v>
      </c>
      <c r="DC305" s="399">
        <v>201.62492925474385</v>
      </c>
      <c r="DD305" s="399">
        <v>0</v>
      </c>
      <c r="DE305" s="399">
        <v>0</v>
      </c>
      <c r="DF305" s="399">
        <v>0</v>
      </c>
      <c r="DG305" s="399">
        <v>7.5362523368364975</v>
      </c>
      <c r="DH305" s="399">
        <v>0</v>
      </c>
      <c r="DI305" s="399">
        <v>-64.695035559281564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-9.6473114494091163</v>
      </c>
      <c r="DP305" s="399">
        <v>-0.3701291170762111</v>
      </c>
      <c r="DQ305" s="399">
        <v>0</v>
      </c>
      <c r="DR305" s="399">
        <v>0</v>
      </c>
      <c r="DS305" s="399"/>
      <c r="DT305" s="399"/>
      <c r="DU305" s="399"/>
      <c r="DV305" s="399">
        <v>4585.6953918363206</v>
      </c>
      <c r="DW305" s="399">
        <v>0</v>
      </c>
      <c r="DX305" s="399">
        <v>0</v>
      </c>
      <c r="DY305" s="399">
        <v>-899.79840000000058</v>
      </c>
      <c r="DZ305" s="399">
        <v>201.5770500000001</v>
      </c>
      <c r="EA305" s="399">
        <v>0</v>
      </c>
      <c r="EB305" s="399">
        <v>0</v>
      </c>
      <c r="EC305" s="399">
        <v>-991.40260122116888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89.820683133288611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215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307</v>
      </c>
      <c r="B306" s="399" t="s">
        <v>956</v>
      </c>
      <c r="C306" s="399" t="s">
        <v>2352</v>
      </c>
      <c r="D306" s="399" t="s">
        <v>533</v>
      </c>
      <c r="E306" s="399" t="s">
        <v>918</v>
      </c>
      <c r="F306" s="399" t="s">
        <v>1239</v>
      </c>
      <c r="G306" s="399" t="s">
        <v>1239</v>
      </c>
      <c r="H306" s="399" t="s">
        <v>1239</v>
      </c>
      <c r="I306" s="399" t="s">
        <v>2326</v>
      </c>
      <c r="J306" s="399" t="s">
        <v>2344</v>
      </c>
      <c r="K306" s="791">
        <v>44621</v>
      </c>
      <c r="L306" s="399">
        <v>0</v>
      </c>
      <c r="M306" s="399">
        <v>0</v>
      </c>
      <c r="N306" s="399">
        <v>95.128</v>
      </c>
      <c r="O306" s="399">
        <v>95.128</v>
      </c>
      <c r="P306" s="399">
        <v>95.128</v>
      </c>
      <c r="Q306" s="399">
        <v>95.128</v>
      </c>
      <c r="R306" s="399"/>
      <c r="S306" s="399">
        <v>78.42</v>
      </c>
      <c r="T306" s="399">
        <v>171.61</v>
      </c>
      <c r="U306" s="399"/>
      <c r="V306" s="399">
        <v>23784.85384</v>
      </c>
      <c r="W306" s="399">
        <v>23784.85384</v>
      </c>
      <c r="X306" s="399">
        <v>25212.725120000003</v>
      </c>
      <c r="Y306" s="399">
        <v>0</v>
      </c>
      <c r="Z306" s="399">
        <v>5003.5283131398846</v>
      </c>
      <c r="AA306" s="399">
        <v>0</v>
      </c>
      <c r="AB306" s="399">
        <v>0</v>
      </c>
      <c r="AC306" s="399">
        <v>0</v>
      </c>
      <c r="AD306" s="399">
        <v>0</v>
      </c>
      <c r="AE306" s="399">
        <v>0</v>
      </c>
      <c r="AF306" s="399">
        <v>15731.719532810172</v>
      </c>
      <c r="AG306" s="399">
        <v>593.15703561956661</v>
      </c>
      <c r="AH306" s="399">
        <v>0</v>
      </c>
      <c r="AI306" s="399">
        <v>0</v>
      </c>
      <c r="AJ306" s="399">
        <v>0</v>
      </c>
      <c r="AK306" s="399">
        <v>0</v>
      </c>
      <c r="AL306" s="399">
        <v>889.26708203350893</v>
      </c>
      <c r="AM306" s="399"/>
      <c r="AN306" s="399">
        <v>25.119544853209334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588.01363764798725</v>
      </c>
      <c r="BH306" s="399">
        <v>0</v>
      </c>
      <c r="BI306" s="399">
        <v>0</v>
      </c>
      <c r="BJ306" s="399">
        <v>0</v>
      </c>
      <c r="BK306" s="399">
        <v>0</v>
      </c>
      <c r="BL306" s="399">
        <v>0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16319.733170458159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25213.2552</v>
      </c>
      <c r="CJ306" s="399">
        <v>1428.371360000001</v>
      </c>
      <c r="CK306" s="399"/>
      <c r="CL306" s="399"/>
      <c r="CM306" s="399"/>
      <c r="CN306" s="399"/>
      <c r="CO306" s="399">
        <v>-713.46</v>
      </c>
      <c r="CP306" s="399">
        <v>2141.331279999999</v>
      </c>
      <c r="CQ306" s="399">
        <v>31</v>
      </c>
      <c r="CR306" s="399">
        <v>1428.2341098327124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0</v>
      </c>
      <c r="DA306" s="399">
        <v>0</v>
      </c>
      <c r="DB306" s="399">
        <v>0</v>
      </c>
      <c r="DC306" s="399">
        <v>2141.8398961636285</v>
      </c>
      <c r="DD306" s="399">
        <v>0</v>
      </c>
      <c r="DE306" s="399">
        <v>0</v>
      </c>
      <c r="DF306" s="399">
        <v>0</v>
      </c>
      <c r="DG306" s="399">
        <v>80.056796459919838</v>
      </c>
      <c r="DH306" s="399">
        <v>0</v>
      </c>
      <c r="DI306" s="399">
        <v>-687.24839114275073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-102.48234992287996</v>
      </c>
      <c r="DP306" s="399">
        <v>-3.9318417252066808</v>
      </c>
      <c r="DQ306" s="399">
        <v>0</v>
      </c>
      <c r="DR306" s="399">
        <v>0</v>
      </c>
      <c r="DS306" s="399"/>
      <c r="DT306" s="399"/>
      <c r="DU306" s="399"/>
      <c r="DV306" s="399">
        <v>0</v>
      </c>
      <c r="DW306" s="399">
        <v>0</v>
      </c>
      <c r="DX306" s="399">
        <v>0</v>
      </c>
      <c r="DY306" s="399">
        <v>-713.46</v>
      </c>
      <c r="DZ306" s="399">
        <v>2141.3312800000003</v>
      </c>
      <c r="EA306" s="399">
        <v>0</v>
      </c>
      <c r="EB306" s="399">
        <v>0</v>
      </c>
      <c r="EC306" s="399">
        <v>0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954.15543775583228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215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308</v>
      </c>
      <c r="B307" s="399" t="s">
        <v>956</v>
      </c>
      <c r="C307" s="399" t="s">
        <v>2352</v>
      </c>
      <c r="D307" s="399" t="s">
        <v>533</v>
      </c>
      <c r="E307" s="399" t="s">
        <v>918</v>
      </c>
      <c r="F307" s="399" t="s">
        <v>1239</v>
      </c>
      <c r="G307" s="399" t="s">
        <v>1239</v>
      </c>
      <c r="H307" s="399" t="s">
        <v>1239</v>
      </c>
      <c r="I307" s="399" t="s">
        <v>1239</v>
      </c>
      <c r="J307" s="399" t="s">
        <v>2344</v>
      </c>
      <c r="K307" s="791">
        <v>44621</v>
      </c>
      <c r="L307" s="399">
        <v>522</v>
      </c>
      <c r="M307" s="399">
        <v>522</v>
      </c>
      <c r="N307" s="399">
        <v>0</v>
      </c>
      <c r="O307" s="399">
        <v>0</v>
      </c>
      <c r="P307" s="399">
        <v>0</v>
      </c>
      <c r="Q307" s="399">
        <v>0</v>
      </c>
      <c r="R307" s="399">
        <v>12.58</v>
      </c>
      <c r="S307" s="399"/>
      <c r="T307" s="399"/>
      <c r="U307" s="399">
        <v>6566.76</v>
      </c>
      <c r="V307" s="399"/>
      <c r="W307" s="399">
        <v>6566.76</v>
      </c>
      <c r="X307" s="399">
        <v>6049.98</v>
      </c>
      <c r="Y307" s="399">
        <v>0</v>
      </c>
      <c r="Z307" s="399">
        <v>0</v>
      </c>
      <c r="AA307" s="399">
        <v>0</v>
      </c>
      <c r="AB307" s="399">
        <v>0</v>
      </c>
      <c r="AC307" s="399">
        <v>0</v>
      </c>
      <c r="AD307" s="399">
        <v>3459.5233785405735</v>
      </c>
      <c r="AE307" s="399">
        <v>3105.7481112630858</v>
      </c>
      <c r="AF307" s="399"/>
      <c r="AG307" s="399"/>
      <c r="AH307" s="399"/>
      <c r="AI307" s="399">
        <v>0</v>
      </c>
      <c r="AJ307" s="399">
        <v>0</v>
      </c>
      <c r="AK307" s="399">
        <v>0</v>
      </c>
      <c r="AL307" s="399">
        <v>0</v>
      </c>
      <c r="AM307" s="399"/>
      <c r="AN307" s="399">
        <v>0</v>
      </c>
      <c r="AO307" s="399">
        <v>0</v>
      </c>
      <c r="AP307" s="399">
        <v>0</v>
      </c>
      <c r="AQ307" s="399">
        <v>0</v>
      </c>
      <c r="AR307" s="399">
        <v>0</v>
      </c>
      <c r="AS307" s="399"/>
      <c r="AT307" s="399"/>
      <c r="AU307" s="399">
        <v>0</v>
      </c>
      <c r="AV307" s="399">
        <v>0</v>
      </c>
      <c r="AW307" s="399">
        <v>0</v>
      </c>
      <c r="AX307" s="399"/>
      <c r="AY307" s="399"/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/>
      <c r="BG307" s="399">
        <v>0</v>
      </c>
      <c r="BH307" s="399">
        <v>0</v>
      </c>
      <c r="BI307" s="399">
        <v>0</v>
      </c>
      <c r="BJ307" s="399">
        <v>0</v>
      </c>
      <c r="BK307" s="399">
        <v>18900.91</v>
      </c>
      <c r="BL307" s="399">
        <v>5</v>
      </c>
      <c r="BM307" s="399"/>
      <c r="BN307" s="399"/>
      <c r="BO307" s="399"/>
      <c r="BP307" s="399"/>
      <c r="BQ307" s="399"/>
      <c r="BR307" s="399"/>
      <c r="BS307" s="399"/>
      <c r="BT307" s="399"/>
      <c r="BU307" s="399"/>
      <c r="BV307" s="399">
        <v>0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6049.98</v>
      </c>
      <c r="CJ307" s="399">
        <v>-516.81000000000131</v>
      </c>
      <c r="CK307" s="399"/>
      <c r="CL307" s="399"/>
      <c r="CM307" s="399"/>
      <c r="CN307" s="399"/>
      <c r="CO307" s="399">
        <v>-516.78000000000009</v>
      </c>
      <c r="CP307" s="399">
        <v>0</v>
      </c>
      <c r="CQ307" s="399">
        <v>31</v>
      </c>
      <c r="CR307" s="399">
        <v>155.79141928753097</v>
      </c>
      <c r="CS307" s="399">
        <v>0</v>
      </c>
      <c r="CT307" s="399">
        <v>0</v>
      </c>
      <c r="CU307" s="399">
        <v>0</v>
      </c>
      <c r="CV307" s="399">
        <v>0</v>
      </c>
      <c r="CW307" s="399"/>
      <c r="CX307" s="399"/>
      <c r="CY307" s="399"/>
      <c r="CZ307" s="399">
        <v>155.79141928753097</v>
      </c>
      <c r="DA307" s="399">
        <v>0</v>
      </c>
      <c r="DB307" s="399">
        <v>0</v>
      </c>
      <c r="DC307" s="399"/>
      <c r="DD307" s="399"/>
      <c r="DE307" s="399">
        <v>0</v>
      </c>
      <c r="DF307" s="399">
        <v>0</v>
      </c>
      <c r="DG307" s="399">
        <v>0</v>
      </c>
      <c r="DH307" s="399">
        <v>0</v>
      </c>
      <c r="DI307" s="399">
        <v>0</v>
      </c>
      <c r="DJ307" s="399"/>
      <c r="DK307" s="399">
        <v>0</v>
      </c>
      <c r="DL307" s="399">
        <v>0</v>
      </c>
      <c r="DM307" s="399"/>
      <c r="DN307" s="399">
        <v>0</v>
      </c>
      <c r="DO307" s="399">
        <v>0</v>
      </c>
      <c r="DP307" s="399">
        <v>0</v>
      </c>
      <c r="DQ307" s="399">
        <v>0</v>
      </c>
      <c r="DR307" s="399">
        <v>0</v>
      </c>
      <c r="DS307" s="399"/>
      <c r="DT307" s="399"/>
      <c r="DU307" s="399">
        <v>3105.7481112630858</v>
      </c>
      <c r="DV307" s="399"/>
      <c r="DW307" s="399">
        <v>0</v>
      </c>
      <c r="DX307" s="399">
        <v>0</v>
      </c>
      <c r="DY307" s="399">
        <v>-516.78000000000065</v>
      </c>
      <c r="DZ307" s="399"/>
      <c r="EA307" s="399">
        <v>0</v>
      </c>
      <c r="EB307" s="399"/>
      <c r="EC307" s="399">
        <v>-671.4459843376053</v>
      </c>
      <c r="ED307" s="399"/>
      <c r="EE307" s="399">
        <v>0</v>
      </c>
      <c r="EF307" s="399">
        <v>0</v>
      </c>
      <c r="EG307" s="399"/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/>
      <c r="EN307" s="399"/>
      <c r="EO307" s="399">
        <v>0</v>
      </c>
      <c r="EP307" s="399">
        <v>0</v>
      </c>
      <c r="EQ307" s="399"/>
      <c r="ER307" s="399">
        <v>0</v>
      </c>
      <c r="ES307" s="399"/>
      <c r="ET307" s="399">
        <v>0</v>
      </c>
      <c r="EU307" s="399"/>
      <c r="EV307" s="399">
        <v>215</v>
      </c>
      <c r="EW307" s="399"/>
      <c r="EX307" s="399"/>
      <c r="EY307" s="399"/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309</v>
      </c>
      <c r="B308" s="399" t="s">
        <v>956</v>
      </c>
      <c r="C308" s="399" t="s">
        <v>2343</v>
      </c>
      <c r="D308" s="399" t="s">
        <v>2353</v>
      </c>
      <c r="E308" s="399" t="s">
        <v>894</v>
      </c>
      <c r="F308" s="399" t="s">
        <v>1239</v>
      </c>
      <c r="G308" s="399" t="s">
        <v>1239</v>
      </c>
      <c r="H308" s="399" t="s">
        <v>1239</v>
      </c>
      <c r="I308" s="399" t="s">
        <v>1239</v>
      </c>
      <c r="J308" s="399" t="s">
        <v>2344</v>
      </c>
      <c r="K308" s="791">
        <v>44621</v>
      </c>
      <c r="L308" s="399">
        <v>0</v>
      </c>
      <c r="M308" s="399">
        <v>0</v>
      </c>
      <c r="N308" s="399">
        <v>598.899</v>
      </c>
      <c r="O308" s="399">
        <v>598.899</v>
      </c>
      <c r="P308" s="399">
        <v>598.899</v>
      </c>
      <c r="Q308" s="399">
        <v>598.899</v>
      </c>
      <c r="R308" s="399"/>
      <c r="S308" s="399">
        <v>239.69</v>
      </c>
      <c r="T308" s="399">
        <v>171.61</v>
      </c>
      <c r="U308" s="399"/>
      <c r="V308" s="399">
        <v>246327.1587</v>
      </c>
      <c r="W308" s="399">
        <v>246327.1587</v>
      </c>
      <c r="X308" s="399">
        <v>245422.82120999999</v>
      </c>
      <c r="Y308" s="399">
        <v>0</v>
      </c>
      <c r="Z308" s="399">
        <v>36207.81610175527</v>
      </c>
      <c r="AA308" s="399">
        <v>0</v>
      </c>
      <c r="AB308" s="399">
        <v>0</v>
      </c>
      <c r="AC308" s="399">
        <v>0</v>
      </c>
      <c r="AD308" s="399">
        <v>31942.872888621645</v>
      </c>
      <c r="AE308" s="399">
        <v>53071.270935149383</v>
      </c>
      <c r="AF308" s="399">
        <v>99042.459596338405</v>
      </c>
      <c r="AG308" s="399">
        <v>3734.3490399832103</v>
      </c>
      <c r="AH308" s="399">
        <v>0</v>
      </c>
      <c r="AI308" s="399">
        <v>0</v>
      </c>
      <c r="AJ308" s="399">
        <v>0</v>
      </c>
      <c r="AK308" s="399">
        <v>0</v>
      </c>
      <c r="AL308" s="399">
        <v>5598.5741964803892</v>
      </c>
      <c r="AM308" s="399"/>
      <c r="AN308" s="399">
        <v>237.19493498800216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9588.3208394633002</v>
      </c>
      <c r="BH308" s="399">
        <v>0</v>
      </c>
      <c r="BI308" s="399">
        <v>0</v>
      </c>
      <c r="BJ308" s="399">
        <v>0</v>
      </c>
      <c r="BK308" s="399">
        <v>81624.42</v>
      </c>
      <c r="BL308" s="399">
        <v>716</v>
      </c>
      <c r="BM308" s="399"/>
      <c r="BN308" s="399"/>
      <c r="BO308" s="399"/>
      <c r="BP308" s="399"/>
      <c r="BQ308" s="399"/>
      <c r="BR308" s="399">
        <v>29447.863829999995</v>
      </c>
      <c r="BS308" s="399"/>
      <c r="BT308" s="399"/>
      <c r="BU308" s="399"/>
      <c r="BV308" s="399">
        <v>108630.7804358017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215975.31799999997</v>
      </c>
      <c r="CJ308" s="399">
        <v>-796.20505000004778</v>
      </c>
      <c r="CK308" s="399"/>
      <c r="CL308" s="399"/>
      <c r="CM308" s="399"/>
      <c r="CN308" s="399"/>
      <c r="CO308" s="399">
        <v>-14385.553980000006</v>
      </c>
      <c r="CP308" s="399">
        <v>13481.216489999995</v>
      </c>
      <c r="CQ308" s="399">
        <v>31</v>
      </c>
      <c r="CR308" s="399">
        <v>10572.749210846086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1438.4714190134946</v>
      </c>
      <c r="DA308" s="399">
        <v>0</v>
      </c>
      <c r="DB308" s="399">
        <v>0</v>
      </c>
      <c r="DC308" s="399">
        <v>13484.418593605442</v>
      </c>
      <c r="DD308" s="399">
        <v>0</v>
      </c>
      <c r="DE308" s="399">
        <v>0</v>
      </c>
      <c r="DF308" s="399">
        <v>0</v>
      </c>
      <c r="DG308" s="399">
        <v>1305.4293313803464</v>
      </c>
      <c r="DH308" s="399">
        <v>0</v>
      </c>
      <c r="DI308" s="399">
        <v>-4973.2432406500629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-645.19990840197352</v>
      </c>
      <c r="DP308" s="399">
        <v>-37.126984101161071</v>
      </c>
      <c r="DQ308" s="399">
        <v>0</v>
      </c>
      <c r="DR308" s="399">
        <v>0</v>
      </c>
      <c r="DS308" s="399"/>
      <c r="DT308" s="399"/>
      <c r="DU308" s="399"/>
      <c r="DV308" s="399">
        <v>53071.270935149383</v>
      </c>
      <c r="DW308" s="399">
        <v>0</v>
      </c>
      <c r="DX308" s="399">
        <v>0</v>
      </c>
      <c r="DY308" s="399">
        <v>-14385.553980000012</v>
      </c>
      <c r="DZ308" s="399">
        <v>13481.216490000006</v>
      </c>
      <c r="EA308" s="399">
        <v>0</v>
      </c>
      <c r="EB308" s="399">
        <v>0</v>
      </c>
      <c r="EC308" s="399">
        <v>-11473.722425804459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6904.7045326047319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215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310</v>
      </c>
      <c r="B309" s="399" t="s">
        <v>2346</v>
      </c>
      <c r="C309" s="399" t="s">
        <v>2343</v>
      </c>
      <c r="D309" s="399" t="s">
        <v>2353</v>
      </c>
      <c r="E309" s="399" t="s">
        <v>894</v>
      </c>
      <c r="F309" s="399" t="s">
        <v>1239</v>
      </c>
      <c r="G309" s="399" t="s">
        <v>1239</v>
      </c>
      <c r="H309" s="399" t="s">
        <v>1239</v>
      </c>
      <c r="I309" s="399" t="s">
        <v>1239</v>
      </c>
      <c r="J309" s="399" t="s">
        <v>2344</v>
      </c>
      <c r="K309" s="791">
        <v>44621</v>
      </c>
      <c r="L309" s="399">
        <v>0</v>
      </c>
      <c r="M309" s="399">
        <v>0</v>
      </c>
      <c r="N309" s="399">
        <v>26.998999999999999</v>
      </c>
      <c r="O309" s="399">
        <v>26.998999999999999</v>
      </c>
      <c r="P309" s="399">
        <v>26.998999999999999</v>
      </c>
      <c r="Q309" s="399">
        <v>26.998999999999999</v>
      </c>
      <c r="R309" s="399"/>
      <c r="S309" s="399">
        <v>239.69</v>
      </c>
      <c r="T309" s="399">
        <v>171.61</v>
      </c>
      <c r="U309" s="399"/>
      <c r="V309" s="399">
        <v>11104.688699999999</v>
      </c>
      <c r="W309" s="399">
        <v>11104.688699999999</v>
      </c>
      <c r="X309" s="399">
        <v>11063.92021</v>
      </c>
      <c r="Y309" s="399">
        <v>0</v>
      </c>
      <c r="Z309" s="399">
        <v>1632.2866241741769</v>
      </c>
      <c r="AA309" s="399">
        <v>0</v>
      </c>
      <c r="AB309" s="399">
        <v>0</v>
      </c>
      <c r="AC309" s="399">
        <v>0</v>
      </c>
      <c r="AD309" s="399">
        <v>1440.0184757695301</v>
      </c>
      <c r="AE309" s="399">
        <v>2392.5089939674272</v>
      </c>
      <c r="AF309" s="399">
        <v>4464.9387737190082</v>
      </c>
      <c r="AG309" s="399">
        <v>168.34840220221889</v>
      </c>
      <c r="AH309" s="399">
        <v>0</v>
      </c>
      <c r="AI309" s="399">
        <v>0</v>
      </c>
      <c r="AJ309" s="399">
        <v>0</v>
      </c>
      <c r="AK309" s="399">
        <v>0</v>
      </c>
      <c r="AL309" s="399">
        <v>252.3896428793069</v>
      </c>
      <c r="AM309" s="399"/>
      <c r="AN309" s="399">
        <v>10.692998401635451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432.25163899867863</v>
      </c>
      <c r="BH309" s="399">
        <v>0</v>
      </c>
      <c r="BI309" s="399">
        <v>0</v>
      </c>
      <c r="BJ309" s="399">
        <v>0</v>
      </c>
      <c r="BK309" s="399">
        <v>6679.13</v>
      </c>
      <c r="BL309" s="399">
        <v>13</v>
      </c>
      <c r="BM309" s="399"/>
      <c r="BN309" s="399"/>
      <c r="BO309" s="399"/>
      <c r="BP309" s="399"/>
      <c r="BQ309" s="399"/>
      <c r="BR309" s="399">
        <v>1327.5408299999995</v>
      </c>
      <c r="BS309" s="399"/>
      <c r="BT309" s="399"/>
      <c r="BU309" s="399"/>
      <c r="BV309" s="399">
        <v>4897.1904127176867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9736.7400000000016</v>
      </c>
      <c r="CJ309" s="399">
        <v>-35.578049999998257</v>
      </c>
      <c r="CK309" s="399"/>
      <c r="CL309" s="399"/>
      <c r="CM309" s="399"/>
      <c r="CN309" s="399"/>
      <c r="CO309" s="399">
        <v>-648.51598000000024</v>
      </c>
      <c r="CP309" s="399">
        <v>607.74748999999974</v>
      </c>
      <c r="CQ309" s="399">
        <v>31</v>
      </c>
      <c r="CR309" s="399">
        <v>476.63071059333015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64.847812138516474</v>
      </c>
      <c r="DA309" s="399">
        <v>0</v>
      </c>
      <c r="DB309" s="399">
        <v>0</v>
      </c>
      <c r="DC309" s="399">
        <v>607.89184421539176</v>
      </c>
      <c r="DD309" s="399">
        <v>0</v>
      </c>
      <c r="DE309" s="399">
        <v>0</v>
      </c>
      <c r="DF309" s="399">
        <v>0</v>
      </c>
      <c r="DG309" s="399">
        <v>58.850134192807047</v>
      </c>
      <c r="DH309" s="399">
        <v>0</v>
      </c>
      <c r="DI309" s="399">
        <v>-224.19906236996712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-29.086293894204005</v>
      </c>
      <c r="DP309" s="399">
        <v>-1.673723689215123</v>
      </c>
      <c r="DQ309" s="399">
        <v>0</v>
      </c>
      <c r="DR309" s="399">
        <v>0</v>
      </c>
      <c r="DS309" s="399"/>
      <c r="DT309" s="399"/>
      <c r="DU309" s="399"/>
      <c r="DV309" s="399">
        <v>2392.5089939674272</v>
      </c>
      <c r="DW309" s="399">
        <v>0</v>
      </c>
      <c r="DX309" s="399">
        <v>0</v>
      </c>
      <c r="DY309" s="399">
        <v>-648.51598000000013</v>
      </c>
      <c r="DZ309" s="399">
        <v>607.74748999999974</v>
      </c>
      <c r="EA309" s="399">
        <v>0</v>
      </c>
      <c r="EB309" s="399">
        <v>0</v>
      </c>
      <c r="EC309" s="399">
        <v>-517.24753551816684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311.27137910698656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215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311</v>
      </c>
      <c r="B310" s="399" t="s">
        <v>2346</v>
      </c>
      <c r="C310" s="399" t="s">
        <v>2343</v>
      </c>
      <c r="D310" s="399" t="s">
        <v>2353</v>
      </c>
      <c r="E310" s="399" t="s">
        <v>894</v>
      </c>
      <c r="F310" s="399" t="s">
        <v>1239</v>
      </c>
      <c r="G310" s="399" t="s">
        <v>1239</v>
      </c>
      <c r="H310" s="399" t="s">
        <v>1239</v>
      </c>
      <c r="I310" s="399" t="s">
        <v>1239</v>
      </c>
      <c r="J310" s="399" t="s">
        <v>2344</v>
      </c>
      <c r="K310" s="791">
        <v>44621</v>
      </c>
      <c r="L310" s="399">
        <v>0</v>
      </c>
      <c r="M310" s="399">
        <v>0</v>
      </c>
      <c r="N310" s="399">
        <v>0</v>
      </c>
      <c r="O310" s="399">
        <v>0</v>
      </c>
      <c r="P310" s="399">
        <v>0</v>
      </c>
      <c r="Q310" s="399">
        <v>0</v>
      </c>
      <c r="R310" s="399"/>
      <c r="S310" s="399"/>
      <c r="T310" s="399"/>
      <c r="U310" s="399"/>
      <c r="V310" s="399"/>
      <c r="W310" s="399"/>
      <c r="X310" s="399"/>
      <c r="Y310" s="399"/>
      <c r="Z310" s="399"/>
      <c r="AA310" s="399">
        <v>0</v>
      </c>
      <c r="AB310" s="399"/>
      <c r="AC310" s="399"/>
      <c r="AD310" s="399"/>
      <c r="AE310" s="399"/>
      <c r="AF310" s="399"/>
      <c r="AG310" s="399"/>
      <c r="AH310" s="399"/>
      <c r="AI310" s="399"/>
      <c r="AJ310" s="399"/>
      <c r="AK310" s="399"/>
      <c r="AL310" s="399"/>
      <c r="AM310" s="399"/>
      <c r="AN310" s="399"/>
      <c r="AO310" s="399"/>
      <c r="AP310" s="399"/>
      <c r="AQ310" s="399"/>
      <c r="AR310" s="399"/>
      <c r="AS310" s="399"/>
      <c r="AT310" s="399"/>
      <c r="AU310" s="399"/>
      <c r="AV310" s="399"/>
      <c r="AW310" s="399"/>
      <c r="AX310" s="399"/>
      <c r="AY310" s="399"/>
      <c r="AZ310" s="399">
        <v>0</v>
      </c>
      <c r="BA310" s="399"/>
      <c r="BB310" s="399"/>
      <c r="BC310" s="399"/>
      <c r="BD310" s="399"/>
      <c r="BE310" s="399"/>
      <c r="BF310" s="399"/>
      <c r="BG310" s="399"/>
      <c r="BH310" s="399"/>
      <c r="BI310" s="399">
        <v>0</v>
      </c>
      <c r="BJ310" s="399">
        <v>0</v>
      </c>
      <c r="BK310" s="399">
        <v>0</v>
      </c>
      <c r="BL310" s="399">
        <v>6</v>
      </c>
      <c r="BM310" s="399"/>
      <c r="BN310" s="399"/>
      <c r="BO310" s="399"/>
      <c r="BP310" s="399"/>
      <c r="BQ310" s="399"/>
      <c r="BR310" s="399"/>
      <c r="BS310" s="399"/>
      <c r="BT310" s="399"/>
      <c r="BU310" s="399"/>
      <c r="BV310" s="399"/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/>
      <c r="CJ310" s="399">
        <v>-0.03</v>
      </c>
      <c r="CK310" s="399"/>
      <c r="CL310" s="399"/>
      <c r="CM310" s="399"/>
      <c r="CN310" s="399"/>
      <c r="CO310" s="399">
        <v>0</v>
      </c>
      <c r="CP310" s="399">
        <v>0</v>
      </c>
      <c r="CQ310" s="399">
        <v>31</v>
      </c>
      <c r="CR310" s="399"/>
      <c r="CS310" s="399"/>
      <c r="CT310" s="399"/>
      <c r="CU310" s="399"/>
      <c r="CV310" s="399"/>
      <c r="CW310" s="399"/>
      <c r="CX310" s="399"/>
      <c r="CY310" s="399"/>
      <c r="CZ310" s="399"/>
      <c r="DA310" s="399"/>
      <c r="DB310" s="399"/>
      <c r="DC310" s="399"/>
      <c r="DD310" s="399"/>
      <c r="DE310" s="399"/>
      <c r="DF310" s="399"/>
      <c r="DG310" s="399"/>
      <c r="DH310" s="399"/>
      <c r="DI310" s="399"/>
      <c r="DJ310" s="399"/>
      <c r="DK310" s="399">
        <v>0</v>
      </c>
      <c r="DL310" s="399"/>
      <c r="DM310" s="399"/>
      <c r="DN310" s="399"/>
      <c r="DO310" s="399"/>
      <c r="DP310" s="399"/>
      <c r="DQ310" s="399"/>
      <c r="DR310" s="399"/>
      <c r="DS310" s="399"/>
      <c r="DT310" s="399"/>
      <c r="DU310" s="399"/>
      <c r="DV310" s="399"/>
      <c r="DW310" s="399"/>
      <c r="DX310" s="399"/>
      <c r="DY310" s="399"/>
      <c r="DZ310" s="399"/>
      <c r="EA310" s="399"/>
      <c r="EB310" s="399"/>
      <c r="EC310" s="399"/>
      <c r="ED310" s="399"/>
      <c r="EE310" s="399"/>
      <c r="EF310" s="399"/>
      <c r="EG310" s="399"/>
      <c r="EH310" s="399"/>
      <c r="EI310" s="399"/>
      <c r="EJ310" s="399"/>
      <c r="EK310" s="399"/>
      <c r="EL310" s="399"/>
      <c r="EM310" s="399"/>
      <c r="EN310" s="399"/>
      <c r="EO310" s="399"/>
      <c r="EP310" s="399"/>
      <c r="EQ310" s="399"/>
      <c r="ER310" s="399"/>
      <c r="ES310" s="399"/>
      <c r="ET310" s="399"/>
      <c r="EU310" s="399"/>
      <c r="EV310" s="399">
        <v>215</v>
      </c>
      <c r="EW310" s="399"/>
      <c r="EX310" s="399"/>
      <c r="EY310" s="399"/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312</v>
      </c>
      <c r="B311" s="399" t="s">
        <v>956</v>
      </c>
      <c r="C311" s="399" t="s">
        <v>2352</v>
      </c>
      <c r="D311" s="399" t="s">
        <v>533</v>
      </c>
      <c r="E311" s="399" t="s">
        <v>894</v>
      </c>
      <c r="F311" s="399" t="s">
        <v>1239</v>
      </c>
      <c r="G311" s="399" t="s">
        <v>1239</v>
      </c>
      <c r="H311" s="399" t="s">
        <v>1239</v>
      </c>
      <c r="I311" s="399" t="s">
        <v>893</v>
      </c>
      <c r="J311" s="399" t="s">
        <v>2344</v>
      </c>
      <c r="K311" s="791">
        <v>44621</v>
      </c>
      <c r="L311" s="399">
        <v>0</v>
      </c>
      <c r="M311" s="399">
        <v>0</v>
      </c>
      <c r="N311" s="399">
        <v>16.745000000000001</v>
      </c>
      <c r="O311" s="399">
        <v>16.075199999999999</v>
      </c>
      <c r="P311" s="399">
        <v>16.745000000000001</v>
      </c>
      <c r="Q311" s="399">
        <v>16.075199999999999</v>
      </c>
      <c r="R311" s="399"/>
      <c r="S311" s="399">
        <v>984.21</v>
      </c>
      <c r="T311" s="399">
        <v>171.61</v>
      </c>
      <c r="U311" s="399"/>
      <c r="V311" s="399">
        <v>19354.205900000001</v>
      </c>
      <c r="W311" s="399">
        <v>19354.205900000001</v>
      </c>
      <c r="X311" s="399">
        <v>18048.598250000003</v>
      </c>
      <c r="Y311" s="399">
        <v>0</v>
      </c>
      <c r="Z311" s="399">
        <v>880.75100499881603</v>
      </c>
      <c r="AA311" s="399">
        <v>0</v>
      </c>
      <c r="AB311" s="399">
        <v>0</v>
      </c>
      <c r="AC311" s="399">
        <v>0</v>
      </c>
      <c r="AD311" s="399">
        <v>6592.6516021204388</v>
      </c>
      <c r="AE311" s="399">
        <v>8574.8151129312319</v>
      </c>
      <c r="AF311" s="399">
        <v>2769.1914428654691</v>
      </c>
      <c r="AG311" s="399">
        <v>104.41105207141581</v>
      </c>
      <c r="AH311" s="399">
        <v>0</v>
      </c>
      <c r="AI311" s="399">
        <v>0</v>
      </c>
      <c r="AJ311" s="399">
        <v>0</v>
      </c>
      <c r="AK311" s="399">
        <v>0</v>
      </c>
      <c r="AL311" s="399">
        <v>156.53411496773936</v>
      </c>
      <c r="AM311" s="399"/>
      <c r="AN311" s="399">
        <v>4.4216926516587156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103.50568037187313</v>
      </c>
      <c r="BH311" s="399">
        <v>0</v>
      </c>
      <c r="BI311" s="399">
        <v>0</v>
      </c>
      <c r="BJ311" s="399">
        <v>0</v>
      </c>
      <c r="BK311" s="399">
        <v>0</v>
      </c>
      <c r="BL311" s="399">
        <v>0</v>
      </c>
      <c r="BM311" s="399"/>
      <c r="BN311" s="399"/>
      <c r="BO311" s="399"/>
      <c r="BP311" s="399"/>
      <c r="BQ311" s="399"/>
      <c r="BR311" s="399">
        <v>721.94393000000241</v>
      </c>
      <c r="BS311" s="399"/>
      <c r="BT311" s="399"/>
      <c r="BU311" s="399"/>
      <c r="BV311" s="399">
        <v>2872.6971232373421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17331.828000000001</v>
      </c>
      <c r="CJ311" s="399">
        <v>-1248.239663999997</v>
      </c>
      <c r="CK311" s="399"/>
      <c r="CL311" s="399"/>
      <c r="CM311" s="399"/>
      <c r="CN311" s="399"/>
      <c r="CO311" s="399">
        <v>-1682.5376000000003</v>
      </c>
      <c r="CP311" s="399">
        <v>376.92994999999985</v>
      </c>
      <c r="CQ311" s="399">
        <v>31</v>
      </c>
      <c r="CR311" s="399">
        <v>548.29072541039568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296.88440793132668</v>
      </c>
      <c r="DA311" s="399">
        <v>0</v>
      </c>
      <c r="DB311" s="399">
        <v>0</v>
      </c>
      <c r="DC311" s="399">
        <v>377.01947966171838</v>
      </c>
      <c r="DD311" s="399">
        <v>0</v>
      </c>
      <c r="DE311" s="399">
        <v>0</v>
      </c>
      <c r="DF311" s="399">
        <v>0</v>
      </c>
      <c r="DG311" s="399">
        <v>14.09207653604993</v>
      </c>
      <c r="DH311" s="399">
        <v>0</v>
      </c>
      <c r="DI311" s="399">
        <v>-120.97357570521149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-18.039556696857147</v>
      </c>
      <c r="DP311" s="399">
        <v>-0.69210631663217814</v>
      </c>
      <c r="DQ311" s="399">
        <v>0</v>
      </c>
      <c r="DR311" s="399">
        <v>0</v>
      </c>
      <c r="DS311" s="399"/>
      <c r="DT311" s="399"/>
      <c r="DU311" s="399"/>
      <c r="DV311" s="399">
        <v>8574.8151129312319</v>
      </c>
      <c r="DW311" s="399">
        <v>0</v>
      </c>
      <c r="DX311" s="399">
        <v>0</v>
      </c>
      <c r="DY311" s="399">
        <v>-1682.5375999999997</v>
      </c>
      <c r="DZ311" s="399">
        <v>376.92994999999974</v>
      </c>
      <c r="EA311" s="399">
        <v>0</v>
      </c>
      <c r="EB311" s="399">
        <v>0</v>
      </c>
      <c r="EC311" s="399">
        <v>-1853.8287613007778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167.95615176626663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215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313</v>
      </c>
      <c r="B312" s="399" t="s">
        <v>956</v>
      </c>
      <c r="C312" s="399" t="s">
        <v>2352</v>
      </c>
      <c r="D312" s="399" t="s">
        <v>533</v>
      </c>
      <c r="E312" s="399" t="s">
        <v>894</v>
      </c>
      <c r="F312" s="399" t="s">
        <v>1239</v>
      </c>
      <c r="G312" s="399" t="s">
        <v>1239</v>
      </c>
      <c r="H312" s="399" t="s">
        <v>1239</v>
      </c>
      <c r="I312" s="399" t="s">
        <v>2326</v>
      </c>
      <c r="J312" s="399" t="s">
        <v>2344</v>
      </c>
      <c r="K312" s="791">
        <v>44621</v>
      </c>
      <c r="L312" s="399">
        <v>0</v>
      </c>
      <c r="M312" s="399">
        <v>0</v>
      </c>
      <c r="N312" s="399">
        <v>246.93299999999999</v>
      </c>
      <c r="O312" s="399">
        <v>237.05568</v>
      </c>
      <c r="P312" s="399">
        <v>246.93299999999999</v>
      </c>
      <c r="Q312" s="399">
        <v>237.05568</v>
      </c>
      <c r="R312" s="399"/>
      <c r="S312" s="399">
        <v>78.42</v>
      </c>
      <c r="T312" s="399">
        <v>171.61</v>
      </c>
      <c r="U312" s="399"/>
      <c r="V312" s="399">
        <v>61740.65799</v>
      </c>
      <c r="W312" s="399">
        <v>61740.65799</v>
      </c>
      <c r="X312" s="399">
        <v>65447.122319999995</v>
      </c>
      <c r="Y312" s="399">
        <v>0</v>
      </c>
      <c r="Z312" s="399">
        <v>12988.144993572567</v>
      </c>
      <c r="AA312" s="399">
        <v>0</v>
      </c>
      <c r="AB312" s="399">
        <v>0</v>
      </c>
      <c r="AC312" s="399">
        <v>0</v>
      </c>
      <c r="AD312" s="399">
        <v>0</v>
      </c>
      <c r="AE312" s="399">
        <v>0</v>
      </c>
      <c r="AF312" s="399">
        <v>40836.354169071295</v>
      </c>
      <c r="AG312" s="399">
        <v>1539.7153969036081</v>
      </c>
      <c r="AH312" s="399">
        <v>0</v>
      </c>
      <c r="AI312" s="399">
        <v>0</v>
      </c>
      <c r="AJ312" s="399">
        <v>0</v>
      </c>
      <c r="AK312" s="399">
        <v>0</v>
      </c>
      <c r="AL312" s="399">
        <v>2308.3570385983144</v>
      </c>
      <c r="AM312" s="399"/>
      <c r="AN312" s="399">
        <v>65.205245240492175</v>
      </c>
      <c r="AO312" s="399">
        <v>0</v>
      </c>
      <c r="AP312" s="399">
        <v>0</v>
      </c>
      <c r="AQ312" s="399">
        <v>0</v>
      </c>
      <c r="AR312" s="399">
        <v>0</v>
      </c>
      <c r="AS312" s="399">
        <v>0</v>
      </c>
      <c r="AT312" s="399">
        <v>0</v>
      </c>
      <c r="AU312" s="399">
        <v>0</v>
      </c>
      <c r="AV312" s="399">
        <v>0</v>
      </c>
      <c r="AW312" s="399">
        <v>0</v>
      </c>
      <c r="AX312" s="399">
        <v>0</v>
      </c>
      <c r="AY312" s="399">
        <v>0</v>
      </c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>
        <v>0</v>
      </c>
      <c r="BG312" s="399">
        <v>1526.3641786364733</v>
      </c>
      <c r="BH312" s="399">
        <v>0</v>
      </c>
      <c r="BI312" s="399">
        <v>0</v>
      </c>
      <c r="BJ312" s="399">
        <v>0</v>
      </c>
      <c r="BK312" s="399">
        <v>0</v>
      </c>
      <c r="BL312" s="399">
        <v>0</v>
      </c>
      <c r="BM312" s="399"/>
      <c r="BN312" s="399"/>
      <c r="BO312" s="399"/>
      <c r="BP312" s="399"/>
      <c r="BQ312" s="399"/>
      <c r="BR312" s="399">
        <v>2617.8848927999993</v>
      </c>
      <c r="BS312" s="399"/>
      <c r="BT312" s="399"/>
      <c r="BU312" s="399"/>
      <c r="BV312" s="399">
        <v>42362.718347707771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62830.382400000002</v>
      </c>
      <c r="CJ312" s="399">
        <v>3559.3207296000037</v>
      </c>
      <c r="CK312" s="399"/>
      <c r="CL312" s="399"/>
      <c r="CM312" s="399"/>
      <c r="CN312" s="399"/>
      <c r="CO312" s="399">
        <v>-1851.9974999999999</v>
      </c>
      <c r="CP312" s="399">
        <v>5558.4618299999975</v>
      </c>
      <c r="CQ312" s="399">
        <v>31</v>
      </c>
      <c r="CR312" s="399">
        <v>3707.4061626789116</v>
      </c>
      <c r="CS312" s="399">
        <v>0</v>
      </c>
      <c r="CT312" s="399">
        <v>0</v>
      </c>
      <c r="CU312" s="399">
        <v>0</v>
      </c>
      <c r="CV312" s="399">
        <v>0</v>
      </c>
      <c r="CW312" s="399">
        <v>0</v>
      </c>
      <c r="CX312" s="399">
        <v>0</v>
      </c>
      <c r="CY312" s="399">
        <v>0</v>
      </c>
      <c r="CZ312" s="399">
        <v>0</v>
      </c>
      <c r="DA312" s="399">
        <v>0</v>
      </c>
      <c r="DB312" s="399">
        <v>0</v>
      </c>
      <c r="DC312" s="399">
        <v>5559.7820944345804</v>
      </c>
      <c r="DD312" s="399">
        <v>0</v>
      </c>
      <c r="DE312" s="399">
        <v>0</v>
      </c>
      <c r="DF312" s="399">
        <v>0</v>
      </c>
      <c r="DG312" s="399">
        <v>207.81121142289726</v>
      </c>
      <c r="DH312" s="399">
        <v>0</v>
      </c>
      <c r="DI312" s="399">
        <v>-1783.9574780301591</v>
      </c>
      <c r="DJ312" s="399"/>
      <c r="DK312" s="399">
        <v>0</v>
      </c>
      <c r="DL312" s="399">
        <v>0</v>
      </c>
      <c r="DM312" s="399">
        <v>0</v>
      </c>
      <c r="DN312" s="399">
        <v>0</v>
      </c>
      <c r="DO312" s="399">
        <v>-266.02340124365628</v>
      </c>
      <c r="DP312" s="399">
        <v>-10.206263904743722</v>
      </c>
      <c r="DQ312" s="399">
        <v>0</v>
      </c>
      <c r="DR312" s="399">
        <v>0</v>
      </c>
      <c r="DS312" s="399"/>
      <c r="DT312" s="399"/>
      <c r="DU312" s="399"/>
      <c r="DV312" s="399">
        <v>0</v>
      </c>
      <c r="DW312" s="399">
        <v>0</v>
      </c>
      <c r="DX312" s="399">
        <v>0</v>
      </c>
      <c r="DY312" s="399">
        <v>-1851.9975000000013</v>
      </c>
      <c r="DZ312" s="399">
        <v>5558.4618300000002</v>
      </c>
      <c r="EA312" s="399">
        <v>0</v>
      </c>
      <c r="EB312" s="399">
        <v>0</v>
      </c>
      <c r="EC312" s="399">
        <v>0</v>
      </c>
      <c r="ED312" s="399">
        <v>0</v>
      </c>
      <c r="EE312" s="399">
        <v>0</v>
      </c>
      <c r="EF312" s="399">
        <v>0</v>
      </c>
      <c r="EG312" s="399">
        <v>0</v>
      </c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>
        <v>0</v>
      </c>
      <c r="EN312" s="399">
        <v>0</v>
      </c>
      <c r="EO312" s="399">
        <v>0</v>
      </c>
      <c r="EP312" s="399">
        <v>2476.7940533950145</v>
      </c>
      <c r="EQ312" s="399">
        <v>0</v>
      </c>
      <c r="ER312" s="399">
        <v>0</v>
      </c>
      <c r="ES312" s="399">
        <v>0</v>
      </c>
      <c r="ET312" s="399">
        <v>0</v>
      </c>
      <c r="EU312" s="399">
        <v>0</v>
      </c>
      <c r="EV312" s="399">
        <v>215</v>
      </c>
      <c r="EW312" s="399">
        <v>0</v>
      </c>
      <c r="EX312" s="399">
        <v>0</v>
      </c>
      <c r="EY312" s="399">
        <v>0</v>
      </c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314</v>
      </c>
      <c r="B313" s="399" t="s">
        <v>956</v>
      </c>
      <c r="C313" s="399" t="s">
        <v>2352</v>
      </c>
      <c r="D313" s="399" t="s">
        <v>533</v>
      </c>
      <c r="E313" s="399" t="s">
        <v>894</v>
      </c>
      <c r="F313" s="399" t="s">
        <v>1239</v>
      </c>
      <c r="G313" s="399" t="s">
        <v>1239</v>
      </c>
      <c r="H313" s="399" t="s">
        <v>1239</v>
      </c>
      <c r="I313" s="399" t="s">
        <v>1239</v>
      </c>
      <c r="J313" s="399" t="s">
        <v>2344</v>
      </c>
      <c r="K313" s="791">
        <v>44621</v>
      </c>
      <c r="L313" s="399">
        <v>1490</v>
      </c>
      <c r="M313" s="399">
        <v>1430.4</v>
      </c>
      <c r="N313" s="399">
        <v>0</v>
      </c>
      <c r="O313" s="399">
        <v>0</v>
      </c>
      <c r="P313" s="399">
        <v>0</v>
      </c>
      <c r="Q313" s="399">
        <v>0</v>
      </c>
      <c r="R313" s="399">
        <v>12.58</v>
      </c>
      <c r="S313" s="399"/>
      <c r="T313" s="399"/>
      <c r="U313" s="399">
        <v>18744.2</v>
      </c>
      <c r="V313" s="399"/>
      <c r="W313" s="399">
        <v>18744.2</v>
      </c>
      <c r="X313" s="399">
        <v>17269.099999999999</v>
      </c>
      <c r="Y313" s="399">
        <v>0</v>
      </c>
      <c r="Z313" s="399">
        <v>0</v>
      </c>
      <c r="AA313" s="399">
        <v>0</v>
      </c>
      <c r="AB313" s="399">
        <v>0</v>
      </c>
      <c r="AC313" s="399">
        <v>0</v>
      </c>
      <c r="AD313" s="399">
        <v>9874.8847395123648</v>
      </c>
      <c r="AE313" s="399">
        <v>8865.066447858233</v>
      </c>
      <c r="AF313" s="399"/>
      <c r="AG313" s="399"/>
      <c r="AH313" s="399"/>
      <c r="AI313" s="399">
        <v>0</v>
      </c>
      <c r="AJ313" s="399">
        <v>0</v>
      </c>
      <c r="AK313" s="399">
        <v>0</v>
      </c>
      <c r="AL313" s="399">
        <v>0</v>
      </c>
      <c r="AM313" s="399"/>
      <c r="AN313" s="399">
        <v>0</v>
      </c>
      <c r="AO313" s="399">
        <v>0</v>
      </c>
      <c r="AP313" s="399">
        <v>0</v>
      </c>
      <c r="AQ313" s="399">
        <v>0</v>
      </c>
      <c r="AR313" s="399">
        <v>0</v>
      </c>
      <c r="AS313" s="399"/>
      <c r="AT313" s="399"/>
      <c r="AU313" s="399">
        <v>0</v>
      </c>
      <c r="AV313" s="399">
        <v>0</v>
      </c>
      <c r="AW313" s="399">
        <v>0</v>
      </c>
      <c r="AX313" s="399"/>
      <c r="AY313" s="399"/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/>
      <c r="BG313" s="399">
        <v>0</v>
      </c>
      <c r="BH313" s="399">
        <v>0</v>
      </c>
      <c r="BI313" s="399">
        <v>0</v>
      </c>
      <c r="BJ313" s="399">
        <v>0</v>
      </c>
      <c r="BK313" s="399">
        <v>46779.23</v>
      </c>
      <c r="BL313" s="399">
        <v>11</v>
      </c>
      <c r="BM313" s="399"/>
      <c r="BN313" s="399"/>
      <c r="BO313" s="399"/>
      <c r="BP313" s="399"/>
      <c r="BQ313" s="399"/>
      <c r="BR313" s="399">
        <v>690.76399999999899</v>
      </c>
      <c r="BS313" s="399"/>
      <c r="BT313" s="399"/>
      <c r="BU313" s="399"/>
      <c r="BV313" s="399">
        <v>0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16578.335999999999</v>
      </c>
      <c r="CJ313" s="399">
        <v>-1416.1259999999966</v>
      </c>
      <c r="CK313" s="399"/>
      <c r="CL313" s="399"/>
      <c r="CM313" s="399"/>
      <c r="CN313" s="399"/>
      <c r="CO313" s="399">
        <v>-1475.1000000000004</v>
      </c>
      <c r="CP313" s="399">
        <v>0</v>
      </c>
      <c r="CQ313" s="399">
        <v>31</v>
      </c>
      <c r="CR313" s="399">
        <v>444.69198225751279</v>
      </c>
      <c r="CS313" s="399">
        <v>0</v>
      </c>
      <c r="CT313" s="399">
        <v>0</v>
      </c>
      <c r="CU313" s="399">
        <v>0</v>
      </c>
      <c r="CV313" s="399">
        <v>0</v>
      </c>
      <c r="CW313" s="399"/>
      <c r="CX313" s="399"/>
      <c r="CY313" s="399"/>
      <c r="CZ313" s="399">
        <v>444.69198225751279</v>
      </c>
      <c r="DA313" s="399">
        <v>0</v>
      </c>
      <c r="DB313" s="399">
        <v>0</v>
      </c>
      <c r="DC313" s="399"/>
      <c r="DD313" s="399"/>
      <c r="DE313" s="399">
        <v>0</v>
      </c>
      <c r="DF313" s="399">
        <v>0</v>
      </c>
      <c r="DG313" s="399">
        <v>0</v>
      </c>
      <c r="DH313" s="399">
        <v>0</v>
      </c>
      <c r="DI313" s="399">
        <v>0</v>
      </c>
      <c r="DJ313" s="399"/>
      <c r="DK313" s="399">
        <v>0</v>
      </c>
      <c r="DL313" s="399">
        <v>0</v>
      </c>
      <c r="DM313" s="399"/>
      <c r="DN313" s="399">
        <v>0</v>
      </c>
      <c r="DO313" s="399">
        <v>0</v>
      </c>
      <c r="DP313" s="399">
        <v>0</v>
      </c>
      <c r="DQ313" s="399">
        <v>0</v>
      </c>
      <c r="DR313" s="399">
        <v>0</v>
      </c>
      <c r="DS313" s="399"/>
      <c r="DT313" s="399"/>
      <c r="DU313" s="399">
        <v>8865.066447858233</v>
      </c>
      <c r="DV313" s="399"/>
      <c r="DW313" s="399">
        <v>0</v>
      </c>
      <c r="DX313" s="399">
        <v>0</v>
      </c>
      <c r="DY313" s="399">
        <v>-1475.1000000000022</v>
      </c>
      <c r="DZ313" s="399"/>
      <c r="EA313" s="399">
        <v>0</v>
      </c>
      <c r="EB313" s="399"/>
      <c r="EC313" s="399">
        <v>-1916.5795338372254</v>
      </c>
      <c r="ED313" s="399"/>
      <c r="EE313" s="399">
        <v>0</v>
      </c>
      <c r="EF313" s="399">
        <v>0</v>
      </c>
      <c r="EG313" s="399"/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/>
      <c r="EN313" s="399"/>
      <c r="EO313" s="399">
        <v>0</v>
      </c>
      <c r="EP313" s="399">
        <v>0</v>
      </c>
      <c r="EQ313" s="399"/>
      <c r="ER313" s="399">
        <v>0</v>
      </c>
      <c r="ES313" s="399"/>
      <c r="ET313" s="399">
        <v>0</v>
      </c>
      <c r="EU313" s="399"/>
      <c r="EV313" s="399">
        <v>215</v>
      </c>
      <c r="EW313" s="399"/>
      <c r="EX313" s="399"/>
      <c r="EY313" s="399"/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315</v>
      </c>
      <c r="B314" s="399" t="s">
        <v>956</v>
      </c>
      <c r="C314" s="399" t="s">
        <v>2343</v>
      </c>
      <c r="D314" s="399" t="s">
        <v>1826</v>
      </c>
      <c r="E314" s="399" t="s">
        <v>2354</v>
      </c>
      <c r="F314" s="399" t="s">
        <v>1239</v>
      </c>
      <c r="G314" s="399" t="s">
        <v>1239</v>
      </c>
      <c r="H314" s="399" t="s">
        <v>1239</v>
      </c>
      <c r="I314" s="399" t="s">
        <v>1239</v>
      </c>
      <c r="J314" s="399" t="s">
        <v>2344</v>
      </c>
      <c r="K314" s="791">
        <v>44621</v>
      </c>
      <c r="L314" s="399">
        <v>0</v>
      </c>
      <c r="M314" s="399">
        <v>0</v>
      </c>
      <c r="N314" s="399">
        <v>64.962999999999994</v>
      </c>
      <c r="O314" s="399">
        <v>64.962999999999994</v>
      </c>
      <c r="P314" s="399">
        <v>64.962999999999994</v>
      </c>
      <c r="Q314" s="399">
        <v>64.962999999999994</v>
      </c>
      <c r="R314" s="399"/>
      <c r="S314" s="399">
        <v>239.69</v>
      </c>
      <c r="T314" s="399">
        <v>171.61</v>
      </c>
      <c r="U314" s="399"/>
      <c r="V314" s="399">
        <v>26719.281899999998</v>
      </c>
      <c r="W314" s="399">
        <v>26719.281899999998</v>
      </c>
      <c r="X314" s="399">
        <v>26621.187769999997</v>
      </c>
      <c r="Y314" s="399">
        <v>0</v>
      </c>
      <c r="Z314" s="399">
        <v>3927.4875353245325</v>
      </c>
      <c r="AA314" s="399">
        <v>0</v>
      </c>
      <c r="AB314" s="399">
        <v>0</v>
      </c>
      <c r="AC314" s="399">
        <v>0</v>
      </c>
      <c r="AD314" s="399">
        <v>3464.8661150937432</v>
      </c>
      <c r="AE314" s="399">
        <v>5756.6784612432293</v>
      </c>
      <c r="AF314" s="399">
        <v>10743.205954187486</v>
      </c>
      <c r="AG314" s="399">
        <v>405.06749332429888</v>
      </c>
      <c r="AH314" s="399">
        <v>0</v>
      </c>
      <c r="AI314" s="399">
        <v>0</v>
      </c>
      <c r="AJ314" s="399">
        <v>0</v>
      </c>
      <c r="AK314" s="399">
        <v>0</v>
      </c>
      <c r="AL314" s="399">
        <v>607.28132043292021</v>
      </c>
      <c r="AM314" s="399"/>
      <c r="AN314" s="399">
        <v>25.728703106242595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1040.0519731942352</v>
      </c>
      <c r="BH314" s="399">
        <v>0</v>
      </c>
      <c r="BI314" s="399">
        <v>0</v>
      </c>
      <c r="BJ314" s="399">
        <v>0</v>
      </c>
      <c r="BK314" s="399">
        <v>10948.26</v>
      </c>
      <c r="BL314" s="399">
        <v>47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>
        <v>11783.257927381721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26619.958399999996</v>
      </c>
      <c r="CJ314" s="399">
        <v>-99.353500000001077</v>
      </c>
      <c r="CK314" s="399"/>
      <c r="CL314" s="399"/>
      <c r="CM314" s="399"/>
      <c r="CN314" s="399"/>
      <c r="CO314" s="399">
        <v>-1560.4112600000005</v>
      </c>
      <c r="CP314" s="399">
        <v>1462.3171299999992</v>
      </c>
      <c r="CQ314" s="399">
        <v>31</v>
      </c>
      <c r="CR314" s="399">
        <v>1146.8336179960133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156.03201673967351</v>
      </c>
      <c r="DA314" s="399">
        <v>0</v>
      </c>
      <c r="DB314" s="399">
        <v>0</v>
      </c>
      <c r="DC314" s="399">
        <v>1462.6644644529224</v>
      </c>
      <c r="DD314" s="399">
        <v>0</v>
      </c>
      <c r="DE314" s="399">
        <v>0</v>
      </c>
      <c r="DF314" s="399">
        <v>0</v>
      </c>
      <c r="DG314" s="399">
        <v>141.60084697830757</v>
      </c>
      <c r="DH314" s="399">
        <v>0</v>
      </c>
      <c r="DI314" s="399">
        <v>-539.45122740620673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-69.985292427466675</v>
      </c>
      <c r="DP314" s="399">
        <v>-4.0271903412156753</v>
      </c>
      <c r="DQ314" s="399">
        <v>0</v>
      </c>
      <c r="DR314" s="399">
        <v>0</v>
      </c>
      <c r="DS314" s="399"/>
      <c r="DT314" s="399"/>
      <c r="DU314" s="399"/>
      <c r="DV314" s="399">
        <v>5756.6784612432293</v>
      </c>
      <c r="DW314" s="399">
        <v>0</v>
      </c>
      <c r="DX314" s="399">
        <v>0</v>
      </c>
      <c r="DY314" s="399">
        <v>-1560.4112600000008</v>
      </c>
      <c r="DZ314" s="399">
        <v>1462.3171299999995</v>
      </c>
      <c r="EA314" s="399">
        <v>0</v>
      </c>
      <c r="EB314" s="399">
        <v>0</v>
      </c>
      <c r="EC314" s="399">
        <v>-1244.5628226921981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748.95820589381708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215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316</v>
      </c>
      <c r="B315" s="399" t="s">
        <v>956</v>
      </c>
      <c r="C315" s="399" t="s">
        <v>2352</v>
      </c>
      <c r="D315" s="399" t="s">
        <v>533</v>
      </c>
      <c r="E315" s="399" t="s">
        <v>2354</v>
      </c>
      <c r="F315" s="399" t="s">
        <v>1239</v>
      </c>
      <c r="G315" s="399" t="s">
        <v>1239</v>
      </c>
      <c r="H315" s="399" t="s">
        <v>1239</v>
      </c>
      <c r="I315" s="399" t="s">
        <v>893</v>
      </c>
      <c r="J315" s="399" t="s">
        <v>2344</v>
      </c>
      <c r="K315" s="791">
        <v>44621</v>
      </c>
      <c r="L315" s="399">
        <v>0</v>
      </c>
      <c r="M315" s="399">
        <v>0</v>
      </c>
      <c r="N315" s="399">
        <v>1.871</v>
      </c>
      <c r="O315" s="399">
        <v>1.871</v>
      </c>
      <c r="P315" s="399">
        <v>1.871</v>
      </c>
      <c r="Q315" s="399">
        <v>1.871</v>
      </c>
      <c r="R315" s="399"/>
      <c r="S315" s="399">
        <v>984.21</v>
      </c>
      <c r="T315" s="399">
        <v>171.61</v>
      </c>
      <c r="U315" s="399"/>
      <c r="V315" s="399">
        <v>2162.5392200000001</v>
      </c>
      <c r="W315" s="399">
        <v>2162.5392200000001</v>
      </c>
      <c r="X315" s="399">
        <v>2016.65735</v>
      </c>
      <c r="Y315" s="399">
        <v>0</v>
      </c>
      <c r="Z315" s="399">
        <v>98.410578104077914</v>
      </c>
      <c r="AA315" s="399">
        <v>0</v>
      </c>
      <c r="AB315" s="399">
        <v>0</v>
      </c>
      <c r="AC315" s="399">
        <v>0</v>
      </c>
      <c r="AD315" s="399">
        <v>736.62891296311375</v>
      </c>
      <c r="AE315" s="399">
        <v>958.10564803191016</v>
      </c>
      <c r="AF315" s="399">
        <v>309.41518002993683</v>
      </c>
      <c r="AG315" s="399">
        <v>11.666352847155508</v>
      </c>
      <c r="AH315" s="399">
        <v>0</v>
      </c>
      <c r="AI315" s="399">
        <v>0</v>
      </c>
      <c r="AJ315" s="399">
        <v>0</v>
      </c>
      <c r="AK315" s="399">
        <v>0</v>
      </c>
      <c r="AL315" s="399">
        <v>17.490315264535102</v>
      </c>
      <c r="AM315" s="399"/>
      <c r="AN315" s="399">
        <v>0.49405714847736382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11.565191279532673</v>
      </c>
      <c r="BH315" s="399">
        <v>0</v>
      </c>
      <c r="BI315" s="399">
        <v>0</v>
      </c>
      <c r="BJ315" s="399">
        <v>0</v>
      </c>
      <c r="BK315" s="399">
        <v>0</v>
      </c>
      <c r="BL315" s="399">
        <v>0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320.98037130946949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2015.5795000000001</v>
      </c>
      <c r="CJ315" s="399">
        <v>-146.98972000000026</v>
      </c>
      <c r="CK315" s="399"/>
      <c r="CL315" s="399"/>
      <c r="CM315" s="399"/>
      <c r="CN315" s="399"/>
      <c r="CO315" s="399">
        <v>-187.99808000000004</v>
      </c>
      <c r="CP315" s="399">
        <v>42.116209999999981</v>
      </c>
      <c r="CQ315" s="399">
        <v>31</v>
      </c>
      <c r="CR315" s="399">
        <v>61.263179889091816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33.172333666139934</v>
      </c>
      <c r="DA315" s="399">
        <v>0</v>
      </c>
      <c r="DB315" s="399">
        <v>0</v>
      </c>
      <c r="DC315" s="399">
        <v>42.126213582984462</v>
      </c>
      <c r="DD315" s="399">
        <v>0</v>
      </c>
      <c r="DE315" s="399">
        <v>0</v>
      </c>
      <c r="DF315" s="399">
        <v>0</v>
      </c>
      <c r="DG315" s="399">
        <v>1.574576004714805</v>
      </c>
      <c r="DH315" s="399">
        <v>0</v>
      </c>
      <c r="DI315" s="399">
        <v>-13.516963878438389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-2.0156470934499673</v>
      </c>
      <c r="DP315" s="399">
        <v>-7.7332392858692534E-2</v>
      </c>
      <c r="DQ315" s="399">
        <v>0</v>
      </c>
      <c r="DR315" s="399">
        <v>0</v>
      </c>
      <c r="DS315" s="399"/>
      <c r="DT315" s="399"/>
      <c r="DU315" s="399"/>
      <c r="DV315" s="399">
        <v>958.10564803191016</v>
      </c>
      <c r="DW315" s="399">
        <v>0</v>
      </c>
      <c r="DX315" s="399">
        <v>0</v>
      </c>
      <c r="DY315" s="399">
        <v>-187.99808000000007</v>
      </c>
      <c r="DZ315" s="399">
        <v>42.116210000000024</v>
      </c>
      <c r="EA315" s="399">
        <v>0</v>
      </c>
      <c r="EB315" s="399">
        <v>0</v>
      </c>
      <c r="EC315" s="399">
        <v>-207.13727156725929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18.766554789769177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215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317</v>
      </c>
      <c r="B316" s="399" t="s">
        <v>956</v>
      </c>
      <c r="C316" s="399" t="s">
        <v>2352</v>
      </c>
      <c r="D316" s="399" t="s">
        <v>533</v>
      </c>
      <c r="E316" s="399" t="s">
        <v>2354</v>
      </c>
      <c r="F316" s="399" t="s">
        <v>1239</v>
      </c>
      <c r="G316" s="399" t="s">
        <v>1239</v>
      </c>
      <c r="H316" s="399" t="s">
        <v>1239</v>
      </c>
      <c r="I316" s="399" t="s">
        <v>2326</v>
      </c>
      <c r="J316" s="399" t="s">
        <v>2344</v>
      </c>
      <c r="K316" s="791">
        <v>44621</v>
      </c>
      <c r="L316" s="399">
        <v>0</v>
      </c>
      <c r="M316" s="399">
        <v>0</v>
      </c>
      <c r="N316" s="399">
        <v>20.253</v>
      </c>
      <c r="O316" s="399">
        <v>20.253</v>
      </c>
      <c r="P316" s="399">
        <v>20.253</v>
      </c>
      <c r="Q316" s="399">
        <v>20.253</v>
      </c>
      <c r="R316" s="399"/>
      <c r="S316" s="399">
        <v>78.42</v>
      </c>
      <c r="T316" s="399">
        <v>171.61</v>
      </c>
      <c r="U316" s="399"/>
      <c r="V316" s="399">
        <v>5063.8575900000005</v>
      </c>
      <c r="W316" s="399">
        <v>5063.8575900000005</v>
      </c>
      <c r="X316" s="399">
        <v>5367.8551200000002</v>
      </c>
      <c r="Y316" s="399">
        <v>0</v>
      </c>
      <c r="Z316" s="399">
        <v>1065.2642642126618</v>
      </c>
      <c r="AA316" s="399">
        <v>0</v>
      </c>
      <c r="AB316" s="399">
        <v>0</v>
      </c>
      <c r="AC316" s="399">
        <v>0</v>
      </c>
      <c r="AD316" s="399">
        <v>0</v>
      </c>
      <c r="AE316" s="399">
        <v>0</v>
      </c>
      <c r="AF316" s="399">
        <v>3349.3242336431376</v>
      </c>
      <c r="AG316" s="399">
        <v>126.28468424021405</v>
      </c>
      <c r="AH316" s="399">
        <v>0</v>
      </c>
      <c r="AI316" s="399">
        <v>0</v>
      </c>
      <c r="AJ316" s="399">
        <v>0</v>
      </c>
      <c r="AK316" s="399">
        <v>0</v>
      </c>
      <c r="AL316" s="399">
        <v>189.32728757489548</v>
      </c>
      <c r="AM316" s="399"/>
      <c r="AN316" s="399">
        <v>5.3480167974944139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125.18964135990124</v>
      </c>
      <c r="BH316" s="399">
        <v>0</v>
      </c>
      <c r="BI316" s="399">
        <v>0</v>
      </c>
      <c r="BJ316" s="399">
        <v>0</v>
      </c>
      <c r="BK316" s="399">
        <v>0</v>
      </c>
      <c r="BL316" s="399">
        <v>0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>
        <v>3474.5138750030387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5367.06</v>
      </c>
      <c r="CJ316" s="399">
        <v>303.17241000000013</v>
      </c>
      <c r="CK316" s="399"/>
      <c r="CL316" s="399"/>
      <c r="CM316" s="399"/>
      <c r="CN316" s="399"/>
      <c r="CO316" s="399">
        <v>-151.89750000000001</v>
      </c>
      <c r="CP316" s="399">
        <v>455.89502999999979</v>
      </c>
      <c r="CQ316" s="399">
        <v>31</v>
      </c>
      <c r="CR316" s="399">
        <v>304.07477742033734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0</v>
      </c>
      <c r="DA316" s="399">
        <v>0</v>
      </c>
      <c r="DB316" s="399">
        <v>0</v>
      </c>
      <c r="DC316" s="399">
        <v>456.00331571148308</v>
      </c>
      <c r="DD316" s="399">
        <v>0</v>
      </c>
      <c r="DE316" s="399">
        <v>0</v>
      </c>
      <c r="DF316" s="399">
        <v>0</v>
      </c>
      <c r="DG316" s="399">
        <v>17.044301348738074</v>
      </c>
      <c r="DH316" s="399">
        <v>0</v>
      </c>
      <c r="DI316" s="399">
        <v>-146.31697991983583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-21.818760333320256</v>
      </c>
      <c r="DP316" s="399">
        <v>-0.83709938672747075</v>
      </c>
      <c r="DQ316" s="399">
        <v>0</v>
      </c>
      <c r="DR316" s="399">
        <v>0</v>
      </c>
      <c r="DS316" s="399"/>
      <c r="DT316" s="399"/>
      <c r="DU316" s="399"/>
      <c r="DV316" s="399">
        <v>0</v>
      </c>
      <c r="DW316" s="399">
        <v>0</v>
      </c>
      <c r="DX316" s="399">
        <v>0</v>
      </c>
      <c r="DY316" s="399">
        <v>-151.89750000000004</v>
      </c>
      <c r="DZ316" s="399">
        <v>455.89502999999968</v>
      </c>
      <c r="EA316" s="399">
        <v>0</v>
      </c>
      <c r="EB316" s="399">
        <v>0</v>
      </c>
      <c r="EC316" s="399">
        <v>0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203.14218821870398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215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318</v>
      </c>
      <c r="B317" s="399" t="s">
        <v>956</v>
      </c>
      <c r="C317" s="399" t="s">
        <v>2352</v>
      </c>
      <c r="D317" s="399" t="s">
        <v>533</v>
      </c>
      <c r="E317" s="399" t="s">
        <v>2354</v>
      </c>
      <c r="F317" s="399" t="s">
        <v>1239</v>
      </c>
      <c r="G317" s="399" t="s">
        <v>1239</v>
      </c>
      <c r="H317" s="399" t="s">
        <v>1239</v>
      </c>
      <c r="I317" s="399" t="s">
        <v>1239</v>
      </c>
      <c r="J317" s="399" t="s">
        <v>2344</v>
      </c>
      <c r="K317" s="791">
        <v>44621</v>
      </c>
      <c r="L317" s="399">
        <v>191</v>
      </c>
      <c r="M317" s="399">
        <v>191</v>
      </c>
      <c r="N317" s="399">
        <v>0</v>
      </c>
      <c r="O317" s="399">
        <v>0</v>
      </c>
      <c r="P317" s="399">
        <v>0</v>
      </c>
      <c r="Q317" s="399">
        <v>0</v>
      </c>
      <c r="R317" s="399">
        <v>12.58</v>
      </c>
      <c r="S317" s="399"/>
      <c r="T317" s="399"/>
      <c r="U317" s="399">
        <v>2402.7800000000002</v>
      </c>
      <c r="V317" s="399"/>
      <c r="W317" s="399">
        <v>2402.7800000000002</v>
      </c>
      <c r="X317" s="399">
        <v>2213.69</v>
      </c>
      <c r="Y317" s="399">
        <v>0</v>
      </c>
      <c r="Z317" s="399">
        <v>0</v>
      </c>
      <c r="AA317" s="399">
        <v>0</v>
      </c>
      <c r="AB317" s="399">
        <v>0</v>
      </c>
      <c r="AC317" s="399">
        <v>0</v>
      </c>
      <c r="AD317" s="399">
        <v>1265.8409296958803</v>
      </c>
      <c r="AE317" s="399">
        <v>1136.3944238529682</v>
      </c>
      <c r="AF317" s="399"/>
      <c r="AG317" s="399"/>
      <c r="AH317" s="399"/>
      <c r="AI317" s="399">
        <v>0</v>
      </c>
      <c r="AJ317" s="399">
        <v>0</v>
      </c>
      <c r="AK317" s="399">
        <v>0</v>
      </c>
      <c r="AL317" s="399">
        <v>0</v>
      </c>
      <c r="AM317" s="399"/>
      <c r="AN317" s="399">
        <v>0</v>
      </c>
      <c r="AO317" s="399">
        <v>0</v>
      </c>
      <c r="AP317" s="399">
        <v>0</v>
      </c>
      <c r="AQ317" s="399">
        <v>0</v>
      </c>
      <c r="AR317" s="399">
        <v>0</v>
      </c>
      <c r="AS317" s="399"/>
      <c r="AT317" s="399"/>
      <c r="AU317" s="399">
        <v>0</v>
      </c>
      <c r="AV317" s="399">
        <v>0</v>
      </c>
      <c r="AW317" s="399">
        <v>0</v>
      </c>
      <c r="AX317" s="399"/>
      <c r="AY317" s="399"/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/>
      <c r="BG317" s="399">
        <v>0</v>
      </c>
      <c r="BH317" s="399">
        <v>0</v>
      </c>
      <c r="BI317" s="399">
        <v>0</v>
      </c>
      <c r="BJ317" s="399">
        <v>0</v>
      </c>
      <c r="BK317" s="399">
        <v>2040.08</v>
      </c>
      <c r="BL317" s="399">
        <v>3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0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2213.69</v>
      </c>
      <c r="CJ317" s="399">
        <v>-189.1200000000008</v>
      </c>
      <c r="CK317" s="399"/>
      <c r="CL317" s="399"/>
      <c r="CM317" s="399"/>
      <c r="CN317" s="399"/>
      <c r="CO317" s="399">
        <v>-189.09000000000003</v>
      </c>
      <c r="CP317" s="399">
        <v>0</v>
      </c>
      <c r="CQ317" s="399">
        <v>31</v>
      </c>
      <c r="CR317" s="399">
        <v>57.004140007506749</v>
      </c>
      <c r="CS317" s="399">
        <v>0</v>
      </c>
      <c r="CT317" s="399">
        <v>0</v>
      </c>
      <c r="CU317" s="399">
        <v>0</v>
      </c>
      <c r="CV317" s="399">
        <v>0</v>
      </c>
      <c r="CW317" s="399"/>
      <c r="CX317" s="399"/>
      <c r="CY317" s="399"/>
      <c r="CZ317" s="399">
        <v>57.004140007506749</v>
      </c>
      <c r="DA317" s="399">
        <v>0</v>
      </c>
      <c r="DB317" s="399">
        <v>0</v>
      </c>
      <c r="DC317" s="399"/>
      <c r="DD317" s="399"/>
      <c r="DE317" s="399">
        <v>0</v>
      </c>
      <c r="DF317" s="399">
        <v>0</v>
      </c>
      <c r="DG317" s="399">
        <v>0</v>
      </c>
      <c r="DH317" s="399">
        <v>0</v>
      </c>
      <c r="DI317" s="399">
        <v>0</v>
      </c>
      <c r="DJ317" s="399"/>
      <c r="DK317" s="399">
        <v>0</v>
      </c>
      <c r="DL317" s="399">
        <v>0</v>
      </c>
      <c r="DM317" s="399"/>
      <c r="DN317" s="399">
        <v>0</v>
      </c>
      <c r="DO317" s="399">
        <v>0</v>
      </c>
      <c r="DP317" s="399">
        <v>0</v>
      </c>
      <c r="DQ317" s="399">
        <v>0</v>
      </c>
      <c r="DR317" s="399">
        <v>0</v>
      </c>
      <c r="DS317" s="399"/>
      <c r="DT317" s="399"/>
      <c r="DU317" s="399">
        <v>1136.3944238529682</v>
      </c>
      <c r="DV317" s="399"/>
      <c r="DW317" s="399">
        <v>0</v>
      </c>
      <c r="DX317" s="399">
        <v>0</v>
      </c>
      <c r="DY317" s="399">
        <v>-189.09000000000015</v>
      </c>
      <c r="DZ317" s="399"/>
      <c r="EA317" s="399">
        <v>0</v>
      </c>
      <c r="EB317" s="399"/>
      <c r="EC317" s="399">
        <v>-245.68234292812758</v>
      </c>
      <c r="ED317" s="399"/>
      <c r="EE317" s="399">
        <v>0</v>
      </c>
      <c r="EF317" s="399">
        <v>0</v>
      </c>
      <c r="EG317" s="399"/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/>
      <c r="EN317" s="399"/>
      <c r="EO317" s="399">
        <v>0</v>
      </c>
      <c r="EP317" s="399">
        <v>0</v>
      </c>
      <c r="EQ317" s="399"/>
      <c r="ER317" s="399">
        <v>0</v>
      </c>
      <c r="ES317" s="399"/>
      <c r="ET317" s="399">
        <v>0</v>
      </c>
      <c r="EU317" s="399"/>
      <c r="EV317" s="399">
        <v>215</v>
      </c>
      <c r="EW317" s="399"/>
      <c r="EX317" s="399"/>
      <c r="EY317" s="399"/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319</v>
      </c>
      <c r="B318" s="399" t="s">
        <v>956</v>
      </c>
      <c r="C318" s="399" t="s">
        <v>2343</v>
      </c>
      <c r="D318" s="399" t="s">
        <v>2355</v>
      </c>
      <c r="E318" s="399" t="s">
        <v>2356</v>
      </c>
      <c r="F318" s="399" t="s">
        <v>2357</v>
      </c>
      <c r="G318" s="399" t="s">
        <v>1239</v>
      </c>
      <c r="H318" s="399" t="s">
        <v>1239</v>
      </c>
      <c r="I318" s="399" t="s">
        <v>1239</v>
      </c>
      <c r="J318" s="399" t="s">
        <v>2344</v>
      </c>
      <c r="K318" s="791">
        <v>44621</v>
      </c>
      <c r="L318" s="399">
        <v>0</v>
      </c>
      <c r="M318" s="399">
        <v>0</v>
      </c>
      <c r="N318" s="399">
        <v>102.523</v>
      </c>
      <c r="O318" s="399">
        <v>102.523</v>
      </c>
      <c r="P318" s="399">
        <v>102.523</v>
      </c>
      <c r="Q318" s="399">
        <v>102.523</v>
      </c>
      <c r="R318" s="399"/>
      <c r="S318" s="399">
        <v>131.83000000000001</v>
      </c>
      <c r="T318" s="399">
        <v>94.39</v>
      </c>
      <c r="U318" s="399"/>
      <c r="V318" s="399">
        <v>23192.753060000003</v>
      </c>
      <c r="W318" s="399">
        <v>23192.753060000003</v>
      </c>
      <c r="X318" s="399">
        <v>23107.658969999997</v>
      </c>
      <c r="Y318" s="399">
        <v>0</v>
      </c>
      <c r="Z318" s="399">
        <v>3409.0450336536601</v>
      </c>
      <c r="AA318" s="399">
        <v>0</v>
      </c>
      <c r="AB318" s="399">
        <v>0</v>
      </c>
      <c r="AC318" s="399">
        <v>0</v>
      </c>
      <c r="AD318" s="399">
        <v>3007.4913072790014</v>
      </c>
      <c r="AE318" s="399">
        <v>4996.7761685131773</v>
      </c>
      <c r="AF318" s="399">
        <v>9325.0640706654649</v>
      </c>
      <c r="AG318" s="399">
        <v>351.5971251319661</v>
      </c>
      <c r="AH318" s="399">
        <v>0</v>
      </c>
      <c r="AI318" s="399">
        <v>0</v>
      </c>
      <c r="AJ318" s="399">
        <v>0</v>
      </c>
      <c r="AK318" s="399">
        <v>0</v>
      </c>
      <c r="AL318" s="399">
        <v>527.11799867785271</v>
      </c>
      <c r="AM318" s="399"/>
      <c r="AN318" s="399">
        <v>22.332421620133324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902.7613664129708</v>
      </c>
      <c r="BH318" s="399">
        <v>0</v>
      </c>
      <c r="BI318" s="399">
        <v>0</v>
      </c>
      <c r="BJ318" s="399">
        <v>0</v>
      </c>
      <c r="BK318" s="399">
        <v>12555.25</v>
      </c>
      <c r="BL318" s="399">
        <v>7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>
        <v>10227.825437078436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23106.982799999998</v>
      </c>
      <c r="CJ318" s="399">
        <v>-85.80025999999998</v>
      </c>
      <c r="CK318" s="399"/>
      <c r="CL318" s="399"/>
      <c r="CM318" s="399"/>
      <c r="CN318" s="399"/>
      <c r="CO318" s="399">
        <v>-1354.3288300000008</v>
      </c>
      <c r="CP318" s="399">
        <v>1269.2347399999994</v>
      </c>
      <c r="CQ318" s="399">
        <v>31</v>
      </c>
      <c r="CR318" s="399">
        <v>995.44744946805804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135.43522849484543</v>
      </c>
      <c r="DA318" s="399">
        <v>0</v>
      </c>
      <c r="DB318" s="399">
        <v>0</v>
      </c>
      <c r="DC318" s="399">
        <v>1269.5874865540318</v>
      </c>
      <c r="DD318" s="399">
        <v>0</v>
      </c>
      <c r="DE318" s="399">
        <v>0</v>
      </c>
      <c r="DF318" s="399">
        <v>0</v>
      </c>
      <c r="DG318" s="399">
        <v>122.9090251237858</v>
      </c>
      <c r="DH318" s="399">
        <v>0</v>
      </c>
      <c r="DI318" s="399">
        <v>-468.24172225807979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-60.746981736490682</v>
      </c>
      <c r="DP318" s="399">
        <v>-3.4955867100326152</v>
      </c>
      <c r="DQ318" s="399">
        <v>0</v>
      </c>
      <c r="DR318" s="399">
        <v>0</v>
      </c>
      <c r="DS318" s="399"/>
      <c r="DT318" s="399"/>
      <c r="DU318" s="399"/>
      <c r="DV318" s="399">
        <v>4996.7761685131773</v>
      </c>
      <c r="DW318" s="399">
        <v>0</v>
      </c>
      <c r="DX318" s="399">
        <v>0</v>
      </c>
      <c r="DY318" s="399">
        <v>-1354.3288300000022</v>
      </c>
      <c r="DZ318" s="399">
        <v>1269.2347399999999</v>
      </c>
      <c r="EA318" s="399">
        <v>0</v>
      </c>
      <c r="EB318" s="399">
        <v>0</v>
      </c>
      <c r="EC318" s="399">
        <v>-1080.2760471188108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650.09302493062762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215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320</v>
      </c>
      <c r="B319" s="399" t="s">
        <v>956</v>
      </c>
      <c r="C319" s="399" t="s">
        <v>2343</v>
      </c>
      <c r="D319" s="399" t="s">
        <v>1826</v>
      </c>
      <c r="E319" s="399" t="s">
        <v>921</v>
      </c>
      <c r="F319" s="399" t="s">
        <v>2358</v>
      </c>
      <c r="G319" s="399" t="s">
        <v>1239</v>
      </c>
      <c r="H319" s="399" t="s">
        <v>1239</v>
      </c>
      <c r="I319" s="399" t="s">
        <v>1239</v>
      </c>
      <c r="J319" s="399" t="s">
        <v>2344</v>
      </c>
      <c r="K319" s="791">
        <v>44621</v>
      </c>
      <c r="L319" s="399">
        <v>0</v>
      </c>
      <c r="M319" s="399">
        <v>0</v>
      </c>
      <c r="N319" s="399">
        <v>52.078000000000003</v>
      </c>
      <c r="O319" s="399">
        <v>48.953319999999998</v>
      </c>
      <c r="P319" s="399">
        <v>52.078000000000003</v>
      </c>
      <c r="Q319" s="399">
        <v>48.953319999999998</v>
      </c>
      <c r="R319" s="399"/>
      <c r="S319" s="399">
        <v>239.69</v>
      </c>
      <c r="T319" s="399">
        <v>171.61</v>
      </c>
      <c r="U319" s="399"/>
      <c r="V319" s="399">
        <v>21419.681400000001</v>
      </c>
      <c r="W319" s="399">
        <v>21419.681400000001</v>
      </c>
      <c r="X319" s="399">
        <v>21341.04362</v>
      </c>
      <c r="Y319" s="399">
        <v>0</v>
      </c>
      <c r="Z319" s="399">
        <v>3148.4952336657952</v>
      </c>
      <c r="AA319" s="399">
        <v>0</v>
      </c>
      <c r="AB319" s="399">
        <v>0</v>
      </c>
      <c r="AC319" s="399">
        <v>0</v>
      </c>
      <c r="AD319" s="399">
        <v>2777.6318449248342</v>
      </c>
      <c r="AE319" s="399">
        <v>4614.87771353886</v>
      </c>
      <c r="AF319" s="399">
        <v>8612.3590302506964</v>
      </c>
      <c r="AG319" s="399">
        <v>324.72491906689714</v>
      </c>
      <c r="AH319" s="399">
        <v>0</v>
      </c>
      <c r="AI319" s="399">
        <v>0</v>
      </c>
      <c r="AJ319" s="399">
        <v>0</v>
      </c>
      <c r="AK319" s="399">
        <v>0</v>
      </c>
      <c r="AL319" s="399">
        <v>486.83091306598567</v>
      </c>
      <c r="AM319" s="399"/>
      <c r="AN319" s="399">
        <v>20.625577642148638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833.76424518586566</v>
      </c>
      <c r="BH319" s="399">
        <v>0</v>
      </c>
      <c r="BI319" s="399">
        <v>0</v>
      </c>
      <c r="BJ319" s="399">
        <v>0</v>
      </c>
      <c r="BK319" s="399">
        <v>9578.34</v>
      </c>
      <c r="BL319" s="399">
        <v>40</v>
      </c>
      <c r="BM319" s="399"/>
      <c r="BN319" s="399"/>
      <c r="BO319" s="399"/>
      <c r="BP319" s="399"/>
      <c r="BQ319" s="399">
        <v>1280.4626172000021</v>
      </c>
      <c r="BR319" s="399"/>
      <c r="BS319" s="399"/>
      <c r="BT319" s="399"/>
      <c r="BU319" s="399"/>
      <c r="BV319" s="399">
        <v>9446.1232754365628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20059.220500000003</v>
      </c>
      <c r="CJ319" s="399">
        <v>-75.310015999995812</v>
      </c>
      <c r="CK319" s="399"/>
      <c r="CL319" s="399"/>
      <c r="CM319" s="399"/>
      <c r="CN319" s="399"/>
      <c r="CO319" s="399">
        <v>-1250.9135600000006</v>
      </c>
      <c r="CP319" s="399">
        <v>1172.2757799999995</v>
      </c>
      <c r="CQ319" s="399">
        <v>31</v>
      </c>
      <c r="CR319" s="399">
        <v>919.36642639650017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125.08405350382054</v>
      </c>
      <c r="DA319" s="399">
        <v>0</v>
      </c>
      <c r="DB319" s="399">
        <v>0</v>
      </c>
      <c r="DC319" s="399">
        <v>1172.5542228619252</v>
      </c>
      <c r="DD319" s="399">
        <v>0</v>
      </c>
      <c r="DE319" s="399">
        <v>0</v>
      </c>
      <c r="DF319" s="399">
        <v>0</v>
      </c>
      <c r="DG319" s="399">
        <v>113.51521495214661</v>
      </c>
      <c r="DH319" s="399">
        <v>0</v>
      </c>
      <c r="DI319" s="399">
        <v>-432.45448979973935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-56.104152502772592</v>
      </c>
      <c r="DP319" s="399">
        <v>-3.2284226188727416</v>
      </c>
      <c r="DQ319" s="399">
        <v>0</v>
      </c>
      <c r="DR319" s="399">
        <v>0</v>
      </c>
      <c r="DS319" s="399"/>
      <c r="DT319" s="399"/>
      <c r="DU319" s="399"/>
      <c r="DV319" s="399">
        <v>4614.87771353886</v>
      </c>
      <c r="DW319" s="399">
        <v>0</v>
      </c>
      <c r="DX319" s="399">
        <v>0</v>
      </c>
      <c r="DY319" s="399">
        <v>-1250.9135600000009</v>
      </c>
      <c r="DZ319" s="399">
        <v>1172.2757799999999</v>
      </c>
      <c r="EA319" s="399">
        <v>0</v>
      </c>
      <c r="EB319" s="399">
        <v>0</v>
      </c>
      <c r="EC319" s="399">
        <v>-997.71166171765981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600.40708474882945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215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321</v>
      </c>
      <c r="B320" s="399" t="s">
        <v>956</v>
      </c>
      <c r="C320" s="399" t="s">
        <v>2343</v>
      </c>
      <c r="D320" s="399" t="s">
        <v>1826</v>
      </c>
      <c r="E320" s="399" t="s">
        <v>2359</v>
      </c>
      <c r="F320" s="399" t="s">
        <v>1239</v>
      </c>
      <c r="G320" s="399" t="s">
        <v>1239</v>
      </c>
      <c r="H320" s="399" t="s">
        <v>1239</v>
      </c>
      <c r="I320" s="399" t="s">
        <v>1239</v>
      </c>
      <c r="J320" s="399" t="s">
        <v>2344</v>
      </c>
      <c r="K320" s="791">
        <v>44621</v>
      </c>
      <c r="L320" s="399">
        <v>0</v>
      </c>
      <c r="M320" s="399">
        <v>0</v>
      </c>
      <c r="N320" s="399">
        <v>10.427</v>
      </c>
      <c r="O320" s="399">
        <v>10.427</v>
      </c>
      <c r="P320" s="399">
        <v>10.427</v>
      </c>
      <c r="Q320" s="399">
        <v>10.427</v>
      </c>
      <c r="R320" s="399"/>
      <c r="S320" s="399">
        <v>239.69</v>
      </c>
      <c r="T320" s="399">
        <v>171.61</v>
      </c>
      <c r="U320" s="399"/>
      <c r="V320" s="399">
        <v>4288.6251000000002</v>
      </c>
      <c r="W320" s="399">
        <v>4288.6251000000002</v>
      </c>
      <c r="X320" s="399">
        <v>4272.88033</v>
      </c>
      <c r="Y320" s="399">
        <v>0</v>
      </c>
      <c r="Z320" s="399">
        <v>630.3882599453367</v>
      </c>
      <c r="AA320" s="399">
        <v>0</v>
      </c>
      <c r="AB320" s="399">
        <v>0</v>
      </c>
      <c r="AC320" s="399">
        <v>0</v>
      </c>
      <c r="AD320" s="399">
        <v>556.13439930548873</v>
      </c>
      <c r="AE320" s="399">
        <v>923.98575058699817</v>
      </c>
      <c r="AF320" s="399">
        <v>1724.3570722459388</v>
      </c>
      <c r="AG320" s="399">
        <v>65.016066882571067</v>
      </c>
      <c r="AH320" s="399">
        <v>0</v>
      </c>
      <c r="AI320" s="399">
        <v>0</v>
      </c>
      <c r="AJ320" s="399">
        <v>0</v>
      </c>
      <c r="AK320" s="399">
        <v>0</v>
      </c>
      <c r="AL320" s="399">
        <v>97.472751076059595</v>
      </c>
      <c r="AM320" s="399"/>
      <c r="AN320" s="399">
        <v>4.1296305171988905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166.93536204449134</v>
      </c>
      <c r="BH320" s="399">
        <v>0</v>
      </c>
      <c r="BI320" s="399">
        <v>0</v>
      </c>
      <c r="BJ320" s="399">
        <v>0</v>
      </c>
      <c r="BK320" s="399">
        <v>1917.8</v>
      </c>
      <c r="BL320" s="399">
        <v>4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1891.29243429043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4274.1097</v>
      </c>
      <c r="CJ320" s="399">
        <v>-14.545400000000882</v>
      </c>
      <c r="CK320" s="399"/>
      <c r="CL320" s="399"/>
      <c r="CM320" s="399"/>
      <c r="CN320" s="399"/>
      <c r="CO320" s="399">
        <v>-250.4565400000001</v>
      </c>
      <c r="CP320" s="399">
        <v>234.71176999999989</v>
      </c>
      <c r="CQ320" s="399">
        <v>31</v>
      </c>
      <c r="CR320" s="399">
        <v>184.07453681086781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25.044191902230068</v>
      </c>
      <c r="DA320" s="399">
        <v>0</v>
      </c>
      <c r="DB320" s="399">
        <v>0</v>
      </c>
      <c r="DC320" s="399">
        <v>234.76751952420022</v>
      </c>
      <c r="DD320" s="399">
        <v>0</v>
      </c>
      <c r="DE320" s="399">
        <v>0</v>
      </c>
      <c r="DF320" s="399">
        <v>0</v>
      </c>
      <c r="DG320" s="399">
        <v>22.727891745190533</v>
      </c>
      <c r="DH320" s="399">
        <v>0</v>
      </c>
      <c r="DI320" s="399">
        <v>-86.585563292405254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-11.233111835062971</v>
      </c>
      <c r="DP320" s="399">
        <v>-0.64639123328442061</v>
      </c>
      <c r="DQ320" s="399">
        <v>0</v>
      </c>
      <c r="DR320" s="399">
        <v>0</v>
      </c>
      <c r="DS320" s="399"/>
      <c r="DT320" s="399"/>
      <c r="DU320" s="399"/>
      <c r="DV320" s="399">
        <v>923.98575058699817</v>
      </c>
      <c r="DW320" s="399">
        <v>0</v>
      </c>
      <c r="DX320" s="399">
        <v>0</v>
      </c>
      <c r="DY320" s="399">
        <v>-250.45654000000013</v>
      </c>
      <c r="DZ320" s="399">
        <v>234.71176999999989</v>
      </c>
      <c r="EA320" s="399">
        <v>0</v>
      </c>
      <c r="EB320" s="399">
        <v>0</v>
      </c>
      <c r="EC320" s="399">
        <v>-199.76073383636162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120.21284751096518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215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322</v>
      </c>
      <c r="B321" s="399" t="s">
        <v>956</v>
      </c>
      <c r="C321" s="399" t="s">
        <v>2343</v>
      </c>
      <c r="D321" s="399" t="s">
        <v>2353</v>
      </c>
      <c r="E321" s="399" t="s">
        <v>894</v>
      </c>
      <c r="F321" s="399" t="s">
        <v>2360</v>
      </c>
      <c r="G321" s="399" t="s">
        <v>2361</v>
      </c>
      <c r="H321" s="399" t="s">
        <v>1239</v>
      </c>
      <c r="I321" s="399" t="s">
        <v>1239</v>
      </c>
      <c r="J321" s="399" t="s">
        <v>2344</v>
      </c>
      <c r="K321" s="791">
        <v>44621</v>
      </c>
      <c r="L321" s="399">
        <v>0</v>
      </c>
      <c r="M321" s="399">
        <v>0</v>
      </c>
      <c r="N321" s="399">
        <v>0</v>
      </c>
      <c r="O321" s="399">
        <v>0</v>
      </c>
      <c r="P321" s="399">
        <v>0</v>
      </c>
      <c r="Q321" s="399">
        <v>0</v>
      </c>
      <c r="R321" s="399"/>
      <c r="S321" s="399"/>
      <c r="T321" s="399"/>
      <c r="U321" s="399"/>
      <c r="V321" s="399"/>
      <c r="W321" s="399"/>
      <c r="X321" s="399"/>
      <c r="Y321" s="399"/>
      <c r="Z321" s="399"/>
      <c r="AA321" s="399">
        <v>0</v>
      </c>
      <c r="AB321" s="399"/>
      <c r="AC321" s="399"/>
      <c r="AD321" s="399"/>
      <c r="AE321" s="399"/>
      <c r="AF321" s="399"/>
      <c r="AG321" s="399"/>
      <c r="AH321" s="399"/>
      <c r="AI321" s="399"/>
      <c r="AJ321" s="399"/>
      <c r="AK321" s="399"/>
      <c r="AL321" s="399"/>
      <c r="AM321" s="399"/>
      <c r="AN321" s="399"/>
      <c r="AO321" s="399"/>
      <c r="AP321" s="399"/>
      <c r="AQ321" s="399"/>
      <c r="AR321" s="399"/>
      <c r="AS321" s="399"/>
      <c r="AT321" s="399"/>
      <c r="AU321" s="399"/>
      <c r="AV321" s="399"/>
      <c r="AW321" s="399"/>
      <c r="AX321" s="399"/>
      <c r="AY321" s="399"/>
      <c r="AZ321" s="399">
        <v>0</v>
      </c>
      <c r="BA321" s="399"/>
      <c r="BB321" s="399"/>
      <c r="BC321" s="399"/>
      <c r="BD321" s="399"/>
      <c r="BE321" s="399"/>
      <c r="BF321" s="399"/>
      <c r="BG321" s="399"/>
      <c r="BH321" s="399"/>
      <c r="BI321" s="399">
        <v>0</v>
      </c>
      <c r="BJ321" s="399">
        <v>0</v>
      </c>
      <c r="BK321" s="399">
        <v>7.52</v>
      </c>
      <c r="BL321" s="399">
        <v>1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/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/>
      <c r="CJ321" s="399">
        <v>-0.03</v>
      </c>
      <c r="CK321" s="399"/>
      <c r="CL321" s="399"/>
      <c r="CM321" s="399"/>
      <c r="CN321" s="399"/>
      <c r="CO321" s="399">
        <v>0</v>
      </c>
      <c r="CP321" s="399">
        <v>0</v>
      </c>
      <c r="CQ321" s="399">
        <v>31</v>
      </c>
      <c r="CR321" s="399"/>
      <c r="CS321" s="399"/>
      <c r="CT321" s="399"/>
      <c r="CU321" s="399"/>
      <c r="CV321" s="399"/>
      <c r="CW321" s="399"/>
      <c r="CX321" s="399"/>
      <c r="CY321" s="399"/>
      <c r="CZ321" s="399"/>
      <c r="DA321" s="399"/>
      <c r="DB321" s="399"/>
      <c r="DC321" s="399"/>
      <c r="DD321" s="399"/>
      <c r="DE321" s="399"/>
      <c r="DF321" s="399"/>
      <c r="DG321" s="399"/>
      <c r="DH321" s="399"/>
      <c r="DI321" s="399"/>
      <c r="DJ321" s="399"/>
      <c r="DK321" s="399">
        <v>0</v>
      </c>
      <c r="DL321" s="399"/>
      <c r="DM321" s="399"/>
      <c r="DN321" s="399"/>
      <c r="DO321" s="399"/>
      <c r="DP321" s="399"/>
      <c r="DQ321" s="399"/>
      <c r="DR321" s="399"/>
      <c r="DS321" s="399"/>
      <c r="DT321" s="399"/>
      <c r="DU321" s="399"/>
      <c r="DV321" s="399"/>
      <c r="DW321" s="399"/>
      <c r="DX321" s="399"/>
      <c r="DY321" s="399"/>
      <c r="DZ321" s="399"/>
      <c r="EA321" s="399"/>
      <c r="EB321" s="399"/>
      <c r="EC321" s="399"/>
      <c r="ED321" s="399"/>
      <c r="EE321" s="399"/>
      <c r="EF321" s="399"/>
      <c r="EG321" s="399"/>
      <c r="EH321" s="399"/>
      <c r="EI321" s="399"/>
      <c r="EJ321" s="399"/>
      <c r="EK321" s="399"/>
      <c r="EL321" s="399"/>
      <c r="EM321" s="399"/>
      <c r="EN321" s="399"/>
      <c r="EO321" s="399"/>
      <c r="EP321" s="399"/>
      <c r="EQ321" s="399"/>
      <c r="ER321" s="399"/>
      <c r="ES321" s="399"/>
      <c r="ET321" s="399"/>
      <c r="EU321" s="399"/>
      <c r="EV321" s="399">
        <v>215</v>
      </c>
      <c r="EW321" s="399"/>
      <c r="EX321" s="399"/>
      <c r="EY321" s="399"/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323</v>
      </c>
      <c r="B322" s="399" t="s">
        <v>956</v>
      </c>
      <c r="C322" s="399" t="s">
        <v>2343</v>
      </c>
      <c r="D322" s="399" t="s">
        <v>2353</v>
      </c>
      <c r="E322" s="399" t="s">
        <v>894</v>
      </c>
      <c r="F322" s="399" t="s">
        <v>2360</v>
      </c>
      <c r="G322" s="399" t="s">
        <v>2361</v>
      </c>
      <c r="H322" s="399" t="s">
        <v>1239</v>
      </c>
      <c r="I322" s="399" t="s">
        <v>1239</v>
      </c>
      <c r="J322" s="399" t="s">
        <v>2344</v>
      </c>
      <c r="K322" s="791">
        <v>44621</v>
      </c>
      <c r="L322" s="399">
        <v>0</v>
      </c>
      <c r="M322" s="399">
        <v>0</v>
      </c>
      <c r="N322" s="399">
        <v>0.1</v>
      </c>
      <c r="O322" s="399">
        <v>0.1</v>
      </c>
      <c r="P322" s="399">
        <v>0.1</v>
      </c>
      <c r="Q322" s="399">
        <v>0.1</v>
      </c>
      <c r="R322" s="399"/>
      <c r="S322" s="399">
        <v>239.69</v>
      </c>
      <c r="T322" s="399">
        <v>171.61</v>
      </c>
      <c r="U322" s="399"/>
      <c r="V322" s="399">
        <v>41.13</v>
      </c>
      <c r="W322" s="399">
        <v>41.13</v>
      </c>
      <c r="X322" s="399">
        <v>40.978999999999999</v>
      </c>
      <c r="Y322" s="399">
        <v>0</v>
      </c>
      <c r="Z322" s="399">
        <v>6.0457299313832999</v>
      </c>
      <c r="AA322" s="399">
        <v>0</v>
      </c>
      <c r="AB322" s="399">
        <v>0</v>
      </c>
      <c r="AC322" s="399">
        <v>0</v>
      </c>
      <c r="AD322" s="399">
        <v>5.3335993028242905</v>
      </c>
      <c r="AE322" s="399">
        <v>8.8614726247913893</v>
      </c>
      <c r="AF322" s="399">
        <v>16.537422770173002</v>
      </c>
      <c r="AG322" s="399">
        <v>0.62353569466357606</v>
      </c>
      <c r="AH322" s="399">
        <v>0</v>
      </c>
      <c r="AI322" s="399">
        <v>0</v>
      </c>
      <c r="AJ322" s="399">
        <v>0</v>
      </c>
      <c r="AK322" s="399">
        <v>0</v>
      </c>
      <c r="AL322" s="399">
        <v>0.9348110777410531</v>
      </c>
      <c r="AM322" s="399"/>
      <c r="AN322" s="399">
        <v>3.9605164641784707E-2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1.6009912922651901</v>
      </c>
      <c r="BH322" s="399">
        <v>0</v>
      </c>
      <c r="BI322" s="399">
        <v>0</v>
      </c>
      <c r="BJ322" s="399">
        <v>0</v>
      </c>
      <c r="BK322" s="399">
        <v>0</v>
      </c>
      <c r="BL322" s="399">
        <v>0</v>
      </c>
      <c r="BM322" s="399"/>
      <c r="BN322" s="399"/>
      <c r="BO322" s="399"/>
      <c r="BP322" s="399"/>
      <c r="BQ322" s="399"/>
      <c r="BR322" s="399">
        <v>4.9169999999999989</v>
      </c>
      <c r="BS322" s="399"/>
      <c r="BT322" s="399"/>
      <c r="BU322" s="399"/>
      <c r="BV322" s="399">
        <v>18.138414062438191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36.061999999999998</v>
      </c>
      <c r="CJ322" s="399">
        <v>-0.16300000000001091</v>
      </c>
      <c r="CK322" s="399"/>
      <c r="CL322" s="399"/>
      <c r="CM322" s="399"/>
      <c r="CN322" s="399"/>
      <c r="CO322" s="399">
        <v>-2.402000000000001</v>
      </c>
      <c r="CP322" s="399">
        <v>2.250999999999999</v>
      </c>
      <c r="CQ322" s="399">
        <v>31</v>
      </c>
      <c r="CR322" s="399">
        <v>1.7653643119868505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0.24018597777145967</v>
      </c>
      <c r="DA322" s="399">
        <v>0</v>
      </c>
      <c r="DB322" s="399">
        <v>0</v>
      </c>
      <c r="DC322" s="399">
        <v>2.2515346650445984</v>
      </c>
      <c r="DD322" s="399">
        <v>0</v>
      </c>
      <c r="DE322" s="399">
        <v>0</v>
      </c>
      <c r="DF322" s="399">
        <v>0</v>
      </c>
      <c r="DG322" s="399">
        <v>0.21797153299310001</v>
      </c>
      <c r="DH322" s="399">
        <v>0</v>
      </c>
      <c r="DI322" s="399">
        <v>-0.83039765313518021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-0.10773100446018002</v>
      </c>
      <c r="DP322" s="399">
        <v>-6.1992062269533091E-3</v>
      </c>
      <c r="DQ322" s="399">
        <v>0</v>
      </c>
      <c r="DR322" s="399">
        <v>0</v>
      </c>
      <c r="DS322" s="399"/>
      <c r="DT322" s="399"/>
      <c r="DU322" s="399"/>
      <c r="DV322" s="399">
        <v>8.8614726247913893</v>
      </c>
      <c r="DW322" s="399">
        <v>0</v>
      </c>
      <c r="DX322" s="399">
        <v>0</v>
      </c>
      <c r="DY322" s="399">
        <v>-2.402000000000001</v>
      </c>
      <c r="DZ322" s="399">
        <v>2.2510000000000012</v>
      </c>
      <c r="EA322" s="399">
        <v>0</v>
      </c>
      <c r="EB322" s="399">
        <v>0</v>
      </c>
      <c r="EC322" s="399">
        <v>-1.915802568680939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1.1528996596429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215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325</v>
      </c>
      <c r="B323" s="399" t="s">
        <v>956</v>
      </c>
      <c r="C323" s="399" t="s">
        <v>2343</v>
      </c>
      <c r="D323" s="399" t="s">
        <v>2353</v>
      </c>
      <c r="E323" s="399" t="s">
        <v>894</v>
      </c>
      <c r="F323" s="399" t="s">
        <v>2363</v>
      </c>
      <c r="G323" s="399" t="s">
        <v>2361</v>
      </c>
      <c r="H323" s="399" t="s">
        <v>1239</v>
      </c>
      <c r="I323" s="399" t="s">
        <v>1239</v>
      </c>
      <c r="J323" s="399" t="s">
        <v>2344</v>
      </c>
      <c r="K323" s="791">
        <v>44621</v>
      </c>
      <c r="L323" s="399">
        <v>0</v>
      </c>
      <c r="M323" s="399">
        <v>0</v>
      </c>
      <c r="N323" s="399">
        <v>0</v>
      </c>
      <c r="O323" s="399">
        <v>0</v>
      </c>
      <c r="P323" s="399">
        <v>0</v>
      </c>
      <c r="Q323" s="399">
        <v>0</v>
      </c>
      <c r="R323" s="399"/>
      <c r="S323" s="399"/>
      <c r="T323" s="399"/>
      <c r="U323" s="399"/>
      <c r="V323" s="399"/>
      <c r="W323" s="399"/>
      <c r="X323" s="399"/>
      <c r="Y323" s="399"/>
      <c r="Z323" s="399"/>
      <c r="AA323" s="399">
        <v>0</v>
      </c>
      <c r="AB323" s="399"/>
      <c r="AC323" s="399"/>
      <c r="AD323" s="399"/>
      <c r="AE323" s="399"/>
      <c r="AF323" s="399"/>
      <c r="AG323" s="399"/>
      <c r="AH323" s="399"/>
      <c r="AI323" s="399"/>
      <c r="AJ323" s="399"/>
      <c r="AK323" s="399"/>
      <c r="AL323" s="399"/>
      <c r="AM323" s="399"/>
      <c r="AN323" s="399"/>
      <c r="AO323" s="399"/>
      <c r="AP323" s="399"/>
      <c r="AQ323" s="399"/>
      <c r="AR323" s="399"/>
      <c r="AS323" s="399"/>
      <c r="AT323" s="399"/>
      <c r="AU323" s="399"/>
      <c r="AV323" s="399"/>
      <c r="AW323" s="399"/>
      <c r="AX323" s="399"/>
      <c r="AY323" s="399"/>
      <c r="AZ323" s="399">
        <v>0</v>
      </c>
      <c r="BA323" s="399"/>
      <c r="BB323" s="399"/>
      <c r="BC323" s="399"/>
      <c r="BD323" s="399"/>
      <c r="BE323" s="399"/>
      <c r="BF323" s="399"/>
      <c r="BG323" s="399"/>
      <c r="BH323" s="399"/>
      <c r="BI323" s="399">
        <v>0</v>
      </c>
      <c r="BJ323" s="399">
        <v>0</v>
      </c>
      <c r="BK323" s="399">
        <v>24456.79</v>
      </c>
      <c r="BL323" s="399">
        <v>21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/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/>
      <c r="CJ323" s="399">
        <v>-0.03</v>
      </c>
      <c r="CK323" s="399"/>
      <c r="CL323" s="399"/>
      <c r="CM323" s="399"/>
      <c r="CN323" s="399"/>
      <c r="CO323" s="399">
        <v>0</v>
      </c>
      <c r="CP323" s="399">
        <v>0</v>
      </c>
      <c r="CQ323" s="399">
        <v>31</v>
      </c>
      <c r="CR323" s="399"/>
      <c r="CS323" s="399"/>
      <c r="CT323" s="399"/>
      <c r="CU323" s="399"/>
      <c r="CV323" s="399"/>
      <c r="CW323" s="399"/>
      <c r="CX323" s="399"/>
      <c r="CY323" s="399"/>
      <c r="CZ323" s="399"/>
      <c r="DA323" s="399"/>
      <c r="DB323" s="399"/>
      <c r="DC323" s="399"/>
      <c r="DD323" s="399"/>
      <c r="DE323" s="399"/>
      <c r="DF323" s="399"/>
      <c r="DG323" s="399"/>
      <c r="DH323" s="399"/>
      <c r="DI323" s="399"/>
      <c r="DJ323" s="399"/>
      <c r="DK323" s="399">
        <v>0</v>
      </c>
      <c r="DL323" s="399"/>
      <c r="DM323" s="399"/>
      <c r="DN323" s="399"/>
      <c r="DO323" s="399"/>
      <c r="DP323" s="399"/>
      <c r="DQ323" s="399"/>
      <c r="DR323" s="399"/>
      <c r="DS323" s="399"/>
      <c r="DT323" s="399"/>
      <c r="DU323" s="399"/>
      <c r="DV323" s="399"/>
      <c r="DW323" s="399"/>
      <c r="DX323" s="399"/>
      <c r="DY323" s="399"/>
      <c r="DZ323" s="399"/>
      <c r="EA323" s="399"/>
      <c r="EB323" s="399"/>
      <c r="EC323" s="399"/>
      <c r="ED323" s="399"/>
      <c r="EE323" s="399"/>
      <c r="EF323" s="399"/>
      <c r="EG323" s="399"/>
      <c r="EH323" s="399"/>
      <c r="EI323" s="399"/>
      <c r="EJ323" s="399"/>
      <c r="EK323" s="399"/>
      <c r="EL323" s="399"/>
      <c r="EM323" s="399"/>
      <c r="EN323" s="399"/>
      <c r="EO323" s="399"/>
      <c r="EP323" s="399"/>
      <c r="EQ323" s="399"/>
      <c r="ER323" s="399"/>
      <c r="ES323" s="399"/>
      <c r="ET323" s="399"/>
      <c r="EU323" s="399"/>
      <c r="EV323" s="399">
        <v>215</v>
      </c>
      <c r="EW323" s="399"/>
      <c r="EX323" s="399"/>
      <c r="EY323" s="399"/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326</v>
      </c>
      <c r="B324" s="399" t="s">
        <v>2346</v>
      </c>
      <c r="C324" s="399" t="s">
        <v>2343</v>
      </c>
      <c r="D324" s="399" t="s">
        <v>2353</v>
      </c>
      <c r="E324" s="399" t="s">
        <v>894</v>
      </c>
      <c r="F324" s="399" t="s">
        <v>2363</v>
      </c>
      <c r="G324" s="399" t="s">
        <v>2361</v>
      </c>
      <c r="H324" s="399" t="s">
        <v>1239</v>
      </c>
      <c r="I324" s="399" t="s">
        <v>1239</v>
      </c>
      <c r="J324" s="399" t="s">
        <v>2344</v>
      </c>
      <c r="K324" s="791">
        <v>44621</v>
      </c>
      <c r="L324" s="399">
        <v>0</v>
      </c>
      <c r="M324" s="399">
        <v>0</v>
      </c>
      <c r="N324" s="399">
        <v>0</v>
      </c>
      <c r="O324" s="399">
        <v>0</v>
      </c>
      <c r="P324" s="399">
        <v>0</v>
      </c>
      <c r="Q324" s="399">
        <v>0</v>
      </c>
      <c r="R324" s="399"/>
      <c r="S324" s="399"/>
      <c r="T324" s="399"/>
      <c r="U324" s="399"/>
      <c r="V324" s="399"/>
      <c r="W324" s="399"/>
      <c r="X324" s="399"/>
      <c r="Y324" s="399"/>
      <c r="Z324" s="399"/>
      <c r="AA324" s="399">
        <v>0</v>
      </c>
      <c r="AB324" s="399"/>
      <c r="AC324" s="399"/>
      <c r="AD324" s="399"/>
      <c r="AE324" s="399"/>
      <c r="AF324" s="399"/>
      <c r="AG324" s="399"/>
      <c r="AH324" s="399"/>
      <c r="AI324" s="399"/>
      <c r="AJ324" s="399"/>
      <c r="AK324" s="399"/>
      <c r="AL324" s="399"/>
      <c r="AM324" s="399"/>
      <c r="AN324" s="399"/>
      <c r="AO324" s="399"/>
      <c r="AP324" s="399"/>
      <c r="AQ324" s="399"/>
      <c r="AR324" s="399"/>
      <c r="AS324" s="399"/>
      <c r="AT324" s="399"/>
      <c r="AU324" s="399"/>
      <c r="AV324" s="399"/>
      <c r="AW324" s="399"/>
      <c r="AX324" s="399"/>
      <c r="AY324" s="399"/>
      <c r="AZ324" s="399">
        <v>0</v>
      </c>
      <c r="BA324" s="399"/>
      <c r="BB324" s="399"/>
      <c r="BC324" s="399"/>
      <c r="BD324" s="399"/>
      <c r="BE324" s="399"/>
      <c r="BF324" s="399"/>
      <c r="BG324" s="399"/>
      <c r="BH324" s="399"/>
      <c r="BI324" s="399">
        <v>0</v>
      </c>
      <c r="BJ324" s="399">
        <v>0</v>
      </c>
      <c r="BK324" s="399">
        <v>522.67999999999995</v>
      </c>
      <c r="BL324" s="399">
        <v>1</v>
      </c>
      <c r="BM324" s="399"/>
      <c r="BN324" s="399"/>
      <c r="BO324" s="399"/>
      <c r="BP324" s="399"/>
      <c r="BQ324" s="399"/>
      <c r="BR324" s="399"/>
      <c r="BS324" s="399"/>
      <c r="BT324" s="399"/>
      <c r="BU324" s="399"/>
      <c r="BV324" s="399"/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/>
      <c r="CJ324" s="399">
        <v>-0.03</v>
      </c>
      <c r="CK324" s="399"/>
      <c r="CL324" s="399"/>
      <c r="CM324" s="399"/>
      <c r="CN324" s="399"/>
      <c r="CO324" s="399">
        <v>0</v>
      </c>
      <c r="CP324" s="399">
        <v>0</v>
      </c>
      <c r="CQ324" s="399">
        <v>31</v>
      </c>
      <c r="CR324" s="399"/>
      <c r="CS324" s="399"/>
      <c r="CT324" s="399"/>
      <c r="CU324" s="399"/>
      <c r="CV324" s="399"/>
      <c r="CW324" s="399"/>
      <c r="CX324" s="399"/>
      <c r="CY324" s="399"/>
      <c r="CZ324" s="399"/>
      <c r="DA324" s="399"/>
      <c r="DB324" s="399"/>
      <c r="DC324" s="399"/>
      <c r="DD324" s="399"/>
      <c r="DE324" s="399"/>
      <c r="DF324" s="399"/>
      <c r="DG324" s="399"/>
      <c r="DH324" s="399"/>
      <c r="DI324" s="399"/>
      <c r="DJ324" s="399"/>
      <c r="DK324" s="399">
        <v>0</v>
      </c>
      <c r="DL324" s="399"/>
      <c r="DM324" s="399"/>
      <c r="DN324" s="399"/>
      <c r="DO324" s="399"/>
      <c r="DP324" s="399"/>
      <c r="DQ324" s="399"/>
      <c r="DR324" s="399"/>
      <c r="DS324" s="399"/>
      <c r="DT324" s="399"/>
      <c r="DU324" s="399"/>
      <c r="DV324" s="399"/>
      <c r="DW324" s="399"/>
      <c r="DX324" s="399"/>
      <c r="DY324" s="399"/>
      <c r="DZ324" s="399"/>
      <c r="EA324" s="399"/>
      <c r="EB324" s="399"/>
      <c r="EC324" s="399"/>
      <c r="ED324" s="399"/>
      <c r="EE324" s="399"/>
      <c r="EF324" s="399"/>
      <c r="EG324" s="399"/>
      <c r="EH324" s="399"/>
      <c r="EI324" s="399"/>
      <c r="EJ324" s="399"/>
      <c r="EK324" s="399"/>
      <c r="EL324" s="399"/>
      <c r="EM324" s="399"/>
      <c r="EN324" s="399"/>
      <c r="EO324" s="399"/>
      <c r="EP324" s="399"/>
      <c r="EQ324" s="399"/>
      <c r="ER324" s="399"/>
      <c r="ES324" s="399"/>
      <c r="ET324" s="399"/>
      <c r="EU324" s="399"/>
      <c r="EV324" s="399">
        <v>215</v>
      </c>
      <c r="EW324" s="399"/>
      <c r="EX324" s="399"/>
      <c r="EY324" s="399"/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327</v>
      </c>
      <c r="B325" s="399" t="s">
        <v>956</v>
      </c>
      <c r="C325" s="399" t="s">
        <v>2343</v>
      </c>
      <c r="D325" s="399" t="s">
        <v>2353</v>
      </c>
      <c r="E325" s="399" t="s">
        <v>894</v>
      </c>
      <c r="F325" s="399" t="s">
        <v>2363</v>
      </c>
      <c r="G325" s="399" t="s">
        <v>2361</v>
      </c>
      <c r="H325" s="399" t="s">
        <v>1239</v>
      </c>
      <c r="I325" s="399" t="s">
        <v>1239</v>
      </c>
      <c r="J325" s="399" t="s">
        <v>2344</v>
      </c>
      <c r="K325" s="791">
        <v>44621</v>
      </c>
      <c r="L325" s="399">
        <v>0</v>
      </c>
      <c r="M325" s="399">
        <v>0</v>
      </c>
      <c r="N325" s="399">
        <v>55.640999999999998</v>
      </c>
      <c r="O325" s="399">
        <v>55.640999999999998</v>
      </c>
      <c r="P325" s="399">
        <v>55.640999999999998</v>
      </c>
      <c r="Q325" s="399">
        <v>55.640999999999998</v>
      </c>
      <c r="R325" s="399"/>
      <c r="S325" s="399">
        <v>239.69</v>
      </c>
      <c r="T325" s="399">
        <v>171.61</v>
      </c>
      <c r="U325" s="399"/>
      <c r="V325" s="399">
        <v>22885.143300000003</v>
      </c>
      <c r="W325" s="399">
        <v>22885.143300000003</v>
      </c>
      <c r="X325" s="399">
        <v>22801.125389999997</v>
      </c>
      <c r="Y325" s="399">
        <v>0</v>
      </c>
      <c r="Z325" s="399">
        <v>3363.9045911209819</v>
      </c>
      <c r="AA325" s="399">
        <v>0</v>
      </c>
      <c r="AB325" s="399">
        <v>0</v>
      </c>
      <c r="AC325" s="399">
        <v>0</v>
      </c>
      <c r="AD325" s="399">
        <v>2967.6679880844631</v>
      </c>
      <c r="AE325" s="399">
        <v>4930.6119831601764</v>
      </c>
      <c r="AF325" s="399">
        <v>9201.5874035519591</v>
      </c>
      <c r="AG325" s="399">
        <v>346.94149586776035</v>
      </c>
      <c r="AH325" s="399">
        <v>0</v>
      </c>
      <c r="AI325" s="399">
        <v>0</v>
      </c>
      <c r="AJ325" s="399">
        <v>0</v>
      </c>
      <c r="AK325" s="399">
        <v>0</v>
      </c>
      <c r="AL325" s="399">
        <v>520.13823176589938</v>
      </c>
      <c r="AM325" s="399"/>
      <c r="AN325" s="399">
        <v>22.036709658335425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890.80756492927435</v>
      </c>
      <c r="BH325" s="399">
        <v>0</v>
      </c>
      <c r="BI325" s="399">
        <v>0</v>
      </c>
      <c r="BJ325" s="399">
        <v>0</v>
      </c>
      <c r="BK325" s="399">
        <v>0</v>
      </c>
      <c r="BL325" s="399">
        <v>0</v>
      </c>
      <c r="BM325" s="399"/>
      <c r="BN325" s="399"/>
      <c r="BO325" s="399"/>
      <c r="BP325" s="399"/>
      <c r="BQ325" s="399"/>
      <c r="BR325" s="399">
        <v>2735.8679699999993</v>
      </c>
      <c r="BS325" s="399"/>
      <c r="BT325" s="399"/>
      <c r="BU325" s="399"/>
      <c r="BV325" s="399">
        <v>10092.394968481234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20064.896800000002</v>
      </c>
      <c r="CJ325" s="399">
        <v>-74.39314999999624</v>
      </c>
      <c r="CK325" s="399"/>
      <c r="CL325" s="399"/>
      <c r="CM325" s="399"/>
      <c r="CN325" s="399"/>
      <c r="CO325" s="399">
        <v>-1336.4968200000005</v>
      </c>
      <c r="CP325" s="399">
        <v>1252.4789099999994</v>
      </c>
      <c r="CQ325" s="399">
        <v>31</v>
      </c>
      <c r="CR325" s="399">
        <v>982.26635683259883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133.64187989181801</v>
      </c>
      <c r="DA325" s="399">
        <v>0</v>
      </c>
      <c r="DB325" s="399">
        <v>0</v>
      </c>
      <c r="DC325" s="399">
        <v>1252.7764029774644</v>
      </c>
      <c r="DD325" s="399">
        <v>0</v>
      </c>
      <c r="DE325" s="399">
        <v>0</v>
      </c>
      <c r="DF325" s="399">
        <v>0</v>
      </c>
      <c r="DG325" s="399">
        <v>121.28154067269077</v>
      </c>
      <c r="DH325" s="399">
        <v>0</v>
      </c>
      <c r="DI325" s="399">
        <v>-462.04155818094569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-59.942608191688805</v>
      </c>
      <c r="DP325" s="399">
        <v>-3.4493003367390855</v>
      </c>
      <c r="DQ325" s="399">
        <v>0</v>
      </c>
      <c r="DR325" s="399">
        <v>0</v>
      </c>
      <c r="DS325" s="399"/>
      <c r="DT325" s="399"/>
      <c r="DU325" s="399"/>
      <c r="DV325" s="399">
        <v>4930.6119831601764</v>
      </c>
      <c r="DW325" s="399">
        <v>0</v>
      </c>
      <c r="DX325" s="399">
        <v>0</v>
      </c>
      <c r="DY325" s="399">
        <v>-1336.4968200000021</v>
      </c>
      <c r="DZ325" s="399">
        <v>1252.478909999998</v>
      </c>
      <c r="EA325" s="399">
        <v>0</v>
      </c>
      <c r="EB325" s="399">
        <v>0</v>
      </c>
      <c r="EC325" s="399">
        <v>-1065.9717072397611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641.48489962190592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215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328</v>
      </c>
      <c r="B326" s="399" t="s">
        <v>2346</v>
      </c>
      <c r="C326" s="399" t="s">
        <v>2343</v>
      </c>
      <c r="D326" s="399" t="s">
        <v>2353</v>
      </c>
      <c r="E326" s="399" t="s">
        <v>894</v>
      </c>
      <c r="F326" s="399" t="s">
        <v>2363</v>
      </c>
      <c r="G326" s="399" t="s">
        <v>2361</v>
      </c>
      <c r="H326" s="399" t="s">
        <v>1239</v>
      </c>
      <c r="I326" s="399" t="s">
        <v>1239</v>
      </c>
      <c r="J326" s="399" t="s">
        <v>2344</v>
      </c>
      <c r="K326" s="791">
        <v>44621</v>
      </c>
      <c r="L326" s="399">
        <v>0</v>
      </c>
      <c r="M326" s="399">
        <v>0</v>
      </c>
      <c r="N326" s="399">
        <v>0.20499999999999999</v>
      </c>
      <c r="O326" s="399">
        <v>0.20499999999999999</v>
      </c>
      <c r="P326" s="399">
        <v>0.20499999999999999</v>
      </c>
      <c r="Q326" s="399">
        <v>0.20499999999999999</v>
      </c>
      <c r="R326" s="399"/>
      <c r="S326" s="399">
        <v>239.69</v>
      </c>
      <c r="T326" s="399">
        <v>171.61</v>
      </c>
      <c r="U326" s="399"/>
      <c r="V326" s="399">
        <v>84.316499999999991</v>
      </c>
      <c r="W326" s="399">
        <v>84.316499999999991</v>
      </c>
      <c r="X326" s="399">
        <v>84.006949999999989</v>
      </c>
      <c r="Y326" s="399">
        <v>0</v>
      </c>
      <c r="Z326" s="399">
        <v>12.393746359335763</v>
      </c>
      <c r="AA326" s="399">
        <v>0</v>
      </c>
      <c r="AB326" s="399">
        <v>0</v>
      </c>
      <c r="AC326" s="399">
        <v>0</v>
      </c>
      <c r="AD326" s="399">
        <v>10.933878570789794</v>
      </c>
      <c r="AE326" s="399">
        <v>18.166018880822346</v>
      </c>
      <c r="AF326" s="399">
        <v>33.901716678854648</v>
      </c>
      <c r="AG326" s="399">
        <v>1.2782481740603309</v>
      </c>
      <c r="AH326" s="399">
        <v>0</v>
      </c>
      <c r="AI326" s="399">
        <v>0</v>
      </c>
      <c r="AJ326" s="399">
        <v>0</v>
      </c>
      <c r="AK326" s="399">
        <v>0</v>
      </c>
      <c r="AL326" s="399">
        <v>1.9163627093691586</v>
      </c>
      <c r="AM326" s="399"/>
      <c r="AN326" s="399">
        <v>8.1190587515658635E-2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3.2820321491436393</v>
      </c>
      <c r="BH326" s="399">
        <v>0</v>
      </c>
      <c r="BI326" s="399">
        <v>0</v>
      </c>
      <c r="BJ326" s="399">
        <v>0</v>
      </c>
      <c r="BK326" s="399">
        <v>0</v>
      </c>
      <c r="BL326" s="399">
        <v>0</v>
      </c>
      <c r="BM326" s="399"/>
      <c r="BN326" s="399"/>
      <c r="BO326" s="399"/>
      <c r="BP326" s="399"/>
      <c r="BQ326" s="399"/>
      <c r="BR326" s="399">
        <v>10.079849999999997</v>
      </c>
      <c r="BS326" s="399"/>
      <c r="BT326" s="399"/>
      <c r="BU326" s="399"/>
      <c r="BV326" s="399">
        <v>37.183748827998286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75.730199999999996</v>
      </c>
      <c r="CJ326" s="399">
        <v>1.5004499999999865</v>
      </c>
      <c r="CK326" s="399"/>
      <c r="CL326" s="399"/>
      <c r="CM326" s="399"/>
      <c r="CN326" s="399"/>
      <c r="CO326" s="399">
        <v>-4.9241000000000019</v>
      </c>
      <c r="CP326" s="399">
        <v>4.6145499999999977</v>
      </c>
      <c r="CQ326" s="399">
        <v>31</v>
      </c>
      <c r="CR326" s="399">
        <v>3.618996839573029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0.49238125443149272</v>
      </c>
      <c r="DA326" s="399">
        <v>0</v>
      </c>
      <c r="DB326" s="399">
        <v>0</v>
      </c>
      <c r="DC326" s="399">
        <v>4.6156460633414298</v>
      </c>
      <c r="DD326" s="399">
        <v>0</v>
      </c>
      <c r="DE326" s="399">
        <v>0</v>
      </c>
      <c r="DF326" s="399">
        <v>0</v>
      </c>
      <c r="DG326" s="399">
        <v>0.4468416426358548</v>
      </c>
      <c r="DH326" s="399">
        <v>0</v>
      </c>
      <c r="DI326" s="399">
        <v>-1.702315188927118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-0.22084855914336909</v>
      </c>
      <c r="DP326" s="399">
        <v>-1.2708372765254272E-2</v>
      </c>
      <c r="DQ326" s="399">
        <v>0</v>
      </c>
      <c r="DR326" s="399">
        <v>0</v>
      </c>
      <c r="DS326" s="399"/>
      <c r="DT326" s="399"/>
      <c r="DU326" s="399"/>
      <c r="DV326" s="399">
        <v>18.166018880822346</v>
      </c>
      <c r="DW326" s="399">
        <v>0</v>
      </c>
      <c r="DX326" s="399">
        <v>0</v>
      </c>
      <c r="DY326" s="399">
        <v>-4.9241000000000028</v>
      </c>
      <c r="DZ326" s="399">
        <v>4.6145499999999942</v>
      </c>
      <c r="EA326" s="399">
        <v>0</v>
      </c>
      <c r="EB326" s="399">
        <v>0</v>
      </c>
      <c r="EC326" s="399">
        <v>-3.9273952657959246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2.3634443022679448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215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329</v>
      </c>
      <c r="B327" s="399" t="s">
        <v>956</v>
      </c>
      <c r="C327" s="399" t="s">
        <v>2343</v>
      </c>
      <c r="D327" s="399" t="s">
        <v>2353</v>
      </c>
      <c r="E327" s="399" t="s">
        <v>894</v>
      </c>
      <c r="F327" s="399" t="s">
        <v>2363</v>
      </c>
      <c r="G327" s="399" t="s">
        <v>2362</v>
      </c>
      <c r="H327" s="399" t="s">
        <v>1239</v>
      </c>
      <c r="I327" s="399" t="s">
        <v>1239</v>
      </c>
      <c r="J327" s="399" t="s">
        <v>2344</v>
      </c>
      <c r="K327" s="791">
        <v>44621</v>
      </c>
      <c r="L327" s="399">
        <v>0</v>
      </c>
      <c r="M327" s="399">
        <v>0</v>
      </c>
      <c r="N327" s="399">
        <v>86.225999999999999</v>
      </c>
      <c r="O327" s="399">
        <v>34.490400000000001</v>
      </c>
      <c r="P327" s="399">
        <v>86.225999999999999</v>
      </c>
      <c r="Q327" s="399">
        <v>34.490400000000001</v>
      </c>
      <c r="R327" s="399"/>
      <c r="S327" s="399">
        <v>239.69</v>
      </c>
      <c r="T327" s="399">
        <v>171.61</v>
      </c>
      <c r="U327" s="399"/>
      <c r="V327" s="399">
        <v>35464.753799999999</v>
      </c>
      <c r="W327" s="399">
        <v>35464.753799999999</v>
      </c>
      <c r="X327" s="399">
        <v>35334.552539999997</v>
      </c>
      <c r="Y327" s="399">
        <v>0</v>
      </c>
      <c r="Z327" s="399">
        <v>5212.991090634564</v>
      </c>
      <c r="AA327" s="399">
        <v>0</v>
      </c>
      <c r="AB327" s="399">
        <v>0</v>
      </c>
      <c r="AC327" s="399">
        <v>0</v>
      </c>
      <c r="AD327" s="399">
        <v>4598.9493348532724</v>
      </c>
      <c r="AE327" s="399">
        <v>7640.8933854526231</v>
      </c>
      <c r="AF327" s="399">
        <v>14259.558157809372</v>
      </c>
      <c r="AG327" s="399">
        <v>537.64988808061503</v>
      </c>
      <c r="AH327" s="399">
        <v>0</v>
      </c>
      <c r="AI327" s="399">
        <v>0</v>
      </c>
      <c r="AJ327" s="399">
        <v>0</v>
      </c>
      <c r="AK327" s="399">
        <v>0</v>
      </c>
      <c r="AL327" s="399">
        <v>806.05019989300047</v>
      </c>
      <c r="AM327" s="399"/>
      <c r="AN327" s="399">
        <v>34.149949264025274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1380.4707516685826</v>
      </c>
      <c r="BH327" s="399">
        <v>0</v>
      </c>
      <c r="BI327" s="399">
        <v>0</v>
      </c>
      <c r="BJ327" s="399">
        <v>0</v>
      </c>
      <c r="BK327" s="399">
        <v>0</v>
      </c>
      <c r="BL327" s="399">
        <v>0</v>
      </c>
      <c r="BM327" s="399"/>
      <c r="BN327" s="399"/>
      <c r="BO327" s="399"/>
      <c r="BP327" s="399"/>
      <c r="BQ327" s="399"/>
      <c r="BR327" s="399"/>
      <c r="BS327" s="399">
        <v>22896.624491999995</v>
      </c>
      <c r="BT327" s="399"/>
      <c r="BU327" s="399"/>
      <c r="BV327" s="399">
        <v>15640.028909477955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12437.783800000001</v>
      </c>
      <c r="CJ327" s="399">
        <v>-46.046479999999065</v>
      </c>
      <c r="CK327" s="399"/>
      <c r="CL327" s="399"/>
      <c r="CM327" s="399"/>
      <c r="CN327" s="399"/>
      <c r="CO327" s="399">
        <v>-2071.1485200000006</v>
      </c>
      <c r="CP327" s="399">
        <v>1940.9472599999992</v>
      </c>
      <c r="CQ327" s="399">
        <v>31</v>
      </c>
      <c r="CR327" s="399">
        <v>1522.2030316537748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207.10276119321952</v>
      </c>
      <c r="DA327" s="399">
        <v>0</v>
      </c>
      <c r="DB327" s="399">
        <v>0</v>
      </c>
      <c r="DC327" s="399">
        <v>1941.4082802813555</v>
      </c>
      <c r="DD327" s="399">
        <v>0</v>
      </c>
      <c r="DE327" s="399">
        <v>0</v>
      </c>
      <c r="DF327" s="399">
        <v>0</v>
      </c>
      <c r="DG327" s="399">
        <v>187.94813403863054</v>
      </c>
      <c r="DH327" s="399">
        <v>0</v>
      </c>
      <c r="DI327" s="399">
        <v>-716.01868039234068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-92.892135905834834</v>
      </c>
      <c r="DP327" s="399">
        <v>-5.345327561252752</v>
      </c>
      <c r="DQ327" s="399">
        <v>0</v>
      </c>
      <c r="DR327" s="399">
        <v>0</v>
      </c>
      <c r="DS327" s="399"/>
      <c r="DT327" s="399"/>
      <c r="DU327" s="399"/>
      <c r="DV327" s="399">
        <v>7640.8933854526231</v>
      </c>
      <c r="DW327" s="399">
        <v>0</v>
      </c>
      <c r="DX327" s="399">
        <v>0</v>
      </c>
      <c r="DY327" s="399">
        <v>-2071.1485200000025</v>
      </c>
      <c r="DZ327" s="399">
        <v>1940.947259999999</v>
      </c>
      <c r="EA327" s="399">
        <v>0</v>
      </c>
      <c r="EB327" s="399">
        <v>0</v>
      </c>
      <c r="EC327" s="399">
        <v>-1651.9199228708267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994.09926052368689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215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330</v>
      </c>
      <c r="B328" s="399" t="s">
        <v>956</v>
      </c>
      <c r="C328" s="399" t="s">
        <v>2343</v>
      </c>
      <c r="D328" s="399" t="s">
        <v>1823</v>
      </c>
      <c r="E328" s="399" t="s">
        <v>889</v>
      </c>
      <c r="F328" s="399" t="s">
        <v>889</v>
      </c>
      <c r="G328" s="399" t="s">
        <v>1239</v>
      </c>
      <c r="H328" s="399" t="s">
        <v>1239</v>
      </c>
      <c r="I328" s="399" t="s">
        <v>1239</v>
      </c>
      <c r="J328" s="399" t="s">
        <v>2344</v>
      </c>
      <c r="K328" s="791">
        <v>44652</v>
      </c>
      <c r="L328" s="399">
        <v>0</v>
      </c>
      <c r="M328" s="399">
        <v>0</v>
      </c>
      <c r="N328" s="399">
        <v>1261.605</v>
      </c>
      <c r="O328" s="399">
        <v>1261.605</v>
      </c>
      <c r="P328" s="399">
        <v>1261.605</v>
      </c>
      <c r="Q328" s="399">
        <v>1261.605</v>
      </c>
      <c r="R328" s="399"/>
      <c r="S328" s="399">
        <v>239.69</v>
      </c>
      <c r="T328" s="399">
        <v>171.61</v>
      </c>
      <c r="U328" s="399"/>
      <c r="V328" s="399">
        <v>518898.13650000002</v>
      </c>
      <c r="W328" s="399">
        <v>518898.13650000002</v>
      </c>
      <c r="X328" s="399">
        <v>516993.11294999998</v>
      </c>
      <c r="Y328" s="399">
        <v>0</v>
      </c>
      <c r="Z328" s="399">
        <v>76273.231100828285</v>
      </c>
      <c r="AA328" s="399">
        <v>0</v>
      </c>
      <c r="AB328" s="399">
        <v>0</v>
      </c>
      <c r="AC328" s="399">
        <v>0</v>
      </c>
      <c r="AD328" s="399">
        <v>67288.955484396385</v>
      </c>
      <c r="AE328" s="399">
        <v>111796.78170799941</v>
      </c>
      <c r="AF328" s="399">
        <v>208636.95253964109</v>
      </c>
      <c r="AG328" s="399">
        <v>7866.5575006604086</v>
      </c>
      <c r="AH328" s="399">
        <v>0</v>
      </c>
      <c r="AI328" s="399">
        <v>0</v>
      </c>
      <c r="AJ328" s="399">
        <v>0</v>
      </c>
      <c r="AK328" s="399">
        <v>0</v>
      </c>
      <c r="AL328" s="399">
        <v>11793.623297335012</v>
      </c>
      <c r="AM328" s="399"/>
      <c r="AN328" s="399">
        <v>499.6607373789879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20198.18619278225</v>
      </c>
      <c r="BH328" s="399">
        <v>0</v>
      </c>
      <c r="BI328" s="399">
        <v>0</v>
      </c>
      <c r="BJ328" s="399">
        <v>0</v>
      </c>
      <c r="BK328" s="399">
        <v>149011.70000000001</v>
      </c>
      <c r="BL328" s="399">
        <v>4644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228835.13873242334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516995.16189999995</v>
      </c>
      <c r="CJ328" s="399">
        <v>-1903.0046000001021</v>
      </c>
      <c r="CK328" s="399"/>
      <c r="CL328" s="399"/>
      <c r="CM328" s="399"/>
      <c r="CN328" s="399"/>
      <c r="CO328" s="399">
        <v>-30303.752100000012</v>
      </c>
      <c r="CP328" s="399">
        <v>28398.728549999989</v>
      </c>
      <c r="CQ328" s="399">
        <v>30</v>
      </c>
      <c r="CR328" s="399">
        <v>22271.924428241618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3030.1983048636321</v>
      </c>
      <c r="DA328" s="399">
        <v>0</v>
      </c>
      <c r="DB328" s="399">
        <v>0</v>
      </c>
      <c r="DC328" s="399">
        <v>28405.473910935922</v>
      </c>
      <c r="DD328" s="399">
        <v>0</v>
      </c>
      <c r="DE328" s="399">
        <v>0</v>
      </c>
      <c r="DF328" s="399">
        <v>0</v>
      </c>
      <c r="DG328" s="399">
        <v>2749.9397588175998</v>
      </c>
      <c r="DH328" s="399">
        <v>0</v>
      </c>
      <c r="DI328" s="399">
        <v>-10476.338311836094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-1359.1397388198548</v>
      </c>
      <c r="DP328" s="399">
        <v>-78.209495719554241</v>
      </c>
      <c r="DQ328" s="399">
        <v>0</v>
      </c>
      <c r="DR328" s="399">
        <v>0</v>
      </c>
      <c r="DS328" s="399"/>
      <c r="DT328" s="399"/>
      <c r="DU328" s="399"/>
      <c r="DV328" s="399">
        <v>111796.78170799941</v>
      </c>
      <c r="DW328" s="399">
        <v>0</v>
      </c>
      <c r="DX328" s="399">
        <v>0</v>
      </c>
      <c r="DY328" s="399">
        <v>-30303.752100000042</v>
      </c>
      <c r="DZ328" s="399">
        <v>28398.72855</v>
      </c>
      <c r="EA328" s="399">
        <v>0</v>
      </c>
      <c r="EB328" s="399">
        <v>0</v>
      </c>
      <c r="EC328" s="399">
        <v>-24169.860996607167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14545.039751037808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215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331</v>
      </c>
      <c r="B329" s="399" t="s">
        <v>2345</v>
      </c>
      <c r="C329" s="399" t="s">
        <v>2343</v>
      </c>
      <c r="D329" s="399" t="s">
        <v>1823</v>
      </c>
      <c r="E329" s="399" t="s">
        <v>889</v>
      </c>
      <c r="F329" s="399" t="s">
        <v>889</v>
      </c>
      <c r="G329" s="399" t="s">
        <v>1239</v>
      </c>
      <c r="H329" s="399" t="s">
        <v>1239</v>
      </c>
      <c r="I329" s="399" t="s">
        <v>1239</v>
      </c>
      <c r="J329" s="399" t="s">
        <v>2344</v>
      </c>
      <c r="K329" s="791">
        <v>44652</v>
      </c>
      <c r="L329" s="399">
        <v>0</v>
      </c>
      <c r="M329" s="399">
        <v>0</v>
      </c>
      <c r="N329" s="399">
        <v>-0.92500000000000004</v>
      </c>
      <c r="O329" s="399">
        <v>-0.92500000000000004</v>
      </c>
      <c r="P329" s="399">
        <v>-0.92500000000000004</v>
      </c>
      <c r="Q329" s="399">
        <v>-0.92500000000000004</v>
      </c>
      <c r="R329" s="399"/>
      <c r="S329" s="399">
        <v>239.69</v>
      </c>
      <c r="T329" s="399">
        <v>171.61</v>
      </c>
      <c r="U329" s="399"/>
      <c r="V329" s="399">
        <v>-380.45250000000004</v>
      </c>
      <c r="W329" s="399">
        <v>-380.45250000000004</v>
      </c>
      <c r="X329" s="399">
        <v>-379.05574999999999</v>
      </c>
      <c r="Y329" s="399">
        <v>0</v>
      </c>
      <c r="Z329" s="399">
        <v>-55.923001865295525</v>
      </c>
      <c r="AA329" s="399">
        <v>0</v>
      </c>
      <c r="AB329" s="399">
        <v>0</v>
      </c>
      <c r="AC329" s="399">
        <v>0</v>
      </c>
      <c r="AD329" s="399">
        <v>-49.335793551124688</v>
      </c>
      <c r="AE329" s="399">
        <v>-81.968621779320358</v>
      </c>
      <c r="AF329" s="399">
        <v>-152.97116062410026</v>
      </c>
      <c r="AG329" s="399">
        <v>-5.7677051756380786</v>
      </c>
      <c r="AH329" s="399">
        <v>0</v>
      </c>
      <c r="AI329" s="399">
        <v>0</v>
      </c>
      <c r="AJ329" s="399">
        <v>0</v>
      </c>
      <c r="AK329" s="399">
        <v>0</v>
      </c>
      <c r="AL329" s="399">
        <v>-8.6470024691047414</v>
      </c>
      <c r="AM329" s="399"/>
      <c r="AN329" s="399">
        <v>-0.3663477729365085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-14.809169453453007</v>
      </c>
      <c r="BH329" s="399">
        <v>0</v>
      </c>
      <c r="BI329" s="399">
        <v>0</v>
      </c>
      <c r="BJ329" s="399">
        <v>0</v>
      </c>
      <c r="BK329" s="399">
        <v>-154.69</v>
      </c>
      <c r="BL329" s="399">
        <v>0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-167.78033007755326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-381.10470000000004</v>
      </c>
      <c r="CJ329" s="399">
        <v>-0.68219999999996617</v>
      </c>
      <c r="CK329" s="399"/>
      <c r="CL329" s="399"/>
      <c r="CM329" s="399"/>
      <c r="CN329" s="399"/>
      <c r="CO329" s="399">
        <v>22.218500000000009</v>
      </c>
      <c r="CP329" s="399">
        <v>-20.821749999999991</v>
      </c>
      <c r="CQ329" s="399">
        <v>30</v>
      </c>
      <c r="CR329" s="399">
        <v>-16.329619885878287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-2.221720294386003</v>
      </c>
      <c r="DA329" s="399">
        <v>0</v>
      </c>
      <c r="DB329" s="399">
        <v>0</v>
      </c>
      <c r="DC329" s="399">
        <v>-20.826695651662533</v>
      </c>
      <c r="DD329" s="399">
        <v>0</v>
      </c>
      <c r="DE329" s="399">
        <v>0</v>
      </c>
      <c r="DF329" s="399">
        <v>0</v>
      </c>
      <c r="DG329" s="399">
        <v>-2.0162366801861769</v>
      </c>
      <c r="DH329" s="399">
        <v>0</v>
      </c>
      <c r="DI329" s="399">
        <v>7.6811782915004159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0.99651179125666545</v>
      </c>
      <c r="DP329" s="399">
        <v>5.7342657599318059E-2</v>
      </c>
      <c r="DQ329" s="399">
        <v>0</v>
      </c>
      <c r="DR329" s="399">
        <v>0</v>
      </c>
      <c r="DS329" s="399"/>
      <c r="DT329" s="399"/>
      <c r="DU329" s="399"/>
      <c r="DV329" s="399">
        <v>-81.968621779320358</v>
      </c>
      <c r="DW329" s="399">
        <v>0</v>
      </c>
      <c r="DX329" s="399">
        <v>0</v>
      </c>
      <c r="DY329" s="399">
        <v>22.218500000000006</v>
      </c>
      <c r="DZ329" s="399">
        <v>-20.82174999999998</v>
      </c>
      <c r="EA329" s="399">
        <v>0</v>
      </c>
      <c r="EB329" s="399">
        <v>0</v>
      </c>
      <c r="EC329" s="399">
        <v>17.721173760298697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-10.664321851696826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215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332</v>
      </c>
      <c r="B330" s="399" t="s">
        <v>2346</v>
      </c>
      <c r="C330" s="399" t="s">
        <v>2343</v>
      </c>
      <c r="D330" s="399" t="s">
        <v>1823</v>
      </c>
      <c r="E330" s="399" t="s">
        <v>889</v>
      </c>
      <c r="F330" s="399" t="s">
        <v>889</v>
      </c>
      <c r="G330" s="399" t="s">
        <v>1239</v>
      </c>
      <c r="H330" s="399" t="s">
        <v>1239</v>
      </c>
      <c r="I330" s="399" t="s">
        <v>1239</v>
      </c>
      <c r="J330" s="399" t="s">
        <v>2344</v>
      </c>
      <c r="K330" s="791">
        <v>44652</v>
      </c>
      <c r="L330" s="399">
        <v>0</v>
      </c>
      <c r="M330" s="399">
        <v>0</v>
      </c>
      <c r="N330" s="399">
        <v>3.1389999999999998</v>
      </c>
      <c r="O330" s="399">
        <v>3.1389999999999998</v>
      </c>
      <c r="P330" s="399">
        <v>3.1389999999999998</v>
      </c>
      <c r="Q330" s="399">
        <v>3.1389999999999998</v>
      </c>
      <c r="R330" s="399"/>
      <c r="S330" s="399">
        <v>239.69</v>
      </c>
      <c r="T330" s="399">
        <v>171.61</v>
      </c>
      <c r="U330" s="399"/>
      <c r="V330" s="399">
        <v>1291.0707</v>
      </c>
      <c r="W330" s="399">
        <v>1291.0707</v>
      </c>
      <c r="X330" s="399">
        <v>1286.3308099999999</v>
      </c>
      <c r="Y330" s="399">
        <v>0</v>
      </c>
      <c r="Z330" s="399">
        <v>189.77546254612176</v>
      </c>
      <c r="AA330" s="399">
        <v>0</v>
      </c>
      <c r="AB330" s="399">
        <v>0</v>
      </c>
      <c r="AC330" s="399">
        <v>0</v>
      </c>
      <c r="AD330" s="399">
        <v>167.42168211565445</v>
      </c>
      <c r="AE330" s="399">
        <v>278.16162569220171</v>
      </c>
      <c r="AF330" s="399">
        <v>519.1097007557305</v>
      </c>
      <c r="AG330" s="399">
        <v>19.572785455489651</v>
      </c>
      <c r="AH330" s="399">
        <v>0</v>
      </c>
      <c r="AI330" s="399">
        <v>0</v>
      </c>
      <c r="AJ330" s="399">
        <v>0</v>
      </c>
      <c r="AK330" s="399">
        <v>0</v>
      </c>
      <c r="AL330" s="399">
        <v>29.343719730291653</v>
      </c>
      <c r="AM330" s="399"/>
      <c r="AN330" s="399">
        <v>1.2432061181056218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50.255116664204309</v>
      </c>
      <c r="BH330" s="399">
        <v>0</v>
      </c>
      <c r="BI330" s="399">
        <v>0</v>
      </c>
      <c r="BJ330" s="399">
        <v>0</v>
      </c>
      <c r="BK330" s="399">
        <v>879.98</v>
      </c>
      <c r="BL330" s="399">
        <v>17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569.36481741993475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1286.7406000000001</v>
      </c>
      <c r="CJ330" s="399">
        <v>-4.3600999999998749</v>
      </c>
      <c r="CK330" s="399"/>
      <c r="CL330" s="399"/>
      <c r="CM330" s="399"/>
      <c r="CN330" s="399"/>
      <c r="CO330" s="399">
        <v>-75.398780000000031</v>
      </c>
      <c r="CP330" s="399">
        <v>70.658889999999971</v>
      </c>
      <c r="CQ330" s="399">
        <v>30</v>
      </c>
      <c r="CR330" s="399">
        <v>55.414785753266983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7.5394378422461443</v>
      </c>
      <c r="DA330" s="399">
        <v>0</v>
      </c>
      <c r="DB330" s="399">
        <v>0</v>
      </c>
      <c r="DC330" s="399">
        <v>70.675673135749889</v>
      </c>
      <c r="DD330" s="399">
        <v>0</v>
      </c>
      <c r="DE330" s="399">
        <v>0</v>
      </c>
      <c r="DF330" s="399">
        <v>0</v>
      </c>
      <c r="DG330" s="399">
        <v>6.8421264206534076</v>
      </c>
      <c r="DH330" s="399">
        <v>0</v>
      </c>
      <c r="DI330" s="399">
        <v>-26.066182331913296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-3.3816762300050485</v>
      </c>
      <c r="DP330" s="399">
        <v>-0.19459308346406412</v>
      </c>
      <c r="DQ330" s="399">
        <v>0</v>
      </c>
      <c r="DR330" s="399">
        <v>0</v>
      </c>
      <c r="DS330" s="399"/>
      <c r="DT330" s="399"/>
      <c r="DU330" s="399"/>
      <c r="DV330" s="399">
        <v>278.16162569220171</v>
      </c>
      <c r="DW330" s="399">
        <v>0</v>
      </c>
      <c r="DX330" s="399">
        <v>0</v>
      </c>
      <c r="DY330" s="399">
        <v>-75.398779999999988</v>
      </c>
      <c r="DZ330" s="399">
        <v>70.658889999999928</v>
      </c>
      <c r="EA330" s="399">
        <v>0</v>
      </c>
      <c r="EB330" s="399">
        <v>0</v>
      </c>
      <c r="EC330" s="399">
        <v>-60.137042630894712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36.189520316190631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215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333</v>
      </c>
      <c r="B331" s="399" t="s">
        <v>956</v>
      </c>
      <c r="C331" s="399" t="s">
        <v>2343</v>
      </c>
      <c r="D331" s="399" t="s">
        <v>1823</v>
      </c>
      <c r="E331" s="399" t="s">
        <v>889</v>
      </c>
      <c r="F331" s="399" t="s">
        <v>2347</v>
      </c>
      <c r="G331" s="399" t="s">
        <v>1239</v>
      </c>
      <c r="H331" s="399" t="s">
        <v>1239</v>
      </c>
      <c r="I331" s="399" t="s">
        <v>1239</v>
      </c>
      <c r="J331" s="399" t="s">
        <v>2344</v>
      </c>
      <c r="K331" s="791">
        <v>44652</v>
      </c>
      <c r="L331" s="399">
        <v>0</v>
      </c>
      <c r="M331" s="399">
        <v>0</v>
      </c>
      <c r="N331" s="399">
        <v>10.86</v>
      </c>
      <c r="O331" s="399">
        <v>10.86</v>
      </c>
      <c r="P331" s="399">
        <v>10.86</v>
      </c>
      <c r="Q331" s="399">
        <v>10.86</v>
      </c>
      <c r="R331" s="399"/>
      <c r="S331" s="399">
        <v>158.36000000000001</v>
      </c>
      <c r="T331" s="399">
        <v>171.61</v>
      </c>
      <c r="U331" s="399"/>
      <c r="V331" s="399">
        <v>3583.4742000000001</v>
      </c>
      <c r="W331" s="399">
        <v>3583.4742000000001</v>
      </c>
      <c r="X331" s="399">
        <v>3668.9423999999999</v>
      </c>
      <c r="Y331" s="399">
        <v>0</v>
      </c>
      <c r="Z331" s="399">
        <v>0</v>
      </c>
      <c r="AA331" s="399">
        <v>0</v>
      </c>
      <c r="AB331" s="399">
        <v>0</v>
      </c>
      <c r="AC331" s="399">
        <v>0</v>
      </c>
      <c r="AD331" s="399">
        <v>579.22888428671786</v>
      </c>
      <c r="AE331" s="399">
        <v>962.35592705234478</v>
      </c>
      <c r="AF331" s="399">
        <v>1795.9641128407877</v>
      </c>
      <c r="AG331" s="399">
        <v>67.71597644046436</v>
      </c>
      <c r="AH331" s="399">
        <v>0</v>
      </c>
      <c r="AI331" s="399">
        <v>0</v>
      </c>
      <c r="AJ331" s="399">
        <v>0</v>
      </c>
      <c r="AK331" s="399">
        <v>0</v>
      </c>
      <c r="AL331" s="399">
        <v>0</v>
      </c>
      <c r="AM331" s="399"/>
      <c r="AN331" s="399">
        <v>4.3011208800978187</v>
      </c>
      <c r="AO331" s="399">
        <v>0</v>
      </c>
      <c r="AP331" s="399">
        <v>0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>
        <v>0</v>
      </c>
      <c r="BG331" s="399">
        <v>173.86765433999963</v>
      </c>
      <c r="BH331" s="399">
        <v>0</v>
      </c>
      <c r="BI331" s="399">
        <v>0</v>
      </c>
      <c r="BJ331" s="399">
        <v>0</v>
      </c>
      <c r="BK331" s="399">
        <v>173.76</v>
      </c>
      <c r="BL331" s="399">
        <v>2</v>
      </c>
      <c r="BM331" s="399"/>
      <c r="BN331" s="399"/>
      <c r="BO331" s="399"/>
      <c r="BP331" s="399"/>
      <c r="BQ331" s="399"/>
      <c r="BR331" s="399"/>
      <c r="BS331" s="399"/>
      <c r="BT331" s="399">
        <v>2384.8560000000002</v>
      </c>
      <c r="BU331" s="399"/>
      <c r="BV331" s="399">
        <v>1969.8317671807874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1284.0863999999999</v>
      </c>
      <c r="CJ331" s="399">
        <v>29.94360000000006</v>
      </c>
      <c r="CK331" s="399"/>
      <c r="CL331" s="399"/>
      <c r="CM331" s="399"/>
      <c r="CN331" s="399"/>
      <c r="CO331" s="399">
        <v>-158.99040000000016</v>
      </c>
      <c r="CP331" s="399">
        <v>244.45859999999988</v>
      </c>
      <c r="CQ331" s="399">
        <v>30</v>
      </c>
      <c r="CR331" s="399">
        <v>293.59933649662707</v>
      </c>
      <c r="CS331" s="399">
        <v>0</v>
      </c>
      <c r="CT331" s="399">
        <v>0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26.084197185980543</v>
      </c>
      <c r="DA331" s="399">
        <v>0</v>
      </c>
      <c r="DB331" s="399">
        <v>0</v>
      </c>
      <c r="DC331" s="399">
        <v>244.51666462384355</v>
      </c>
      <c r="DD331" s="399">
        <v>0</v>
      </c>
      <c r="DE331" s="399">
        <v>0</v>
      </c>
      <c r="DF331" s="399">
        <v>0</v>
      </c>
      <c r="DG331" s="399">
        <v>23.671708483050651</v>
      </c>
      <c r="DH331" s="399">
        <v>0</v>
      </c>
      <c r="DI331" s="399">
        <v>0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0</v>
      </c>
      <c r="DP331" s="399">
        <v>-0.67323379624712887</v>
      </c>
      <c r="DQ331" s="399">
        <v>0</v>
      </c>
      <c r="DR331" s="399">
        <v>0</v>
      </c>
      <c r="DS331" s="399"/>
      <c r="DT331" s="399"/>
      <c r="DU331" s="399"/>
      <c r="DV331" s="399">
        <v>962.35592705234478</v>
      </c>
      <c r="DW331" s="399">
        <v>0</v>
      </c>
      <c r="DX331" s="399">
        <v>0</v>
      </c>
      <c r="DY331" s="399">
        <v>-158.99040000000014</v>
      </c>
      <c r="DZ331" s="399">
        <v>244.45859999999993</v>
      </c>
      <c r="EA331" s="399">
        <v>0</v>
      </c>
      <c r="EB331" s="399">
        <v>0</v>
      </c>
      <c r="EC331" s="399">
        <v>-208.05615895874996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0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215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334</v>
      </c>
      <c r="B332" s="399" t="s">
        <v>956</v>
      </c>
      <c r="C332" s="399" t="s">
        <v>2343</v>
      </c>
      <c r="D332" s="399" t="s">
        <v>1823</v>
      </c>
      <c r="E332" s="399" t="s">
        <v>889</v>
      </c>
      <c r="F332" s="399" t="s">
        <v>2348</v>
      </c>
      <c r="G332" s="399" t="s">
        <v>1239</v>
      </c>
      <c r="H332" s="399" t="s">
        <v>1239</v>
      </c>
      <c r="I332" s="399" t="s">
        <v>1239</v>
      </c>
      <c r="J332" s="399" t="s">
        <v>2344</v>
      </c>
      <c r="K332" s="791">
        <v>44652</v>
      </c>
      <c r="L332" s="399">
        <v>0</v>
      </c>
      <c r="M332" s="399">
        <v>0</v>
      </c>
      <c r="N332" s="399">
        <v>24.44</v>
      </c>
      <c r="O332" s="399">
        <v>24.44</v>
      </c>
      <c r="P332" s="399">
        <v>24.44</v>
      </c>
      <c r="Q332" s="399">
        <v>24.44</v>
      </c>
      <c r="R332" s="399"/>
      <c r="S332" s="399">
        <v>158.36000000000001</v>
      </c>
      <c r="T332" s="399">
        <v>171.61</v>
      </c>
      <c r="U332" s="399"/>
      <c r="V332" s="399">
        <v>8064.466800000002</v>
      </c>
      <c r="W332" s="399">
        <v>8064.466800000002</v>
      </c>
      <c r="X332" s="399">
        <v>8256.8096000000005</v>
      </c>
      <c r="Y332" s="399">
        <v>0</v>
      </c>
      <c r="Z332" s="399">
        <v>0</v>
      </c>
      <c r="AA332" s="399">
        <v>0</v>
      </c>
      <c r="AB332" s="399">
        <v>0</v>
      </c>
      <c r="AC332" s="399">
        <v>0</v>
      </c>
      <c r="AD332" s="399">
        <v>1303.5316696102566</v>
      </c>
      <c r="AE332" s="399">
        <v>2165.7439094990154</v>
      </c>
      <c r="AF332" s="399">
        <v>4041.7461250302817</v>
      </c>
      <c r="AG332" s="399">
        <v>152.392123775778</v>
      </c>
      <c r="AH332" s="399">
        <v>0</v>
      </c>
      <c r="AI332" s="399">
        <v>0</v>
      </c>
      <c r="AJ332" s="399">
        <v>0</v>
      </c>
      <c r="AK332" s="399">
        <v>0</v>
      </c>
      <c r="AL332" s="399">
        <v>0</v>
      </c>
      <c r="AM332" s="399"/>
      <c r="AN332" s="399">
        <v>9.6795022384521818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391.28227182961245</v>
      </c>
      <c r="BH332" s="399">
        <v>0</v>
      </c>
      <c r="BI332" s="399">
        <v>0</v>
      </c>
      <c r="BJ332" s="399">
        <v>0</v>
      </c>
      <c r="BK332" s="399">
        <v>669.71</v>
      </c>
      <c r="BL332" s="399">
        <v>31</v>
      </c>
      <c r="BM332" s="399"/>
      <c r="BN332" s="399"/>
      <c r="BO332" s="399"/>
      <c r="BP332" s="399"/>
      <c r="BQ332" s="399"/>
      <c r="BR332" s="399"/>
      <c r="BS332" s="399"/>
      <c r="BT332" s="399">
        <v>3302.8216000000002</v>
      </c>
      <c r="BU332" s="399"/>
      <c r="BV332" s="399">
        <v>4433.0283968598942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4953.9880000000003</v>
      </c>
      <c r="CJ332" s="399">
        <v>115.32679999999982</v>
      </c>
      <c r="CK332" s="399"/>
      <c r="CL332" s="399"/>
      <c r="CM332" s="399"/>
      <c r="CN332" s="399"/>
      <c r="CO332" s="399">
        <v>-357.80160000000041</v>
      </c>
      <c r="CP332" s="399">
        <v>550.14439999999979</v>
      </c>
      <c r="CQ332" s="399">
        <v>30</v>
      </c>
      <c r="CR332" s="399">
        <v>660.73368176589065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58.701452967344721</v>
      </c>
      <c r="DA332" s="399">
        <v>0</v>
      </c>
      <c r="DB332" s="399">
        <v>0</v>
      </c>
      <c r="DC332" s="399">
        <v>550.27507213689978</v>
      </c>
      <c r="DD332" s="399">
        <v>0</v>
      </c>
      <c r="DE332" s="399">
        <v>0</v>
      </c>
      <c r="DF332" s="399">
        <v>0</v>
      </c>
      <c r="DG332" s="399">
        <v>53.272242663513623</v>
      </c>
      <c r="DH332" s="399">
        <v>0</v>
      </c>
      <c r="DI332" s="399">
        <v>0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0</v>
      </c>
      <c r="DP332" s="399">
        <v>-1.5150860018673882</v>
      </c>
      <c r="DQ332" s="399">
        <v>0</v>
      </c>
      <c r="DR332" s="399">
        <v>0</v>
      </c>
      <c r="DS332" s="399"/>
      <c r="DT332" s="399"/>
      <c r="DU332" s="399"/>
      <c r="DV332" s="399">
        <v>2165.7439094990154</v>
      </c>
      <c r="DW332" s="399">
        <v>0</v>
      </c>
      <c r="DX332" s="399">
        <v>0</v>
      </c>
      <c r="DY332" s="399">
        <v>-357.80160000000024</v>
      </c>
      <c r="DZ332" s="399">
        <v>550.14439999999922</v>
      </c>
      <c r="EA332" s="399">
        <v>0</v>
      </c>
      <c r="EB332" s="399">
        <v>0</v>
      </c>
      <c r="EC332" s="399">
        <v>-468.22214778562147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215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335</v>
      </c>
      <c r="B333" s="399" t="s">
        <v>956</v>
      </c>
      <c r="C333" s="399" t="s">
        <v>2343</v>
      </c>
      <c r="D333" s="399" t="s">
        <v>1823</v>
      </c>
      <c r="E333" s="399" t="s">
        <v>889</v>
      </c>
      <c r="F333" s="399" t="s">
        <v>2349</v>
      </c>
      <c r="G333" s="399" t="s">
        <v>1239</v>
      </c>
      <c r="H333" s="399" t="s">
        <v>1239</v>
      </c>
      <c r="I333" s="399" t="s">
        <v>1239</v>
      </c>
      <c r="J333" s="399" t="s">
        <v>2344</v>
      </c>
      <c r="K333" s="791">
        <v>44652</v>
      </c>
      <c r="L333" s="399">
        <v>0</v>
      </c>
      <c r="M333" s="399">
        <v>0</v>
      </c>
      <c r="N333" s="399">
        <v>32.027999999999999</v>
      </c>
      <c r="O333" s="399">
        <v>32.027999999999999</v>
      </c>
      <c r="P333" s="399">
        <v>32.027999999999999</v>
      </c>
      <c r="Q333" s="399">
        <v>32.027999999999999</v>
      </c>
      <c r="R333" s="399"/>
      <c r="S333" s="399">
        <v>158.36000000000001</v>
      </c>
      <c r="T333" s="399">
        <v>171.61</v>
      </c>
      <c r="U333" s="399"/>
      <c r="V333" s="399">
        <v>10568.279160000002</v>
      </c>
      <c r="W333" s="399">
        <v>10568.279160000002</v>
      </c>
      <c r="X333" s="399">
        <v>10820.33952</v>
      </c>
      <c r="Y333" s="399">
        <v>0</v>
      </c>
      <c r="Z333" s="399">
        <v>0</v>
      </c>
      <c r="AA333" s="399">
        <v>0</v>
      </c>
      <c r="AB333" s="399">
        <v>0</v>
      </c>
      <c r="AC333" s="399">
        <v>0</v>
      </c>
      <c r="AD333" s="399">
        <v>1708.2451847085636</v>
      </c>
      <c r="AE333" s="399">
        <v>2838.1524522681862</v>
      </c>
      <c r="AF333" s="399">
        <v>5296.6057648310089</v>
      </c>
      <c r="AG333" s="399">
        <v>199.70601228685013</v>
      </c>
      <c r="AH333" s="399">
        <v>0</v>
      </c>
      <c r="AI333" s="399">
        <v>0</v>
      </c>
      <c r="AJ333" s="399">
        <v>0</v>
      </c>
      <c r="AK333" s="399">
        <v>0</v>
      </c>
      <c r="AL333" s="399">
        <v>0</v>
      </c>
      <c r="AM333" s="399"/>
      <c r="AN333" s="399">
        <v>12.684742131470804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512.76549108669508</v>
      </c>
      <c r="BH333" s="399">
        <v>0</v>
      </c>
      <c r="BI333" s="399">
        <v>0</v>
      </c>
      <c r="BJ333" s="399">
        <v>0</v>
      </c>
      <c r="BK333" s="399">
        <v>2350.87</v>
      </c>
      <c r="BL333" s="399">
        <v>126</v>
      </c>
      <c r="BM333" s="399"/>
      <c r="BN333" s="399"/>
      <c r="BO333" s="399"/>
      <c r="BP333" s="399"/>
      <c r="BQ333" s="399"/>
      <c r="BR333" s="399"/>
      <c r="BS333" s="399"/>
      <c r="BT333" s="399">
        <v>1081.9058399999999</v>
      </c>
      <c r="BU333" s="399"/>
      <c r="BV333" s="399">
        <v>5809.3712559177038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9739.0418000000009</v>
      </c>
      <c r="CJ333" s="399">
        <v>227.65664000000106</v>
      </c>
      <c r="CK333" s="399"/>
      <c r="CL333" s="399"/>
      <c r="CM333" s="399"/>
      <c r="CN333" s="399"/>
      <c r="CO333" s="399">
        <v>-468.88992000000047</v>
      </c>
      <c r="CP333" s="399">
        <v>720.95027999999968</v>
      </c>
      <c r="CQ333" s="399">
        <v>30</v>
      </c>
      <c r="CR333" s="399">
        <v>865.87472829778926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76.926764960643141</v>
      </c>
      <c r="DA333" s="399">
        <v>0</v>
      </c>
      <c r="DB333" s="399">
        <v>0</v>
      </c>
      <c r="DC333" s="399">
        <v>721.12152252048418</v>
      </c>
      <c r="DD333" s="399">
        <v>0</v>
      </c>
      <c r="DE333" s="399">
        <v>0</v>
      </c>
      <c r="DF333" s="399">
        <v>0</v>
      </c>
      <c r="DG333" s="399">
        <v>69.81192258703004</v>
      </c>
      <c r="DH333" s="399">
        <v>0</v>
      </c>
      <c r="DI333" s="399">
        <v>0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0</v>
      </c>
      <c r="DP333" s="399">
        <v>-1.9854817703686045</v>
      </c>
      <c r="DQ333" s="399">
        <v>0</v>
      </c>
      <c r="DR333" s="399">
        <v>0</v>
      </c>
      <c r="DS333" s="399"/>
      <c r="DT333" s="399"/>
      <c r="DU333" s="399"/>
      <c r="DV333" s="399">
        <v>2838.1524522681862</v>
      </c>
      <c r="DW333" s="399">
        <v>0</v>
      </c>
      <c r="DX333" s="399">
        <v>0</v>
      </c>
      <c r="DY333" s="399">
        <v>-468.88992000000053</v>
      </c>
      <c r="DZ333" s="399">
        <v>720.95027999999911</v>
      </c>
      <c r="EA333" s="399">
        <v>0</v>
      </c>
      <c r="EB333" s="399">
        <v>0</v>
      </c>
      <c r="EC333" s="399">
        <v>-613.59324669713124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215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336</v>
      </c>
      <c r="B334" s="399" t="s">
        <v>956</v>
      </c>
      <c r="C334" s="399" t="s">
        <v>2343</v>
      </c>
      <c r="D334" s="399" t="s">
        <v>1823</v>
      </c>
      <c r="E334" s="399" t="s">
        <v>889</v>
      </c>
      <c r="F334" s="399" t="s">
        <v>2350</v>
      </c>
      <c r="G334" s="399" t="s">
        <v>1239</v>
      </c>
      <c r="H334" s="399" t="s">
        <v>1239</v>
      </c>
      <c r="I334" s="399" t="s">
        <v>1239</v>
      </c>
      <c r="J334" s="399" t="s">
        <v>2344</v>
      </c>
      <c r="K334" s="791">
        <v>44652</v>
      </c>
      <c r="L334" s="399">
        <v>0</v>
      </c>
      <c r="M334" s="399">
        <v>0</v>
      </c>
      <c r="N334" s="399">
        <v>27.399000000000001</v>
      </c>
      <c r="O334" s="399">
        <v>27.399000000000001</v>
      </c>
      <c r="P334" s="399">
        <v>27.399000000000001</v>
      </c>
      <c r="Q334" s="399">
        <v>27.399000000000001</v>
      </c>
      <c r="R334" s="399"/>
      <c r="S334" s="399">
        <v>158.36000000000001</v>
      </c>
      <c r="T334" s="399">
        <v>171.61</v>
      </c>
      <c r="U334" s="399"/>
      <c r="V334" s="399">
        <v>9040.848030000001</v>
      </c>
      <c r="W334" s="399">
        <v>9040.848030000001</v>
      </c>
      <c r="X334" s="399">
        <v>9256.4781600000006</v>
      </c>
      <c r="Y334" s="399">
        <v>0</v>
      </c>
      <c r="Z334" s="399">
        <v>0</v>
      </c>
      <c r="AA334" s="399">
        <v>0</v>
      </c>
      <c r="AB334" s="399">
        <v>0</v>
      </c>
      <c r="AC334" s="399">
        <v>0</v>
      </c>
      <c r="AD334" s="399">
        <v>1461.3528729808274</v>
      </c>
      <c r="AE334" s="399">
        <v>2427.9548844665928</v>
      </c>
      <c r="AF334" s="399">
        <v>4531.0884647997009</v>
      </c>
      <c r="AG334" s="399">
        <v>170.84254498087321</v>
      </c>
      <c r="AH334" s="399">
        <v>0</v>
      </c>
      <c r="AI334" s="399">
        <v>0</v>
      </c>
      <c r="AJ334" s="399">
        <v>0</v>
      </c>
      <c r="AK334" s="399">
        <v>0</v>
      </c>
      <c r="AL334" s="399">
        <v>0</v>
      </c>
      <c r="AM334" s="399"/>
      <c r="AN334" s="399">
        <v>10.851419060202591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438.6556041677394</v>
      </c>
      <c r="BH334" s="399">
        <v>0</v>
      </c>
      <c r="BI334" s="399">
        <v>0</v>
      </c>
      <c r="BJ334" s="399">
        <v>0</v>
      </c>
      <c r="BK334" s="399">
        <v>3084.47</v>
      </c>
      <c r="BL334" s="399">
        <v>200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4969.7440689674404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9256.8159999999989</v>
      </c>
      <c r="CJ334" s="399">
        <v>215.93796999999722</v>
      </c>
      <c r="CK334" s="399"/>
      <c r="CL334" s="399"/>
      <c r="CM334" s="399"/>
      <c r="CN334" s="399"/>
      <c r="CO334" s="399">
        <v>-401.12136000000044</v>
      </c>
      <c r="CP334" s="399">
        <v>616.75148999999976</v>
      </c>
      <c r="CQ334" s="399">
        <v>30</v>
      </c>
      <c r="CR334" s="399">
        <v>740.7300387358282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65.808556049602203</v>
      </c>
      <c r="DA334" s="399">
        <v>0</v>
      </c>
      <c r="DB334" s="399">
        <v>0</v>
      </c>
      <c r="DC334" s="399">
        <v>616.89798287556914</v>
      </c>
      <c r="DD334" s="399">
        <v>0</v>
      </c>
      <c r="DE334" s="399">
        <v>0</v>
      </c>
      <c r="DF334" s="399">
        <v>0</v>
      </c>
      <c r="DG334" s="399">
        <v>59.722020324779464</v>
      </c>
      <c r="DH334" s="399">
        <v>0</v>
      </c>
      <c r="DI334" s="399">
        <v>0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0</v>
      </c>
      <c r="DP334" s="399">
        <v>-1.6985205141229365</v>
      </c>
      <c r="DQ334" s="399">
        <v>0</v>
      </c>
      <c r="DR334" s="399">
        <v>0</v>
      </c>
      <c r="DS334" s="399"/>
      <c r="DT334" s="399"/>
      <c r="DU334" s="399"/>
      <c r="DV334" s="399">
        <v>2427.9548844665928</v>
      </c>
      <c r="DW334" s="399">
        <v>0</v>
      </c>
      <c r="DX334" s="399">
        <v>0</v>
      </c>
      <c r="DY334" s="399">
        <v>-401.12136000000055</v>
      </c>
      <c r="DZ334" s="399">
        <v>616.75149000000056</v>
      </c>
      <c r="EA334" s="399">
        <v>0</v>
      </c>
      <c r="EB334" s="399">
        <v>0</v>
      </c>
      <c r="EC334" s="399">
        <v>-524.91074579289057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215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337</v>
      </c>
      <c r="B335" s="399" t="s">
        <v>956</v>
      </c>
      <c r="C335" s="399" t="s">
        <v>2343</v>
      </c>
      <c r="D335" s="399" t="s">
        <v>1826</v>
      </c>
      <c r="E335" s="399" t="s">
        <v>890</v>
      </c>
      <c r="F335" s="399" t="s">
        <v>1239</v>
      </c>
      <c r="G335" s="399" t="s">
        <v>1239</v>
      </c>
      <c r="H335" s="399" t="s">
        <v>1239</v>
      </c>
      <c r="I335" s="399" t="s">
        <v>1239</v>
      </c>
      <c r="J335" s="399" t="s">
        <v>2344</v>
      </c>
      <c r="K335" s="791">
        <v>44652</v>
      </c>
      <c r="L335" s="399">
        <v>0</v>
      </c>
      <c r="M335" s="399">
        <v>0</v>
      </c>
      <c r="N335" s="399">
        <v>210.76400000000001</v>
      </c>
      <c r="O335" s="399">
        <v>210.76400000000001</v>
      </c>
      <c r="P335" s="399">
        <v>210.76400000000001</v>
      </c>
      <c r="Q335" s="399">
        <v>210.76400000000001</v>
      </c>
      <c r="R335" s="399"/>
      <c r="S335" s="399">
        <v>239.69</v>
      </c>
      <c r="T335" s="399">
        <v>171.61</v>
      </c>
      <c r="U335" s="399"/>
      <c r="V335" s="399">
        <v>86687.233200000017</v>
      </c>
      <c r="W335" s="399">
        <v>86687.233200000017</v>
      </c>
      <c r="X335" s="399">
        <v>86368.979560000007</v>
      </c>
      <c r="Y335" s="399">
        <v>0</v>
      </c>
      <c r="Z335" s="399">
        <v>12742.222232580698</v>
      </c>
      <c r="AA335" s="399">
        <v>0</v>
      </c>
      <c r="AB335" s="399">
        <v>0</v>
      </c>
      <c r="AC335" s="399">
        <v>0</v>
      </c>
      <c r="AD335" s="399">
        <v>11241.307234604588</v>
      </c>
      <c r="AE335" s="399">
        <v>18676.794162915325</v>
      </c>
      <c r="AF335" s="399">
        <v>34854.933727327421</v>
      </c>
      <c r="AG335" s="399">
        <v>1314.1887715007394</v>
      </c>
      <c r="AH335" s="399">
        <v>0</v>
      </c>
      <c r="AI335" s="399">
        <v>0</v>
      </c>
      <c r="AJ335" s="399">
        <v>0</v>
      </c>
      <c r="AK335" s="399">
        <v>0</v>
      </c>
      <c r="AL335" s="399">
        <v>1970.2452198901533</v>
      </c>
      <c r="AM335" s="399"/>
      <c r="AN335" s="399">
        <v>83.473429205611112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3374.3132872298052</v>
      </c>
      <c r="BH335" s="399">
        <v>0</v>
      </c>
      <c r="BI335" s="399">
        <v>0</v>
      </c>
      <c r="BJ335" s="399">
        <v>0</v>
      </c>
      <c r="BK335" s="399">
        <v>35364.379999999997</v>
      </c>
      <c r="BL335" s="399">
        <v>79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38229.24701455723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86367.340400000001</v>
      </c>
      <c r="CJ335" s="399">
        <v>-319.92280000000028</v>
      </c>
      <c r="CK335" s="399"/>
      <c r="CL335" s="399"/>
      <c r="CM335" s="399"/>
      <c r="CN335" s="399"/>
      <c r="CO335" s="399">
        <v>-5062.5512800000024</v>
      </c>
      <c r="CP335" s="399">
        <v>4744.297639999998</v>
      </c>
      <c r="CQ335" s="399">
        <v>30</v>
      </c>
      <c r="CR335" s="399">
        <v>3720.7524385159486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506.22557419023906</v>
      </c>
      <c r="DA335" s="399">
        <v>0</v>
      </c>
      <c r="DB335" s="399">
        <v>0</v>
      </c>
      <c r="DC335" s="399">
        <v>4745.424521434601</v>
      </c>
      <c r="DD335" s="399">
        <v>0</v>
      </c>
      <c r="DE335" s="399">
        <v>0</v>
      </c>
      <c r="DF335" s="399">
        <v>0</v>
      </c>
      <c r="DG335" s="399">
        <v>459.40552179757742</v>
      </c>
      <c r="DH335" s="399">
        <v>0</v>
      </c>
      <c r="DI335" s="399">
        <v>-1750.1793096538295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-227.05817424045404</v>
      </c>
      <c r="DP335" s="399">
        <v>-13.065695012175851</v>
      </c>
      <c r="DQ335" s="399">
        <v>0</v>
      </c>
      <c r="DR335" s="399">
        <v>0</v>
      </c>
      <c r="DS335" s="399"/>
      <c r="DT335" s="399"/>
      <c r="DU335" s="399"/>
      <c r="DV335" s="399">
        <v>18676.794162915325</v>
      </c>
      <c r="DW335" s="399">
        <v>0</v>
      </c>
      <c r="DX335" s="399">
        <v>0</v>
      </c>
      <c r="DY335" s="399">
        <v>-5062.551280000007</v>
      </c>
      <c r="DZ335" s="399">
        <v>4744.297639999997</v>
      </c>
      <c r="EA335" s="399">
        <v>0</v>
      </c>
      <c r="EB335" s="399">
        <v>0</v>
      </c>
      <c r="EC335" s="399">
        <v>-4037.8221258546964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2429.8974386497616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215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338</v>
      </c>
      <c r="B336" s="399" t="s">
        <v>2346</v>
      </c>
      <c r="C336" s="399" t="s">
        <v>2343</v>
      </c>
      <c r="D336" s="399" t="s">
        <v>1826</v>
      </c>
      <c r="E336" s="399" t="s">
        <v>890</v>
      </c>
      <c r="F336" s="399" t="s">
        <v>1239</v>
      </c>
      <c r="G336" s="399" t="s">
        <v>1239</v>
      </c>
      <c r="H336" s="399" t="s">
        <v>1239</v>
      </c>
      <c r="I336" s="399" t="s">
        <v>1239</v>
      </c>
      <c r="J336" s="399" t="s">
        <v>2344</v>
      </c>
      <c r="K336" s="791">
        <v>44652</v>
      </c>
      <c r="L336" s="399">
        <v>0</v>
      </c>
      <c r="M336" s="399">
        <v>0</v>
      </c>
      <c r="N336" s="399">
        <v>5.7160000000000002</v>
      </c>
      <c r="O336" s="399">
        <v>5.7160000000000002</v>
      </c>
      <c r="P336" s="399">
        <v>5.7160000000000002</v>
      </c>
      <c r="Q336" s="399">
        <v>5.7160000000000002</v>
      </c>
      <c r="R336" s="399"/>
      <c r="S336" s="399">
        <v>239.69</v>
      </c>
      <c r="T336" s="399">
        <v>171.61</v>
      </c>
      <c r="U336" s="399"/>
      <c r="V336" s="399">
        <v>2350.9908000000005</v>
      </c>
      <c r="W336" s="399">
        <v>2350.9908000000005</v>
      </c>
      <c r="X336" s="399">
        <v>2342.3596400000001</v>
      </c>
      <c r="Y336" s="399">
        <v>0</v>
      </c>
      <c r="Z336" s="399">
        <v>345.57392287786945</v>
      </c>
      <c r="AA336" s="399">
        <v>0</v>
      </c>
      <c r="AB336" s="399">
        <v>0</v>
      </c>
      <c r="AC336" s="399">
        <v>0</v>
      </c>
      <c r="AD336" s="399">
        <v>304.86853614943647</v>
      </c>
      <c r="AE336" s="399">
        <v>506.52177523307586</v>
      </c>
      <c r="AF336" s="399">
        <v>945.27908554308874</v>
      </c>
      <c r="AG336" s="399">
        <v>35.64130030697001</v>
      </c>
      <c r="AH336" s="399">
        <v>0</v>
      </c>
      <c r="AI336" s="399">
        <v>0</v>
      </c>
      <c r="AJ336" s="399">
        <v>0</v>
      </c>
      <c r="AK336" s="399">
        <v>0</v>
      </c>
      <c r="AL336" s="399">
        <v>53.433801203678598</v>
      </c>
      <c r="AM336" s="399"/>
      <c r="AN336" s="399">
        <v>2.2638312109244136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91.512662265878262</v>
      </c>
      <c r="BH336" s="399">
        <v>0</v>
      </c>
      <c r="BI336" s="399">
        <v>0</v>
      </c>
      <c r="BJ336" s="399">
        <v>0</v>
      </c>
      <c r="BK336" s="399">
        <v>1054.07</v>
      </c>
      <c r="BL336" s="399">
        <v>5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>
        <v>1036.7917478089671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2343.9987999999998</v>
      </c>
      <c r="CJ336" s="399">
        <v>-7.0220000000003893</v>
      </c>
      <c r="CK336" s="399"/>
      <c r="CL336" s="399"/>
      <c r="CM336" s="399"/>
      <c r="CN336" s="399"/>
      <c r="CO336" s="399">
        <v>-137.29832000000007</v>
      </c>
      <c r="CP336" s="399">
        <v>128.66715999999994</v>
      </c>
      <c r="CQ336" s="399">
        <v>30</v>
      </c>
      <c r="CR336" s="399">
        <v>100.90822407316796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13.72903048941663</v>
      </c>
      <c r="DA336" s="399">
        <v>0</v>
      </c>
      <c r="DB336" s="399">
        <v>0</v>
      </c>
      <c r="DC336" s="399">
        <v>128.69772145394927</v>
      </c>
      <c r="DD336" s="399">
        <v>0</v>
      </c>
      <c r="DE336" s="399">
        <v>0</v>
      </c>
      <c r="DF336" s="399">
        <v>0</v>
      </c>
      <c r="DG336" s="399">
        <v>12.459252825885599</v>
      </c>
      <c r="DH336" s="399">
        <v>0</v>
      </c>
      <c r="DI336" s="399">
        <v>-47.465529853206931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-6.1579042149438905</v>
      </c>
      <c r="DP336" s="399">
        <v>-0.35434662793265082</v>
      </c>
      <c r="DQ336" s="399">
        <v>0</v>
      </c>
      <c r="DR336" s="399">
        <v>0</v>
      </c>
      <c r="DS336" s="399"/>
      <c r="DT336" s="399"/>
      <c r="DU336" s="399"/>
      <c r="DV336" s="399">
        <v>506.52177523307586</v>
      </c>
      <c r="DW336" s="399">
        <v>0</v>
      </c>
      <c r="DX336" s="399">
        <v>0</v>
      </c>
      <c r="DY336" s="399">
        <v>-137.2983200000001</v>
      </c>
      <c r="DZ336" s="399">
        <v>128.66715999999997</v>
      </c>
      <c r="EA336" s="399">
        <v>0</v>
      </c>
      <c r="EB336" s="399">
        <v>0</v>
      </c>
      <c r="EC336" s="399">
        <v>-109.50727482580254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65.89974454518817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215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339</v>
      </c>
      <c r="B337" s="399" t="s">
        <v>956</v>
      </c>
      <c r="C337" s="399" t="s">
        <v>2351</v>
      </c>
      <c r="D337" s="399" t="s">
        <v>533</v>
      </c>
      <c r="E337" s="399" t="s">
        <v>890</v>
      </c>
      <c r="F337" s="399" t="s">
        <v>1239</v>
      </c>
      <c r="G337" s="399" t="s">
        <v>1239</v>
      </c>
      <c r="H337" s="399" t="s">
        <v>1239</v>
      </c>
      <c r="I337" s="399" t="s">
        <v>893</v>
      </c>
      <c r="J337" s="399" t="s">
        <v>2344</v>
      </c>
      <c r="K337" s="791">
        <v>44652</v>
      </c>
      <c r="L337" s="399">
        <v>19275</v>
      </c>
      <c r="M337" s="399">
        <v>19275</v>
      </c>
      <c r="N337" s="399">
        <v>806.50800000000004</v>
      </c>
      <c r="O337" s="399">
        <v>806.50800000000004</v>
      </c>
      <c r="P337" s="399">
        <v>806.50800000000004</v>
      </c>
      <c r="Q337" s="399">
        <v>806.50800000000004</v>
      </c>
      <c r="R337" s="399">
        <v>37.64</v>
      </c>
      <c r="S337" s="399">
        <v>78.42</v>
      </c>
      <c r="T337" s="399">
        <v>171.61</v>
      </c>
      <c r="U337" s="399">
        <v>725511</v>
      </c>
      <c r="V337" s="399">
        <v>201651.19524</v>
      </c>
      <c r="W337" s="399">
        <v>927162.19524000003</v>
      </c>
      <c r="X337" s="399">
        <v>864673.63032000011</v>
      </c>
      <c r="Y337" s="399">
        <v>0</v>
      </c>
      <c r="Z337" s="399">
        <v>42420.587132850713</v>
      </c>
      <c r="AA337" s="399">
        <v>0</v>
      </c>
      <c r="AB337" s="399">
        <v>0</v>
      </c>
      <c r="AC337" s="399">
        <v>0</v>
      </c>
      <c r="AD337" s="399">
        <v>315032.82153451984</v>
      </c>
      <c r="AE337" s="399">
        <v>410412.54103622196</v>
      </c>
      <c r="AF337" s="399">
        <v>133375.63763526687</v>
      </c>
      <c r="AG337" s="399">
        <v>5028.8652603173141</v>
      </c>
      <c r="AH337" s="399">
        <v>0</v>
      </c>
      <c r="AI337" s="399">
        <v>0</v>
      </c>
      <c r="AJ337" s="399">
        <v>0</v>
      </c>
      <c r="AK337" s="399">
        <v>0</v>
      </c>
      <c r="AL337" s="399">
        <v>7539.3261268678125</v>
      </c>
      <c r="AM337" s="399"/>
      <c r="AN337" s="399">
        <v>212.96688546455465</v>
      </c>
      <c r="AO337" s="399">
        <v>0</v>
      </c>
      <c r="AP337" s="399">
        <v>0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4985.2588393764499</v>
      </c>
      <c r="BH337" s="399">
        <v>0</v>
      </c>
      <c r="BI337" s="399">
        <v>0</v>
      </c>
      <c r="BJ337" s="399">
        <v>0</v>
      </c>
      <c r="BK337" s="399">
        <v>0</v>
      </c>
      <c r="BL337" s="399">
        <v>0</v>
      </c>
      <c r="BM337" s="399"/>
      <c r="BN337" s="399"/>
      <c r="BO337" s="399"/>
      <c r="BP337" s="399"/>
      <c r="BQ337" s="399"/>
      <c r="BR337" s="399"/>
      <c r="BS337" s="399"/>
      <c r="BT337" s="399"/>
      <c r="BU337" s="399"/>
      <c r="BV337" s="399">
        <v>138360.89647464332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864674.16040000017</v>
      </c>
      <c r="CJ337" s="399">
        <v>-62488.06483999989</v>
      </c>
      <c r="CK337" s="399"/>
      <c r="CL337" s="399"/>
      <c r="CM337" s="399"/>
      <c r="CN337" s="399"/>
      <c r="CO337" s="399">
        <v>-80643.059999999954</v>
      </c>
      <c r="CP337" s="399">
        <v>18154.495079999993</v>
      </c>
      <c r="CQ337" s="399">
        <v>30</v>
      </c>
      <c r="CR337" s="399">
        <v>26295.516142649692</v>
      </c>
      <c r="CS337" s="399">
        <v>0</v>
      </c>
      <c r="CT337" s="399">
        <v>0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14186.75494244619</v>
      </c>
      <c r="DA337" s="399">
        <v>0</v>
      </c>
      <c r="DB337" s="399">
        <v>0</v>
      </c>
      <c r="DC337" s="399">
        <v>18158.807196357899</v>
      </c>
      <c r="DD337" s="399">
        <v>0</v>
      </c>
      <c r="DE337" s="399">
        <v>0</v>
      </c>
      <c r="DF337" s="399">
        <v>0</v>
      </c>
      <c r="DG337" s="399">
        <v>678.73230593828339</v>
      </c>
      <c r="DH337" s="399">
        <v>0</v>
      </c>
      <c r="DI337" s="399">
        <v>-5826.5844487822542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-868.85916945170811</v>
      </c>
      <c r="DP337" s="399">
        <v>-33.33468385872709</v>
      </c>
      <c r="DQ337" s="399">
        <v>0</v>
      </c>
      <c r="DR337" s="399">
        <v>0</v>
      </c>
      <c r="DS337" s="399"/>
      <c r="DT337" s="399"/>
      <c r="DU337" s="399">
        <v>410412.54103622196</v>
      </c>
      <c r="DV337" s="399">
        <v>0</v>
      </c>
      <c r="DW337" s="399">
        <v>0</v>
      </c>
      <c r="DX337" s="399">
        <v>0</v>
      </c>
      <c r="DY337" s="399">
        <v>-80643.059999999939</v>
      </c>
      <c r="DZ337" s="399">
        <v>18154.495079999993</v>
      </c>
      <c r="EA337" s="399">
        <v>0</v>
      </c>
      <c r="EB337" s="399">
        <v>0</v>
      </c>
      <c r="EC337" s="399">
        <v>-88728.976957660401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8089.4583486836773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215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340</v>
      </c>
      <c r="B338" s="399" t="s">
        <v>2346</v>
      </c>
      <c r="C338" s="399" t="s">
        <v>2351</v>
      </c>
      <c r="D338" s="399" t="s">
        <v>533</v>
      </c>
      <c r="E338" s="399" t="s">
        <v>890</v>
      </c>
      <c r="F338" s="399" t="s">
        <v>1239</v>
      </c>
      <c r="G338" s="399" t="s">
        <v>1239</v>
      </c>
      <c r="H338" s="399" t="s">
        <v>1239</v>
      </c>
      <c r="I338" s="399" t="s">
        <v>893</v>
      </c>
      <c r="J338" s="399" t="s">
        <v>2344</v>
      </c>
      <c r="K338" s="791">
        <v>44652</v>
      </c>
      <c r="L338" s="399">
        <v>1580</v>
      </c>
      <c r="M338" s="399">
        <v>1580</v>
      </c>
      <c r="N338" s="399">
        <v>72.503</v>
      </c>
      <c r="O338" s="399">
        <v>72.503</v>
      </c>
      <c r="P338" s="399">
        <v>72.503</v>
      </c>
      <c r="Q338" s="399">
        <v>72.503</v>
      </c>
      <c r="R338" s="399">
        <v>37.64</v>
      </c>
      <c r="S338" s="399">
        <v>78.42</v>
      </c>
      <c r="T338" s="399">
        <v>171.61</v>
      </c>
      <c r="U338" s="399">
        <v>59471.200000000004</v>
      </c>
      <c r="V338" s="399">
        <v>18127.925090000001</v>
      </c>
      <c r="W338" s="399">
        <v>77599.125090000001</v>
      </c>
      <c r="X338" s="399">
        <v>72572.79512000001</v>
      </c>
      <c r="Y338" s="399">
        <v>0</v>
      </c>
      <c r="Z338" s="399">
        <v>3813.5019477712249</v>
      </c>
      <c r="AA338" s="399">
        <v>0</v>
      </c>
      <c r="AB338" s="399">
        <v>0</v>
      </c>
      <c r="AC338" s="399">
        <v>0</v>
      </c>
      <c r="AD338" s="399">
        <v>25823.70210244054</v>
      </c>
      <c r="AE338" s="399">
        <v>33642.117501283043</v>
      </c>
      <c r="AF338" s="399">
        <v>11990.127631058531</v>
      </c>
      <c r="AG338" s="399">
        <v>452.08208470193256</v>
      </c>
      <c r="AH338" s="399">
        <v>0</v>
      </c>
      <c r="AI338" s="399">
        <v>0</v>
      </c>
      <c r="AJ338" s="399">
        <v>0</v>
      </c>
      <c r="AK338" s="399">
        <v>0</v>
      </c>
      <c r="AL338" s="399">
        <v>677.76607569459566</v>
      </c>
      <c r="AM338" s="399"/>
      <c r="AN338" s="399">
        <v>19.145176609328864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448.16197933723004</v>
      </c>
      <c r="BH338" s="399">
        <v>0</v>
      </c>
      <c r="BI338" s="399">
        <v>0</v>
      </c>
      <c r="BJ338" s="399">
        <v>0</v>
      </c>
      <c r="BK338" s="399">
        <v>0</v>
      </c>
      <c r="BL338" s="399">
        <v>0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12438.289610395761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72572</v>
      </c>
      <c r="CJ338" s="399">
        <v>-5027.1550900000002</v>
      </c>
      <c r="CK338" s="399"/>
      <c r="CL338" s="399"/>
      <c r="CM338" s="399"/>
      <c r="CN338" s="399"/>
      <c r="CO338" s="399">
        <v>-6658.3724999999959</v>
      </c>
      <c r="CP338" s="399">
        <v>1632.0425299999993</v>
      </c>
      <c r="CQ338" s="399">
        <v>30</v>
      </c>
      <c r="CR338" s="399">
        <v>2251.4556604666359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1162.909095152525</v>
      </c>
      <c r="DA338" s="399">
        <v>0</v>
      </c>
      <c r="DB338" s="399">
        <v>0</v>
      </c>
      <c r="DC338" s="399">
        <v>1632.4301781972863</v>
      </c>
      <c r="DD338" s="399">
        <v>0</v>
      </c>
      <c r="DE338" s="399">
        <v>0</v>
      </c>
      <c r="DF338" s="399">
        <v>0</v>
      </c>
      <c r="DG338" s="399">
        <v>61.016292928828193</v>
      </c>
      <c r="DH338" s="399">
        <v>0</v>
      </c>
      <c r="DI338" s="399">
        <v>-523.7949930937566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-78.108210163764284</v>
      </c>
      <c r="DP338" s="399">
        <v>-2.9967025544809083</v>
      </c>
      <c r="DQ338" s="399">
        <v>0</v>
      </c>
      <c r="DR338" s="399">
        <v>0</v>
      </c>
      <c r="DS338" s="399"/>
      <c r="DT338" s="399"/>
      <c r="DU338" s="399">
        <v>33642.117501283043</v>
      </c>
      <c r="DV338" s="399">
        <v>0</v>
      </c>
      <c r="DW338" s="399">
        <v>0</v>
      </c>
      <c r="DX338" s="399">
        <v>0</v>
      </c>
      <c r="DY338" s="399">
        <v>-6658.3724999999977</v>
      </c>
      <c r="DZ338" s="399">
        <v>1632.0425300000006</v>
      </c>
      <c r="EA338" s="399">
        <v>0</v>
      </c>
      <c r="EB338" s="399">
        <v>0</v>
      </c>
      <c r="EC338" s="399">
        <v>-7273.2442849859071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727.22155100087366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215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341</v>
      </c>
      <c r="B339" s="399" t="s">
        <v>956</v>
      </c>
      <c r="C339" s="399" t="s">
        <v>2351</v>
      </c>
      <c r="D339" s="399" t="s">
        <v>533</v>
      </c>
      <c r="E339" s="399" t="s">
        <v>890</v>
      </c>
      <c r="F339" s="399" t="s">
        <v>1239</v>
      </c>
      <c r="G339" s="399" t="s">
        <v>1239</v>
      </c>
      <c r="H339" s="399" t="s">
        <v>1239</v>
      </c>
      <c r="I339" s="399" t="s">
        <v>2326</v>
      </c>
      <c r="J339" s="399" t="s">
        <v>2344</v>
      </c>
      <c r="K339" s="791">
        <v>44652</v>
      </c>
      <c r="L339" s="399">
        <v>21271</v>
      </c>
      <c r="M339" s="399">
        <v>21271</v>
      </c>
      <c r="N339" s="399">
        <v>7665.6679999999997</v>
      </c>
      <c r="O339" s="399">
        <v>7665.6679999999997</v>
      </c>
      <c r="P339" s="399">
        <v>7665.6679999999997</v>
      </c>
      <c r="Q339" s="399">
        <v>7665.6679999999997</v>
      </c>
      <c r="R339" s="399">
        <v>12.58</v>
      </c>
      <c r="S339" s="399">
        <v>78.42</v>
      </c>
      <c r="T339" s="399">
        <v>171.61</v>
      </c>
      <c r="U339" s="399">
        <v>267589.18</v>
      </c>
      <c r="V339" s="399">
        <v>1916646.97004</v>
      </c>
      <c r="W339" s="399">
        <v>2184236.1500399997</v>
      </c>
      <c r="X339" s="399">
        <v>2278239.5367199997</v>
      </c>
      <c r="Y339" s="399">
        <v>0</v>
      </c>
      <c r="Z339" s="399">
        <v>403197.65870333015</v>
      </c>
      <c r="AA339" s="399">
        <v>0</v>
      </c>
      <c r="AB339" s="399">
        <v>0</v>
      </c>
      <c r="AC339" s="399">
        <v>0</v>
      </c>
      <c r="AD339" s="399">
        <v>140972.26395581712</v>
      </c>
      <c r="AE339" s="399">
        <v>126556.26067945804</v>
      </c>
      <c r="AF339" s="399">
        <v>1267703.9253178651</v>
      </c>
      <c r="AG339" s="399">
        <v>47798.176214403451</v>
      </c>
      <c r="AH339" s="399">
        <v>0</v>
      </c>
      <c r="AI339" s="399">
        <v>0</v>
      </c>
      <c r="AJ339" s="399">
        <v>0</v>
      </c>
      <c r="AK339" s="399">
        <v>0</v>
      </c>
      <c r="AL339" s="399">
        <v>71659.513646851032</v>
      </c>
      <c r="AM339" s="399"/>
      <c r="AN339" s="399">
        <v>2024.1999322577105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47383.707485511848</v>
      </c>
      <c r="BH339" s="399">
        <v>0</v>
      </c>
      <c r="BI339" s="399">
        <v>0</v>
      </c>
      <c r="BJ339" s="399">
        <v>0</v>
      </c>
      <c r="BK339" s="399">
        <v>0</v>
      </c>
      <c r="BL339" s="399">
        <v>0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1315087.632803377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2278240.0668000001</v>
      </c>
      <c r="CJ339" s="399">
        <v>94003.886760000139</v>
      </c>
      <c r="CK339" s="399"/>
      <c r="CL339" s="399"/>
      <c r="CM339" s="399"/>
      <c r="CN339" s="399"/>
      <c r="CO339" s="399">
        <v>-78550.8</v>
      </c>
      <c r="CP339" s="399">
        <v>172554.18667999993</v>
      </c>
      <c r="CQ339" s="399">
        <v>30</v>
      </c>
      <c r="CR339" s="399">
        <v>121439.26558626094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6348.3511104694917</v>
      </c>
      <c r="DA339" s="399">
        <v>0</v>
      </c>
      <c r="DB339" s="399">
        <v>0</v>
      </c>
      <c r="DC339" s="399">
        <v>172595.17232723115</v>
      </c>
      <c r="DD339" s="399">
        <v>0</v>
      </c>
      <c r="DE339" s="399">
        <v>0</v>
      </c>
      <c r="DF339" s="399">
        <v>0</v>
      </c>
      <c r="DG339" s="399">
        <v>6451.1902153448027</v>
      </c>
      <c r="DH339" s="399">
        <v>0</v>
      </c>
      <c r="DI339" s="399">
        <v>-55380.308637146431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-8258.3011349825974</v>
      </c>
      <c r="DP339" s="399">
        <v>-316.83829465542908</v>
      </c>
      <c r="DQ339" s="399">
        <v>0</v>
      </c>
      <c r="DR339" s="399">
        <v>0</v>
      </c>
      <c r="DS339" s="399"/>
      <c r="DT339" s="399"/>
      <c r="DU339" s="399">
        <v>126556.26067945804</v>
      </c>
      <c r="DV339" s="399">
        <v>0</v>
      </c>
      <c r="DW339" s="399">
        <v>0</v>
      </c>
      <c r="DX339" s="399">
        <v>0</v>
      </c>
      <c r="DY339" s="399">
        <v>-78550.79999999993</v>
      </c>
      <c r="DZ339" s="399">
        <v>172554.18667999981</v>
      </c>
      <c r="EA339" s="399">
        <v>0</v>
      </c>
      <c r="EB339" s="399">
        <v>0</v>
      </c>
      <c r="EC339" s="399">
        <v>-27360.78071426283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76888.390444778357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215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342</v>
      </c>
      <c r="B340" s="399" t="s">
        <v>2346</v>
      </c>
      <c r="C340" s="399" t="s">
        <v>2351</v>
      </c>
      <c r="D340" s="399" t="s">
        <v>533</v>
      </c>
      <c r="E340" s="399" t="s">
        <v>890</v>
      </c>
      <c r="F340" s="399" t="s">
        <v>1239</v>
      </c>
      <c r="G340" s="399" t="s">
        <v>1239</v>
      </c>
      <c r="H340" s="399" t="s">
        <v>1239</v>
      </c>
      <c r="I340" s="399" t="s">
        <v>2326</v>
      </c>
      <c r="J340" s="399" t="s">
        <v>2344</v>
      </c>
      <c r="K340" s="791">
        <v>44652</v>
      </c>
      <c r="L340" s="399">
        <v>2004</v>
      </c>
      <c r="M340" s="399">
        <v>2004</v>
      </c>
      <c r="N340" s="399">
        <v>711.65099999999995</v>
      </c>
      <c r="O340" s="399">
        <v>711.65099999999995</v>
      </c>
      <c r="P340" s="399">
        <v>711.65099999999995</v>
      </c>
      <c r="Q340" s="399">
        <v>711.65099999999995</v>
      </c>
      <c r="R340" s="399">
        <v>12.58</v>
      </c>
      <c r="S340" s="399">
        <v>78.42</v>
      </c>
      <c r="T340" s="399">
        <v>171.61</v>
      </c>
      <c r="U340" s="399">
        <v>25210.32</v>
      </c>
      <c r="V340" s="399">
        <v>177934.09953000001</v>
      </c>
      <c r="W340" s="399">
        <v>203144.41953000001</v>
      </c>
      <c r="X340" s="399">
        <v>211842.34104</v>
      </c>
      <c r="Y340" s="399">
        <v>0</v>
      </c>
      <c r="Z340" s="399">
        <v>37431.312837170044</v>
      </c>
      <c r="AA340" s="399">
        <v>0</v>
      </c>
      <c r="AB340" s="399">
        <v>0</v>
      </c>
      <c r="AC340" s="399">
        <v>0</v>
      </c>
      <c r="AD340" s="399">
        <v>13281.388602673005</v>
      </c>
      <c r="AE340" s="399">
        <v>11923.216886918053</v>
      </c>
      <c r="AF340" s="399">
        <v>117688.73451816385</v>
      </c>
      <c r="AG340" s="399">
        <v>4437.398006430285</v>
      </c>
      <c r="AH340" s="399">
        <v>0</v>
      </c>
      <c r="AI340" s="399">
        <v>0</v>
      </c>
      <c r="AJ340" s="399">
        <v>0</v>
      </c>
      <c r="AK340" s="399">
        <v>0</v>
      </c>
      <c r="AL340" s="399">
        <v>6652.5923828549812</v>
      </c>
      <c r="AM340" s="399"/>
      <c r="AN340" s="399">
        <v>187.91890100003442</v>
      </c>
      <c r="AO340" s="399">
        <v>0</v>
      </c>
      <c r="AP340" s="399">
        <v>0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>
        <v>0</v>
      </c>
      <c r="BG340" s="399">
        <v>4398.9203309838085</v>
      </c>
      <c r="BH340" s="399">
        <v>0</v>
      </c>
      <c r="BI340" s="399">
        <v>0</v>
      </c>
      <c r="BJ340" s="399">
        <v>0</v>
      </c>
      <c r="BK340" s="399">
        <v>0</v>
      </c>
      <c r="BL340" s="399">
        <v>0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>
        <v>122087.65484914766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211842.076</v>
      </c>
      <c r="CJ340" s="399">
        <v>8697.6264699999883</v>
      </c>
      <c r="CK340" s="399"/>
      <c r="CL340" s="399"/>
      <c r="CM340" s="399"/>
      <c r="CN340" s="399"/>
      <c r="CO340" s="399">
        <v>-7321.3425000000007</v>
      </c>
      <c r="CP340" s="399">
        <v>16019.264009999992</v>
      </c>
      <c r="CQ340" s="399">
        <v>30</v>
      </c>
      <c r="CR340" s="399">
        <v>11282.691627584514</v>
      </c>
      <c r="CS340" s="399">
        <v>0</v>
      </c>
      <c r="CT340" s="399">
        <v>0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598.0957935866154</v>
      </c>
      <c r="DA340" s="399">
        <v>0</v>
      </c>
      <c r="DB340" s="399">
        <v>0</v>
      </c>
      <c r="DC340" s="399">
        <v>16023.068959136537</v>
      </c>
      <c r="DD340" s="399">
        <v>0</v>
      </c>
      <c r="DE340" s="399">
        <v>0</v>
      </c>
      <c r="DF340" s="399">
        <v>0</v>
      </c>
      <c r="DG340" s="399">
        <v>598.90357473612858</v>
      </c>
      <c r="DH340" s="399">
        <v>0</v>
      </c>
      <c r="DI340" s="399">
        <v>-5141.2938861862967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-766.66877055091572</v>
      </c>
      <c r="DP340" s="399">
        <v>-29.414043137510077</v>
      </c>
      <c r="DQ340" s="399">
        <v>0</v>
      </c>
      <c r="DR340" s="399">
        <v>0</v>
      </c>
      <c r="DS340" s="399"/>
      <c r="DT340" s="399"/>
      <c r="DU340" s="399">
        <v>11923.216886918053</v>
      </c>
      <c r="DV340" s="399">
        <v>0</v>
      </c>
      <c r="DW340" s="399">
        <v>0</v>
      </c>
      <c r="DX340" s="399">
        <v>0</v>
      </c>
      <c r="DY340" s="399">
        <v>-7321.3424999999988</v>
      </c>
      <c r="DZ340" s="399">
        <v>16019.264009999984</v>
      </c>
      <c r="EA340" s="399">
        <v>0</v>
      </c>
      <c r="EB340" s="399">
        <v>0</v>
      </c>
      <c r="EC340" s="399">
        <v>-2577.7351582616102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7138.0211024553837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215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343</v>
      </c>
      <c r="B341" s="399" t="s">
        <v>956</v>
      </c>
      <c r="C341" s="399" t="s">
        <v>2351</v>
      </c>
      <c r="D341" s="399" t="s">
        <v>533</v>
      </c>
      <c r="E341" s="399" t="s">
        <v>890</v>
      </c>
      <c r="F341" s="399" t="s">
        <v>1239</v>
      </c>
      <c r="G341" s="399" t="s">
        <v>1239</v>
      </c>
      <c r="H341" s="399" t="s">
        <v>1239</v>
      </c>
      <c r="I341" s="399" t="s">
        <v>1239</v>
      </c>
      <c r="J341" s="399" t="s">
        <v>2344</v>
      </c>
      <c r="K341" s="791">
        <v>44652</v>
      </c>
      <c r="L341" s="399">
        <v>0</v>
      </c>
      <c r="M341" s="399">
        <v>0</v>
      </c>
      <c r="N341" s="399">
        <v>0</v>
      </c>
      <c r="O341" s="399">
        <v>0</v>
      </c>
      <c r="P341" s="399">
        <v>0</v>
      </c>
      <c r="Q341" s="399">
        <v>0</v>
      </c>
      <c r="R341" s="399"/>
      <c r="S341" s="399"/>
      <c r="T341" s="399"/>
      <c r="U341" s="399"/>
      <c r="V341" s="399"/>
      <c r="W341" s="399"/>
      <c r="X341" s="399"/>
      <c r="Y341" s="399"/>
      <c r="Z341" s="399"/>
      <c r="AA341" s="399">
        <v>0</v>
      </c>
      <c r="AB341" s="399"/>
      <c r="AC341" s="399"/>
      <c r="AD341" s="399"/>
      <c r="AE341" s="399"/>
      <c r="AF341" s="399"/>
      <c r="AG341" s="399"/>
      <c r="AH341" s="399"/>
      <c r="AI341" s="399"/>
      <c r="AJ341" s="399"/>
      <c r="AK341" s="399"/>
      <c r="AL341" s="399"/>
      <c r="AM341" s="399"/>
      <c r="AN341" s="399"/>
      <c r="AO341" s="399"/>
      <c r="AP341" s="399"/>
      <c r="AQ341" s="399"/>
      <c r="AR341" s="399"/>
      <c r="AS341" s="399"/>
      <c r="AT341" s="399"/>
      <c r="AU341" s="399"/>
      <c r="AV341" s="399"/>
      <c r="AW341" s="399"/>
      <c r="AX341" s="399"/>
      <c r="AY341" s="399"/>
      <c r="AZ341" s="399">
        <v>0</v>
      </c>
      <c r="BA341" s="399"/>
      <c r="BB341" s="399"/>
      <c r="BC341" s="399"/>
      <c r="BD341" s="399"/>
      <c r="BE341" s="399"/>
      <c r="BF341" s="399"/>
      <c r="BG341" s="399"/>
      <c r="BH341" s="399"/>
      <c r="BI341" s="399">
        <v>0</v>
      </c>
      <c r="BJ341" s="399">
        <v>0</v>
      </c>
      <c r="BK341" s="399">
        <v>1238114.97</v>
      </c>
      <c r="BL341" s="399">
        <v>22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/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/>
      <c r="CJ341" s="399">
        <v>-0.03</v>
      </c>
      <c r="CK341" s="399"/>
      <c r="CL341" s="399"/>
      <c r="CM341" s="399"/>
      <c r="CN341" s="399"/>
      <c r="CO341" s="399">
        <v>0</v>
      </c>
      <c r="CP341" s="399">
        <v>0</v>
      </c>
      <c r="CQ341" s="399">
        <v>30</v>
      </c>
      <c r="CR341" s="399"/>
      <c r="CS341" s="399"/>
      <c r="CT341" s="399"/>
      <c r="CU341" s="399"/>
      <c r="CV341" s="399"/>
      <c r="CW341" s="399"/>
      <c r="CX341" s="399"/>
      <c r="CY341" s="399"/>
      <c r="CZ341" s="399"/>
      <c r="DA341" s="399"/>
      <c r="DB341" s="399"/>
      <c r="DC341" s="399"/>
      <c r="DD341" s="399"/>
      <c r="DE341" s="399"/>
      <c r="DF341" s="399"/>
      <c r="DG341" s="399"/>
      <c r="DH341" s="399"/>
      <c r="DI341" s="399"/>
      <c r="DJ341" s="399"/>
      <c r="DK341" s="399">
        <v>0</v>
      </c>
      <c r="DL341" s="399"/>
      <c r="DM341" s="399"/>
      <c r="DN341" s="399"/>
      <c r="DO341" s="399"/>
      <c r="DP341" s="399"/>
      <c r="DQ341" s="399"/>
      <c r="DR341" s="399"/>
      <c r="DS341" s="399"/>
      <c r="DT341" s="399"/>
      <c r="DU341" s="399"/>
      <c r="DV341" s="399"/>
      <c r="DW341" s="399"/>
      <c r="DX341" s="399"/>
      <c r="DY341" s="399"/>
      <c r="DZ341" s="399"/>
      <c r="EA341" s="399"/>
      <c r="EB341" s="399"/>
      <c r="EC341" s="399"/>
      <c r="ED341" s="399"/>
      <c r="EE341" s="399"/>
      <c r="EF341" s="399"/>
      <c r="EG341" s="399"/>
      <c r="EH341" s="399"/>
      <c r="EI341" s="399"/>
      <c r="EJ341" s="399"/>
      <c r="EK341" s="399"/>
      <c r="EL341" s="399"/>
      <c r="EM341" s="399"/>
      <c r="EN341" s="399"/>
      <c r="EO341" s="399"/>
      <c r="EP341" s="399"/>
      <c r="EQ341" s="399"/>
      <c r="ER341" s="399"/>
      <c r="ES341" s="399"/>
      <c r="ET341" s="399"/>
      <c r="EU341" s="399"/>
      <c r="EV341" s="399">
        <v>215</v>
      </c>
      <c r="EW341" s="399"/>
      <c r="EX341" s="399"/>
      <c r="EY341" s="399"/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344</v>
      </c>
      <c r="B342" s="399" t="s">
        <v>2346</v>
      </c>
      <c r="C342" s="399" t="s">
        <v>2351</v>
      </c>
      <c r="D342" s="399" t="s">
        <v>533</v>
      </c>
      <c r="E342" s="399" t="s">
        <v>890</v>
      </c>
      <c r="F342" s="399" t="s">
        <v>1239</v>
      </c>
      <c r="G342" s="399" t="s">
        <v>1239</v>
      </c>
      <c r="H342" s="399" t="s">
        <v>1239</v>
      </c>
      <c r="I342" s="399" t="s">
        <v>1239</v>
      </c>
      <c r="J342" s="399" t="s">
        <v>2344</v>
      </c>
      <c r="K342" s="791">
        <v>44652</v>
      </c>
      <c r="L342" s="399">
        <v>0</v>
      </c>
      <c r="M342" s="399">
        <v>0</v>
      </c>
      <c r="N342" s="399">
        <v>0</v>
      </c>
      <c r="O342" s="399">
        <v>0</v>
      </c>
      <c r="P342" s="399">
        <v>0</v>
      </c>
      <c r="Q342" s="399">
        <v>0</v>
      </c>
      <c r="R342" s="399"/>
      <c r="S342" s="399"/>
      <c r="T342" s="399"/>
      <c r="U342" s="399"/>
      <c r="V342" s="399"/>
      <c r="W342" s="399"/>
      <c r="X342" s="399"/>
      <c r="Y342" s="399"/>
      <c r="Z342" s="399"/>
      <c r="AA342" s="399">
        <v>0</v>
      </c>
      <c r="AB342" s="399"/>
      <c r="AC342" s="399"/>
      <c r="AD342" s="399"/>
      <c r="AE342" s="399"/>
      <c r="AF342" s="399"/>
      <c r="AG342" s="399"/>
      <c r="AH342" s="399"/>
      <c r="AI342" s="399"/>
      <c r="AJ342" s="399"/>
      <c r="AK342" s="399"/>
      <c r="AL342" s="399"/>
      <c r="AM342" s="399"/>
      <c r="AN342" s="399"/>
      <c r="AO342" s="399"/>
      <c r="AP342" s="399"/>
      <c r="AQ342" s="399"/>
      <c r="AR342" s="399"/>
      <c r="AS342" s="399"/>
      <c r="AT342" s="399"/>
      <c r="AU342" s="399"/>
      <c r="AV342" s="399"/>
      <c r="AW342" s="399"/>
      <c r="AX342" s="399"/>
      <c r="AY342" s="399"/>
      <c r="AZ342" s="399">
        <v>0</v>
      </c>
      <c r="BA342" s="399"/>
      <c r="BB342" s="399"/>
      <c r="BC342" s="399"/>
      <c r="BD342" s="399"/>
      <c r="BE342" s="399"/>
      <c r="BF342" s="399"/>
      <c r="BG342" s="399"/>
      <c r="BH342" s="399"/>
      <c r="BI342" s="399">
        <v>0</v>
      </c>
      <c r="BJ342" s="399">
        <v>0</v>
      </c>
      <c r="BK342" s="399">
        <v>113211.82</v>
      </c>
      <c r="BL342" s="399">
        <v>3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/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/>
      <c r="CJ342" s="399">
        <v>-0.03</v>
      </c>
      <c r="CK342" s="399"/>
      <c r="CL342" s="399"/>
      <c r="CM342" s="399"/>
      <c r="CN342" s="399"/>
      <c r="CO342" s="399">
        <v>0</v>
      </c>
      <c r="CP342" s="399">
        <v>0</v>
      </c>
      <c r="CQ342" s="399">
        <v>30</v>
      </c>
      <c r="CR342" s="399"/>
      <c r="CS342" s="399"/>
      <c r="CT342" s="399"/>
      <c r="CU342" s="399"/>
      <c r="CV342" s="399"/>
      <c r="CW342" s="399"/>
      <c r="CX342" s="399"/>
      <c r="CY342" s="399"/>
      <c r="CZ342" s="399"/>
      <c r="DA342" s="399"/>
      <c r="DB342" s="399"/>
      <c r="DC342" s="399"/>
      <c r="DD342" s="399"/>
      <c r="DE342" s="399"/>
      <c r="DF342" s="399"/>
      <c r="DG342" s="399"/>
      <c r="DH342" s="399"/>
      <c r="DI342" s="399"/>
      <c r="DJ342" s="399"/>
      <c r="DK342" s="399">
        <v>0</v>
      </c>
      <c r="DL342" s="399"/>
      <c r="DM342" s="399"/>
      <c r="DN342" s="399"/>
      <c r="DO342" s="399"/>
      <c r="DP342" s="399"/>
      <c r="DQ342" s="399"/>
      <c r="DR342" s="399"/>
      <c r="DS342" s="399"/>
      <c r="DT342" s="399"/>
      <c r="DU342" s="399"/>
      <c r="DV342" s="399"/>
      <c r="DW342" s="399"/>
      <c r="DX342" s="399"/>
      <c r="DY342" s="399"/>
      <c r="DZ342" s="399"/>
      <c r="EA342" s="399"/>
      <c r="EB342" s="399"/>
      <c r="EC342" s="399"/>
      <c r="ED342" s="399"/>
      <c r="EE342" s="399"/>
      <c r="EF342" s="399"/>
      <c r="EG342" s="399"/>
      <c r="EH342" s="399"/>
      <c r="EI342" s="399"/>
      <c r="EJ342" s="399"/>
      <c r="EK342" s="399"/>
      <c r="EL342" s="399"/>
      <c r="EM342" s="399"/>
      <c r="EN342" s="399"/>
      <c r="EO342" s="399"/>
      <c r="EP342" s="399"/>
      <c r="EQ342" s="399"/>
      <c r="ER342" s="399"/>
      <c r="ES342" s="399"/>
      <c r="ET342" s="399"/>
      <c r="EU342" s="399"/>
      <c r="EV342" s="399">
        <v>215</v>
      </c>
      <c r="EW342" s="399"/>
      <c r="EX342" s="399"/>
      <c r="EY342" s="399"/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345</v>
      </c>
      <c r="B343" s="399" t="s">
        <v>956</v>
      </c>
      <c r="C343" s="399" t="s">
        <v>2352</v>
      </c>
      <c r="D343" s="399" t="s">
        <v>533</v>
      </c>
      <c r="E343" s="399" t="s">
        <v>890</v>
      </c>
      <c r="F343" s="399" t="s">
        <v>1239</v>
      </c>
      <c r="G343" s="399" t="s">
        <v>1239</v>
      </c>
      <c r="H343" s="399" t="s">
        <v>1239</v>
      </c>
      <c r="I343" s="399" t="s">
        <v>893</v>
      </c>
      <c r="J343" s="399" t="s">
        <v>2344</v>
      </c>
      <c r="K343" s="791">
        <v>44652</v>
      </c>
      <c r="L343" s="399">
        <v>0</v>
      </c>
      <c r="M343" s="399">
        <v>0</v>
      </c>
      <c r="N343" s="399">
        <v>151.846</v>
      </c>
      <c r="O343" s="399">
        <v>151.846</v>
      </c>
      <c r="P343" s="399">
        <v>151.846</v>
      </c>
      <c r="Q343" s="399">
        <v>151.846</v>
      </c>
      <c r="R343" s="399"/>
      <c r="S343" s="399">
        <v>984.21</v>
      </c>
      <c r="T343" s="399">
        <v>171.61</v>
      </c>
      <c r="U343" s="399"/>
      <c r="V343" s="399">
        <v>175506.64372000002</v>
      </c>
      <c r="W343" s="399">
        <v>175506.64372000002</v>
      </c>
      <c r="X343" s="399">
        <v>163667.21110000001</v>
      </c>
      <c r="Y343" s="399">
        <v>0</v>
      </c>
      <c r="Z343" s="399">
        <v>7986.773192299207</v>
      </c>
      <c r="AA343" s="399">
        <v>0</v>
      </c>
      <c r="AB343" s="399">
        <v>0</v>
      </c>
      <c r="AC343" s="399">
        <v>0</v>
      </c>
      <c r="AD343" s="399">
        <v>59783.086006305173</v>
      </c>
      <c r="AE343" s="399">
        <v>77757.621716223104</v>
      </c>
      <c r="AF343" s="399">
        <v>25111.414979596895</v>
      </c>
      <c r="AG343" s="399">
        <v>946.81401091885368</v>
      </c>
      <c r="AH343" s="399">
        <v>0</v>
      </c>
      <c r="AI343" s="399">
        <v>0</v>
      </c>
      <c r="AJ343" s="399">
        <v>0</v>
      </c>
      <c r="AK343" s="399">
        <v>0</v>
      </c>
      <c r="AL343" s="399">
        <v>1419.4732291066796</v>
      </c>
      <c r="AM343" s="399"/>
      <c r="AN343" s="399">
        <v>40.096526866752427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938.60397382785584</v>
      </c>
      <c r="BH343" s="399">
        <v>0</v>
      </c>
      <c r="BI343" s="399">
        <v>0</v>
      </c>
      <c r="BJ343" s="399">
        <v>0</v>
      </c>
      <c r="BK343" s="399">
        <v>0</v>
      </c>
      <c r="BL343" s="399">
        <v>0</v>
      </c>
      <c r="BM343" s="399"/>
      <c r="BN343" s="399"/>
      <c r="BO343" s="399"/>
      <c r="BP343" s="399"/>
      <c r="BQ343" s="399"/>
      <c r="BR343" s="399"/>
      <c r="BS343" s="399"/>
      <c r="BT343" s="399"/>
      <c r="BU343" s="399"/>
      <c r="BV343" s="399">
        <v>26050.018953424751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163671.52249999999</v>
      </c>
      <c r="CJ343" s="399">
        <v>-11835.151220000058</v>
      </c>
      <c r="CK343" s="399"/>
      <c r="CL343" s="399"/>
      <c r="CM343" s="399"/>
      <c r="CN343" s="399"/>
      <c r="CO343" s="399">
        <v>-15257.486080000002</v>
      </c>
      <c r="CP343" s="399">
        <v>3418.0534599999987</v>
      </c>
      <c r="CQ343" s="399">
        <v>30</v>
      </c>
      <c r="CR343" s="399">
        <v>4971.9769179257564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2692.1892987005194</v>
      </c>
      <c r="DA343" s="399">
        <v>0</v>
      </c>
      <c r="DB343" s="399">
        <v>0</v>
      </c>
      <c r="DC343" s="399">
        <v>3418.8653274836215</v>
      </c>
      <c r="DD343" s="399">
        <v>0</v>
      </c>
      <c r="DE343" s="399">
        <v>0</v>
      </c>
      <c r="DF343" s="399">
        <v>0</v>
      </c>
      <c r="DG343" s="399">
        <v>127.78891930086809</v>
      </c>
      <c r="DH343" s="399">
        <v>0</v>
      </c>
      <c r="DI343" s="399">
        <v>-1097.0052897302812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-163.58522103260498</v>
      </c>
      <c r="DP343" s="399">
        <v>-6.2761167963768187</v>
      </c>
      <c r="DQ343" s="399">
        <v>0</v>
      </c>
      <c r="DR343" s="399">
        <v>0</v>
      </c>
      <c r="DS343" s="399"/>
      <c r="DT343" s="399"/>
      <c r="DU343" s="399"/>
      <c r="DV343" s="399">
        <v>77757.621716223104</v>
      </c>
      <c r="DW343" s="399">
        <v>0</v>
      </c>
      <c r="DX343" s="399">
        <v>0</v>
      </c>
      <c r="DY343" s="399">
        <v>-15257.486080000002</v>
      </c>
      <c r="DZ343" s="399">
        <v>3418.0534599999992</v>
      </c>
      <c r="EA343" s="399">
        <v>0</v>
      </c>
      <c r="EB343" s="399">
        <v>0</v>
      </c>
      <c r="EC343" s="399">
        <v>-16810.778267451657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1523.0498549477768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215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346</v>
      </c>
      <c r="B344" s="399" t="s">
        <v>2346</v>
      </c>
      <c r="C344" s="399" t="s">
        <v>2352</v>
      </c>
      <c r="D344" s="399" t="s">
        <v>533</v>
      </c>
      <c r="E344" s="399" t="s">
        <v>890</v>
      </c>
      <c r="F344" s="399" t="s">
        <v>1239</v>
      </c>
      <c r="G344" s="399" t="s">
        <v>1239</v>
      </c>
      <c r="H344" s="399" t="s">
        <v>1239</v>
      </c>
      <c r="I344" s="399" t="s">
        <v>893</v>
      </c>
      <c r="J344" s="399" t="s">
        <v>2344</v>
      </c>
      <c r="K344" s="791">
        <v>44652</v>
      </c>
      <c r="L344" s="399">
        <v>0</v>
      </c>
      <c r="M344" s="399">
        <v>0</v>
      </c>
      <c r="N344" s="399">
        <v>1.1439999999999999</v>
      </c>
      <c r="O344" s="399">
        <v>1.1439999999999999</v>
      </c>
      <c r="P344" s="399">
        <v>1.1439999999999999</v>
      </c>
      <c r="Q344" s="399">
        <v>1.1439999999999999</v>
      </c>
      <c r="R344" s="399"/>
      <c r="S344" s="399">
        <v>984.21</v>
      </c>
      <c r="T344" s="399">
        <v>171.61</v>
      </c>
      <c r="U344" s="399"/>
      <c r="V344" s="399">
        <v>1322.2580800000001</v>
      </c>
      <c r="W344" s="399">
        <v>1322.2580800000001</v>
      </c>
      <c r="X344" s="399">
        <v>1233.0603999999998</v>
      </c>
      <c r="Y344" s="399">
        <v>0</v>
      </c>
      <c r="Z344" s="399">
        <v>60.17194086107169</v>
      </c>
      <c r="AA344" s="399">
        <v>0</v>
      </c>
      <c r="AB344" s="399">
        <v>0</v>
      </c>
      <c r="AC344" s="399">
        <v>0</v>
      </c>
      <c r="AD344" s="399">
        <v>450.40271321742495</v>
      </c>
      <c r="AE344" s="399">
        <v>585.82194620443886</v>
      </c>
      <c r="AF344" s="399">
        <v>189.18811649077912</v>
      </c>
      <c r="AG344" s="399">
        <v>7.1332483469513095</v>
      </c>
      <c r="AH344" s="399">
        <v>0</v>
      </c>
      <c r="AI344" s="399">
        <v>0</v>
      </c>
      <c r="AJ344" s="399">
        <v>0</v>
      </c>
      <c r="AK344" s="399">
        <v>0</v>
      </c>
      <c r="AL344" s="399">
        <v>10.694238729357647</v>
      </c>
      <c r="AM344" s="399"/>
      <c r="AN344" s="399">
        <v>0.30208518324858585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7.0713943472930927</v>
      </c>
      <c r="BH344" s="399">
        <v>0</v>
      </c>
      <c r="BI344" s="399">
        <v>0</v>
      </c>
      <c r="BJ344" s="399">
        <v>0</v>
      </c>
      <c r="BK344" s="399">
        <v>0</v>
      </c>
      <c r="BL344" s="399">
        <v>0</v>
      </c>
      <c r="BM344" s="399"/>
      <c r="BN344" s="399"/>
      <c r="BO344" s="399"/>
      <c r="BP344" s="399"/>
      <c r="BQ344" s="399"/>
      <c r="BR344" s="399"/>
      <c r="BS344" s="399"/>
      <c r="BT344" s="399"/>
      <c r="BU344" s="399"/>
      <c r="BV344" s="399">
        <v>196.2595108380722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1228.749</v>
      </c>
      <c r="CJ344" s="399">
        <v>-93.539080000000013</v>
      </c>
      <c r="CK344" s="399"/>
      <c r="CL344" s="399"/>
      <c r="CM344" s="399"/>
      <c r="CN344" s="399"/>
      <c r="CO344" s="399">
        <v>-114.94912000000001</v>
      </c>
      <c r="CP344" s="399">
        <v>25.751439999999988</v>
      </c>
      <c r="CQ344" s="399">
        <v>30</v>
      </c>
      <c r="CR344" s="399">
        <v>37.458619878739569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20.282816522749386</v>
      </c>
      <c r="DA344" s="399">
        <v>0</v>
      </c>
      <c r="DB344" s="399">
        <v>0</v>
      </c>
      <c r="DC344" s="399">
        <v>25.757556568110203</v>
      </c>
      <c r="DD344" s="399">
        <v>0</v>
      </c>
      <c r="DE344" s="399">
        <v>0</v>
      </c>
      <c r="DF344" s="399">
        <v>0</v>
      </c>
      <c r="DG344" s="399">
        <v>0.96275518406934157</v>
      </c>
      <c r="DH344" s="399">
        <v>0</v>
      </c>
      <c r="DI344" s="399">
        <v>-8.2647817621237394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-1.2324426910244597</v>
      </c>
      <c r="DP344" s="399">
        <v>-4.7283943041338428E-2</v>
      </c>
      <c r="DQ344" s="399">
        <v>0</v>
      </c>
      <c r="DR344" s="399">
        <v>0</v>
      </c>
      <c r="DS344" s="399"/>
      <c r="DT344" s="399"/>
      <c r="DU344" s="399"/>
      <c r="DV344" s="399">
        <v>585.82194620443886</v>
      </c>
      <c r="DW344" s="399">
        <v>0</v>
      </c>
      <c r="DX344" s="399">
        <v>0</v>
      </c>
      <c r="DY344" s="399">
        <v>-114.94912000000011</v>
      </c>
      <c r="DZ344" s="399">
        <v>25.751439999999974</v>
      </c>
      <c r="EA344" s="399">
        <v>0</v>
      </c>
      <c r="EB344" s="399">
        <v>0</v>
      </c>
      <c r="EC344" s="399">
        <v>-126.65154391926484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11.474579732493819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215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347</v>
      </c>
      <c r="B345" s="399" t="s">
        <v>956</v>
      </c>
      <c r="C345" s="399" t="s">
        <v>2352</v>
      </c>
      <c r="D345" s="399" t="s">
        <v>533</v>
      </c>
      <c r="E345" s="399" t="s">
        <v>890</v>
      </c>
      <c r="F345" s="399" t="s">
        <v>1239</v>
      </c>
      <c r="G345" s="399" t="s">
        <v>1239</v>
      </c>
      <c r="H345" s="399" t="s">
        <v>1239</v>
      </c>
      <c r="I345" s="399" t="s">
        <v>2326</v>
      </c>
      <c r="J345" s="399" t="s">
        <v>2344</v>
      </c>
      <c r="K345" s="791">
        <v>44652</v>
      </c>
      <c r="L345" s="399">
        <v>0</v>
      </c>
      <c r="M345" s="399">
        <v>0</v>
      </c>
      <c r="N345" s="399">
        <v>1924.7170000000001</v>
      </c>
      <c r="O345" s="399">
        <v>1924.7170000000001</v>
      </c>
      <c r="P345" s="399">
        <v>1924.7170000000001</v>
      </c>
      <c r="Q345" s="399">
        <v>1924.7170000000001</v>
      </c>
      <c r="R345" s="399"/>
      <c r="S345" s="399">
        <v>78.42</v>
      </c>
      <c r="T345" s="399">
        <v>171.61</v>
      </c>
      <c r="U345" s="399"/>
      <c r="V345" s="399">
        <v>481236.99151000008</v>
      </c>
      <c r="W345" s="399">
        <v>481236.99151000008</v>
      </c>
      <c r="X345" s="399">
        <v>510126.99368000007</v>
      </c>
      <c r="Y345" s="399">
        <v>0</v>
      </c>
      <c r="Z345" s="399">
        <v>101235.97683417774</v>
      </c>
      <c r="AA345" s="399">
        <v>0</v>
      </c>
      <c r="AB345" s="399">
        <v>0</v>
      </c>
      <c r="AC345" s="399">
        <v>0</v>
      </c>
      <c r="AD345" s="399">
        <v>0</v>
      </c>
      <c r="AE345" s="399">
        <v>0</v>
      </c>
      <c r="AF345" s="399">
        <v>318298.58741939068</v>
      </c>
      <c r="AG345" s="399">
        <v>12001.297516257941</v>
      </c>
      <c r="AH345" s="399">
        <v>0</v>
      </c>
      <c r="AI345" s="399">
        <v>0</v>
      </c>
      <c r="AJ345" s="399">
        <v>0</v>
      </c>
      <c r="AK345" s="399">
        <v>0</v>
      </c>
      <c r="AL345" s="399">
        <v>17992.467731165267</v>
      </c>
      <c r="AM345" s="399"/>
      <c r="AN345" s="399">
        <v>508.24168500582908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11897.231568128427</v>
      </c>
      <c r="BH345" s="399">
        <v>0</v>
      </c>
      <c r="BI345" s="399">
        <v>0</v>
      </c>
      <c r="BJ345" s="399">
        <v>0</v>
      </c>
      <c r="BK345" s="399">
        <v>0</v>
      </c>
      <c r="BL345" s="399">
        <v>0</v>
      </c>
      <c r="BM345" s="399"/>
      <c r="BN345" s="399"/>
      <c r="BO345" s="399"/>
      <c r="BP345" s="399"/>
      <c r="BQ345" s="399"/>
      <c r="BR345" s="399"/>
      <c r="BS345" s="399"/>
      <c r="BT345" s="399"/>
      <c r="BU345" s="399"/>
      <c r="BV345" s="399">
        <v>330195.81898751913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510127.78880000004</v>
      </c>
      <c r="CJ345" s="399">
        <v>28890.767289999931</v>
      </c>
      <c r="CK345" s="399"/>
      <c r="CL345" s="399"/>
      <c r="CM345" s="399"/>
      <c r="CN345" s="399"/>
      <c r="CO345" s="399">
        <v>-14435.377500000001</v>
      </c>
      <c r="CP345" s="399">
        <v>43325.379669999988</v>
      </c>
      <c r="CQ345" s="399">
        <v>30</v>
      </c>
      <c r="CR345" s="399">
        <v>28897.343276163389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0</v>
      </c>
      <c r="DA345" s="399">
        <v>0</v>
      </c>
      <c r="DB345" s="399">
        <v>0</v>
      </c>
      <c r="DC345" s="399">
        <v>43335.670459006447</v>
      </c>
      <c r="DD345" s="399">
        <v>0</v>
      </c>
      <c r="DE345" s="399">
        <v>0</v>
      </c>
      <c r="DF345" s="399">
        <v>0</v>
      </c>
      <c r="DG345" s="399">
        <v>1619.7825783360058</v>
      </c>
      <c r="DH345" s="399">
        <v>0</v>
      </c>
      <c r="DI345" s="399">
        <v>-13905.040173819507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-2073.516957115844</v>
      </c>
      <c r="DP345" s="399">
        <v>-79.55263024361517</v>
      </c>
      <c r="DQ345" s="399">
        <v>0</v>
      </c>
      <c r="DR345" s="399">
        <v>0</v>
      </c>
      <c r="DS345" s="399"/>
      <c r="DT345" s="399"/>
      <c r="DU345" s="399"/>
      <c r="DV345" s="399">
        <v>0</v>
      </c>
      <c r="DW345" s="399">
        <v>0</v>
      </c>
      <c r="DX345" s="399">
        <v>0</v>
      </c>
      <c r="DY345" s="399">
        <v>-14435.377500000002</v>
      </c>
      <c r="DZ345" s="399">
        <v>43325.379669999995</v>
      </c>
      <c r="EA345" s="399">
        <v>0</v>
      </c>
      <c r="EB345" s="399">
        <v>0</v>
      </c>
      <c r="EC345" s="399">
        <v>0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19305.348495617403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215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348</v>
      </c>
      <c r="B346" s="399" t="s">
        <v>2346</v>
      </c>
      <c r="C346" s="399" t="s">
        <v>2352</v>
      </c>
      <c r="D346" s="399" t="s">
        <v>533</v>
      </c>
      <c r="E346" s="399" t="s">
        <v>890</v>
      </c>
      <c r="F346" s="399" t="s">
        <v>1239</v>
      </c>
      <c r="G346" s="399" t="s">
        <v>1239</v>
      </c>
      <c r="H346" s="399" t="s">
        <v>1239</v>
      </c>
      <c r="I346" s="399" t="s">
        <v>2326</v>
      </c>
      <c r="J346" s="399" t="s">
        <v>2344</v>
      </c>
      <c r="K346" s="791">
        <v>44652</v>
      </c>
      <c r="L346" s="399">
        <v>0</v>
      </c>
      <c r="M346" s="399">
        <v>0</v>
      </c>
      <c r="N346" s="399">
        <v>19.977</v>
      </c>
      <c r="O346" s="399">
        <v>19.977</v>
      </c>
      <c r="P346" s="399">
        <v>19.977</v>
      </c>
      <c r="Q346" s="399">
        <v>19.977</v>
      </c>
      <c r="R346" s="399"/>
      <c r="S346" s="399">
        <v>78.42</v>
      </c>
      <c r="T346" s="399">
        <v>171.61</v>
      </c>
      <c r="U346" s="399"/>
      <c r="V346" s="399">
        <v>4994.8493100000005</v>
      </c>
      <c r="W346" s="399">
        <v>4994.8493100000005</v>
      </c>
      <c r="X346" s="399">
        <v>5294.7040800000004</v>
      </c>
      <c r="Y346" s="399">
        <v>0</v>
      </c>
      <c r="Z346" s="399">
        <v>1050.7472575014242</v>
      </c>
      <c r="AA346" s="399">
        <v>0</v>
      </c>
      <c r="AB346" s="399">
        <v>0</v>
      </c>
      <c r="AC346" s="399">
        <v>0</v>
      </c>
      <c r="AD346" s="399">
        <v>0</v>
      </c>
      <c r="AE346" s="399">
        <v>0</v>
      </c>
      <c r="AF346" s="399">
        <v>3303.6809467974604</v>
      </c>
      <c r="AG346" s="399">
        <v>124.56372572294259</v>
      </c>
      <c r="AH346" s="399">
        <v>0</v>
      </c>
      <c r="AI346" s="399">
        <v>0</v>
      </c>
      <c r="AJ346" s="399">
        <v>0</v>
      </c>
      <c r="AK346" s="399">
        <v>0</v>
      </c>
      <c r="AL346" s="399">
        <v>186.74720900033017</v>
      </c>
      <c r="AM346" s="399"/>
      <c r="AN346" s="399">
        <v>5.2751361064309439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123.48360566072914</v>
      </c>
      <c r="BH346" s="399">
        <v>0</v>
      </c>
      <c r="BI346" s="399">
        <v>0</v>
      </c>
      <c r="BJ346" s="399">
        <v>0</v>
      </c>
      <c r="BK346" s="399">
        <v>0</v>
      </c>
      <c r="BL346" s="399">
        <v>0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3427.1645524581895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5295.4992000000002</v>
      </c>
      <c r="CJ346" s="399">
        <v>300.61988999999994</v>
      </c>
      <c r="CK346" s="399"/>
      <c r="CL346" s="399"/>
      <c r="CM346" s="399"/>
      <c r="CN346" s="399"/>
      <c r="CO346" s="399">
        <v>-149.82750000000001</v>
      </c>
      <c r="CP346" s="399">
        <v>449.68226999999985</v>
      </c>
      <c r="CQ346" s="399">
        <v>30</v>
      </c>
      <c r="CR346" s="399">
        <v>299.93096472256275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0</v>
      </c>
      <c r="DA346" s="399">
        <v>0</v>
      </c>
      <c r="DB346" s="399">
        <v>0</v>
      </c>
      <c r="DC346" s="399">
        <v>449.78908003595961</v>
      </c>
      <c r="DD346" s="399">
        <v>0</v>
      </c>
      <c r="DE346" s="399">
        <v>0</v>
      </c>
      <c r="DF346" s="399">
        <v>0</v>
      </c>
      <c r="DG346" s="399">
        <v>16.812028244889191</v>
      </c>
      <c r="DH346" s="399">
        <v>0</v>
      </c>
      <c r="DI346" s="399">
        <v>-144.32302907512758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-21.521422761010172</v>
      </c>
      <c r="DP346" s="399">
        <v>-0.82569172214756748</v>
      </c>
      <c r="DQ346" s="399">
        <v>0</v>
      </c>
      <c r="DR346" s="399">
        <v>0</v>
      </c>
      <c r="DS346" s="399"/>
      <c r="DT346" s="399"/>
      <c r="DU346" s="399"/>
      <c r="DV346" s="399">
        <v>0</v>
      </c>
      <c r="DW346" s="399">
        <v>0</v>
      </c>
      <c r="DX346" s="399">
        <v>0</v>
      </c>
      <c r="DY346" s="399">
        <v>-149.8275000000001</v>
      </c>
      <c r="DZ346" s="399">
        <v>449.68226999999979</v>
      </c>
      <c r="EA346" s="399">
        <v>0</v>
      </c>
      <c r="EB346" s="399">
        <v>0</v>
      </c>
      <c r="EC346" s="399">
        <v>0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200.37384555596947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215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349</v>
      </c>
      <c r="B347" s="399" t="s">
        <v>956</v>
      </c>
      <c r="C347" s="399" t="s">
        <v>2352</v>
      </c>
      <c r="D347" s="399" t="s">
        <v>533</v>
      </c>
      <c r="E347" s="399" t="s">
        <v>890</v>
      </c>
      <c r="F347" s="399" t="s">
        <v>1239</v>
      </c>
      <c r="G347" s="399" t="s">
        <v>1239</v>
      </c>
      <c r="H347" s="399" t="s">
        <v>1239</v>
      </c>
      <c r="I347" s="399" t="s">
        <v>1239</v>
      </c>
      <c r="J347" s="399" t="s">
        <v>2344</v>
      </c>
      <c r="K347" s="791">
        <v>44652</v>
      </c>
      <c r="L347" s="399">
        <v>9994</v>
      </c>
      <c r="M347" s="399">
        <v>9994</v>
      </c>
      <c r="N347" s="399">
        <v>0</v>
      </c>
      <c r="O347" s="399">
        <v>0</v>
      </c>
      <c r="P347" s="399">
        <v>0</v>
      </c>
      <c r="Q347" s="399">
        <v>0</v>
      </c>
      <c r="R347" s="399">
        <v>12.58</v>
      </c>
      <c r="S347" s="399"/>
      <c r="T347" s="399"/>
      <c r="U347" s="399">
        <v>125724.52</v>
      </c>
      <c r="V347" s="399"/>
      <c r="W347" s="399">
        <v>125724.52</v>
      </c>
      <c r="X347" s="399">
        <v>115830.45999999999</v>
      </c>
      <c r="Y347" s="399">
        <v>0</v>
      </c>
      <c r="Z347" s="399">
        <v>0</v>
      </c>
      <c r="AA347" s="399">
        <v>0</v>
      </c>
      <c r="AB347" s="399">
        <v>0</v>
      </c>
      <c r="AC347" s="399">
        <v>0</v>
      </c>
      <c r="AD347" s="399">
        <v>66234.629588380252</v>
      </c>
      <c r="AE347" s="399">
        <v>59461.391999929649</v>
      </c>
      <c r="AF347" s="399"/>
      <c r="AG347" s="399"/>
      <c r="AH347" s="399"/>
      <c r="AI347" s="399">
        <v>0</v>
      </c>
      <c r="AJ347" s="399">
        <v>0</v>
      </c>
      <c r="AK347" s="399">
        <v>0</v>
      </c>
      <c r="AL347" s="399">
        <v>0</v>
      </c>
      <c r="AM347" s="399"/>
      <c r="AN347" s="399">
        <v>0</v>
      </c>
      <c r="AO347" s="399">
        <v>0</v>
      </c>
      <c r="AP347" s="399">
        <v>0</v>
      </c>
      <c r="AQ347" s="399">
        <v>0</v>
      </c>
      <c r="AR347" s="399">
        <v>0</v>
      </c>
      <c r="AS347" s="399"/>
      <c r="AT347" s="399"/>
      <c r="AU347" s="399">
        <v>0</v>
      </c>
      <c r="AV347" s="399">
        <v>0</v>
      </c>
      <c r="AW347" s="399">
        <v>0</v>
      </c>
      <c r="AX347" s="399"/>
      <c r="AY347" s="399"/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/>
      <c r="BG347" s="399">
        <v>0</v>
      </c>
      <c r="BH347" s="399">
        <v>0</v>
      </c>
      <c r="BI347" s="399">
        <v>0</v>
      </c>
      <c r="BJ347" s="399">
        <v>0</v>
      </c>
      <c r="BK347" s="399">
        <v>312629.71000000002</v>
      </c>
      <c r="BL347" s="399">
        <v>52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0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115830.45999999999</v>
      </c>
      <c r="CJ347" s="399">
        <v>-9894.0899999999965</v>
      </c>
      <c r="CK347" s="399"/>
      <c r="CL347" s="399"/>
      <c r="CM347" s="399"/>
      <c r="CN347" s="399"/>
      <c r="CO347" s="399">
        <v>-9894.0600000000013</v>
      </c>
      <c r="CP347" s="399">
        <v>0</v>
      </c>
      <c r="CQ347" s="399">
        <v>30</v>
      </c>
      <c r="CR347" s="399">
        <v>2982.7192420681677</v>
      </c>
      <c r="CS347" s="399">
        <v>0</v>
      </c>
      <c r="CT347" s="399">
        <v>0</v>
      </c>
      <c r="CU347" s="399">
        <v>0</v>
      </c>
      <c r="CV347" s="399">
        <v>0</v>
      </c>
      <c r="CW347" s="399"/>
      <c r="CX347" s="399"/>
      <c r="CY347" s="399"/>
      <c r="CZ347" s="399">
        <v>2982.7192420681677</v>
      </c>
      <c r="DA347" s="399">
        <v>0</v>
      </c>
      <c r="DB347" s="399">
        <v>0</v>
      </c>
      <c r="DC347" s="399"/>
      <c r="DD347" s="399"/>
      <c r="DE347" s="399">
        <v>0</v>
      </c>
      <c r="DF347" s="399">
        <v>0</v>
      </c>
      <c r="DG347" s="399">
        <v>0</v>
      </c>
      <c r="DH347" s="399">
        <v>0</v>
      </c>
      <c r="DI347" s="399">
        <v>0</v>
      </c>
      <c r="DJ347" s="399"/>
      <c r="DK347" s="399">
        <v>0</v>
      </c>
      <c r="DL347" s="399">
        <v>0</v>
      </c>
      <c r="DM347" s="399"/>
      <c r="DN347" s="399">
        <v>0</v>
      </c>
      <c r="DO347" s="399">
        <v>0</v>
      </c>
      <c r="DP347" s="399">
        <v>0</v>
      </c>
      <c r="DQ347" s="399">
        <v>0</v>
      </c>
      <c r="DR347" s="399">
        <v>0</v>
      </c>
      <c r="DS347" s="399"/>
      <c r="DT347" s="399"/>
      <c r="DU347" s="399">
        <v>59461.391999929649</v>
      </c>
      <c r="DV347" s="399"/>
      <c r="DW347" s="399">
        <v>0</v>
      </c>
      <c r="DX347" s="399">
        <v>0</v>
      </c>
      <c r="DY347" s="399">
        <v>-9894.0600000000122</v>
      </c>
      <c r="DZ347" s="399"/>
      <c r="EA347" s="399">
        <v>0</v>
      </c>
      <c r="EB347" s="399"/>
      <c r="EC347" s="399">
        <v>-12855.232121590081</v>
      </c>
      <c r="ED347" s="399"/>
      <c r="EE347" s="399">
        <v>0</v>
      </c>
      <c r="EF347" s="399">
        <v>0</v>
      </c>
      <c r="EG347" s="399"/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/>
      <c r="EN347" s="399"/>
      <c r="EO347" s="399">
        <v>0</v>
      </c>
      <c r="EP347" s="399">
        <v>0</v>
      </c>
      <c r="EQ347" s="399"/>
      <c r="ER347" s="399">
        <v>0</v>
      </c>
      <c r="ES347" s="399"/>
      <c r="ET347" s="399">
        <v>0</v>
      </c>
      <c r="EU347" s="399"/>
      <c r="EV347" s="399">
        <v>215</v>
      </c>
      <c r="EW347" s="399"/>
      <c r="EX347" s="399"/>
      <c r="EY347" s="399"/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350</v>
      </c>
      <c r="B348" s="399" t="s">
        <v>2346</v>
      </c>
      <c r="C348" s="399" t="s">
        <v>2352</v>
      </c>
      <c r="D348" s="399" t="s">
        <v>533</v>
      </c>
      <c r="E348" s="399" t="s">
        <v>890</v>
      </c>
      <c r="F348" s="399" t="s">
        <v>1239</v>
      </c>
      <c r="G348" s="399" t="s">
        <v>1239</v>
      </c>
      <c r="H348" s="399" t="s">
        <v>1239</v>
      </c>
      <c r="I348" s="399" t="s">
        <v>1239</v>
      </c>
      <c r="J348" s="399" t="s">
        <v>2344</v>
      </c>
      <c r="K348" s="791">
        <v>44652</v>
      </c>
      <c r="L348" s="399">
        <v>837</v>
      </c>
      <c r="M348" s="399">
        <v>837</v>
      </c>
      <c r="N348" s="399">
        <v>0</v>
      </c>
      <c r="O348" s="399">
        <v>0</v>
      </c>
      <c r="P348" s="399">
        <v>0</v>
      </c>
      <c r="Q348" s="399">
        <v>0</v>
      </c>
      <c r="R348" s="399">
        <v>12.58</v>
      </c>
      <c r="S348" s="399"/>
      <c r="T348" s="399"/>
      <c r="U348" s="399">
        <v>10529.460000000001</v>
      </c>
      <c r="V348" s="399"/>
      <c r="W348" s="399">
        <v>10529.460000000001</v>
      </c>
      <c r="X348" s="399">
        <v>9700.83</v>
      </c>
      <c r="Y348" s="399">
        <v>0</v>
      </c>
      <c r="Z348" s="399">
        <v>0</v>
      </c>
      <c r="AA348" s="399">
        <v>0</v>
      </c>
      <c r="AB348" s="399">
        <v>0</v>
      </c>
      <c r="AC348" s="399">
        <v>0</v>
      </c>
      <c r="AD348" s="399">
        <v>5547.1667966254017</v>
      </c>
      <c r="AE348" s="399">
        <v>4979.906454266672</v>
      </c>
      <c r="AF348" s="399"/>
      <c r="AG348" s="399"/>
      <c r="AH348" s="399"/>
      <c r="AI348" s="399">
        <v>0</v>
      </c>
      <c r="AJ348" s="399">
        <v>0</v>
      </c>
      <c r="AK348" s="399">
        <v>0</v>
      </c>
      <c r="AL348" s="399">
        <v>0</v>
      </c>
      <c r="AM348" s="399"/>
      <c r="AN348" s="399">
        <v>0</v>
      </c>
      <c r="AO348" s="399">
        <v>0</v>
      </c>
      <c r="AP348" s="399">
        <v>0</v>
      </c>
      <c r="AQ348" s="399">
        <v>0</v>
      </c>
      <c r="AR348" s="399">
        <v>0</v>
      </c>
      <c r="AS348" s="399"/>
      <c r="AT348" s="399"/>
      <c r="AU348" s="399">
        <v>0</v>
      </c>
      <c r="AV348" s="399">
        <v>0</v>
      </c>
      <c r="AW348" s="399">
        <v>0</v>
      </c>
      <c r="AX348" s="399"/>
      <c r="AY348" s="399"/>
      <c r="AZ348" s="399">
        <v>0</v>
      </c>
      <c r="BA348" s="399"/>
      <c r="BB348" s="399">
        <v>0</v>
      </c>
      <c r="BC348" s="399">
        <v>0</v>
      </c>
      <c r="BD348" s="399">
        <v>0</v>
      </c>
      <c r="BE348" s="399">
        <v>0</v>
      </c>
      <c r="BF348" s="399"/>
      <c r="BG348" s="399">
        <v>0</v>
      </c>
      <c r="BH348" s="399">
        <v>0</v>
      </c>
      <c r="BI348" s="399">
        <v>0</v>
      </c>
      <c r="BJ348" s="399">
        <v>0</v>
      </c>
      <c r="BK348" s="399">
        <v>6501.81</v>
      </c>
      <c r="BL348" s="399">
        <v>3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>
        <v>0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9700.83</v>
      </c>
      <c r="CJ348" s="399">
        <v>-828.66000000000167</v>
      </c>
      <c r="CK348" s="399"/>
      <c r="CL348" s="399"/>
      <c r="CM348" s="399"/>
      <c r="CN348" s="399"/>
      <c r="CO348" s="399">
        <v>-828.63000000000022</v>
      </c>
      <c r="CP348" s="399">
        <v>0</v>
      </c>
      <c r="CQ348" s="399">
        <v>30</v>
      </c>
      <c r="CR348" s="399">
        <v>249.80348265069733</v>
      </c>
      <c r="CS348" s="399">
        <v>0</v>
      </c>
      <c r="CT348" s="399">
        <v>0</v>
      </c>
      <c r="CU348" s="399">
        <v>0</v>
      </c>
      <c r="CV348" s="399">
        <v>0</v>
      </c>
      <c r="CW348" s="399"/>
      <c r="CX348" s="399"/>
      <c r="CY348" s="399"/>
      <c r="CZ348" s="399">
        <v>249.80348265069733</v>
      </c>
      <c r="DA348" s="399">
        <v>0</v>
      </c>
      <c r="DB348" s="399">
        <v>0</v>
      </c>
      <c r="DC348" s="399"/>
      <c r="DD348" s="399"/>
      <c r="DE348" s="399">
        <v>0</v>
      </c>
      <c r="DF348" s="399">
        <v>0</v>
      </c>
      <c r="DG348" s="399">
        <v>0</v>
      </c>
      <c r="DH348" s="399">
        <v>0</v>
      </c>
      <c r="DI348" s="399">
        <v>0</v>
      </c>
      <c r="DJ348" s="399"/>
      <c r="DK348" s="399">
        <v>0</v>
      </c>
      <c r="DL348" s="399">
        <v>0</v>
      </c>
      <c r="DM348" s="399"/>
      <c r="DN348" s="399">
        <v>0</v>
      </c>
      <c r="DO348" s="399">
        <v>0</v>
      </c>
      <c r="DP348" s="399">
        <v>0</v>
      </c>
      <c r="DQ348" s="399">
        <v>0</v>
      </c>
      <c r="DR348" s="399">
        <v>0</v>
      </c>
      <c r="DS348" s="399"/>
      <c r="DT348" s="399"/>
      <c r="DU348" s="399">
        <v>4979.906454266672</v>
      </c>
      <c r="DV348" s="399"/>
      <c r="DW348" s="399">
        <v>0</v>
      </c>
      <c r="DX348" s="399">
        <v>0</v>
      </c>
      <c r="DY348" s="399">
        <v>-828.63000000000102</v>
      </c>
      <c r="DZ348" s="399"/>
      <c r="EA348" s="399">
        <v>0</v>
      </c>
      <c r="EB348" s="399"/>
      <c r="EC348" s="399">
        <v>-1076.6289059206429</v>
      </c>
      <c r="ED348" s="399"/>
      <c r="EE348" s="399">
        <v>0</v>
      </c>
      <c r="EF348" s="399">
        <v>0</v>
      </c>
      <c r="EG348" s="399"/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/>
      <c r="EN348" s="399"/>
      <c r="EO348" s="399">
        <v>0</v>
      </c>
      <c r="EP348" s="399">
        <v>0</v>
      </c>
      <c r="EQ348" s="399"/>
      <c r="ER348" s="399">
        <v>0</v>
      </c>
      <c r="ES348" s="399"/>
      <c r="ET348" s="399">
        <v>0</v>
      </c>
      <c r="EU348" s="399"/>
      <c r="EV348" s="399">
        <v>215</v>
      </c>
      <c r="EW348" s="399"/>
      <c r="EX348" s="399"/>
      <c r="EY348" s="399"/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351</v>
      </c>
      <c r="B349" s="399" t="s">
        <v>956</v>
      </c>
      <c r="C349" s="399" t="s">
        <v>2343</v>
      </c>
      <c r="D349" s="399" t="s">
        <v>1826</v>
      </c>
      <c r="E349" s="399" t="s">
        <v>918</v>
      </c>
      <c r="F349" s="399" t="s">
        <v>1239</v>
      </c>
      <c r="G349" s="399" t="s">
        <v>1239</v>
      </c>
      <c r="H349" s="399" t="s">
        <v>1239</v>
      </c>
      <c r="I349" s="399" t="s">
        <v>1239</v>
      </c>
      <c r="J349" s="399" t="s">
        <v>2344</v>
      </c>
      <c r="K349" s="791">
        <v>44652</v>
      </c>
      <c r="L349" s="399">
        <v>0</v>
      </c>
      <c r="M349" s="399">
        <v>0</v>
      </c>
      <c r="N349" s="399">
        <v>545.45799999999997</v>
      </c>
      <c r="O349" s="399">
        <v>545.45799999999997</v>
      </c>
      <c r="P349" s="399">
        <v>545.45799999999997</v>
      </c>
      <c r="Q349" s="399">
        <v>545.45799999999997</v>
      </c>
      <c r="R349" s="399"/>
      <c r="S349" s="399">
        <v>239.69</v>
      </c>
      <c r="T349" s="399">
        <v>171.61</v>
      </c>
      <c r="U349" s="399"/>
      <c r="V349" s="399">
        <v>224346.87539999999</v>
      </c>
      <c r="W349" s="399">
        <v>224346.87539999999</v>
      </c>
      <c r="X349" s="399">
        <v>223523.23381999999</v>
      </c>
      <c r="Y349" s="399">
        <v>0</v>
      </c>
      <c r="Z349" s="399">
        <v>32976.917569124715</v>
      </c>
      <c r="AA349" s="399">
        <v>0</v>
      </c>
      <c r="AB349" s="399">
        <v>0</v>
      </c>
      <c r="AC349" s="399">
        <v>0</v>
      </c>
      <c r="AD349" s="399">
        <v>29092.544085199315</v>
      </c>
      <c r="AE349" s="399">
        <v>48335.611349734616</v>
      </c>
      <c r="AF349" s="399">
        <v>90204.695493730236</v>
      </c>
      <c r="AG349" s="399">
        <v>3401.1253293980485</v>
      </c>
      <c r="AH349" s="399">
        <v>0</v>
      </c>
      <c r="AI349" s="399">
        <v>0</v>
      </c>
      <c r="AJ349" s="399">
        <v>0</v>
      </c>
      <c r="AK349" s="399">
        <v>0</v>
      </c>
      <c r="AL349" s="399">
        <v>5099.0018084247931</v>
      </c>
      <c r="AM349" s="399"/>
      <c r="AN349" s="399">
        <v>216.02953895178598</v>
      </c>
      <c r="AO349" s="399">
        <v>0</v>
      </c>
      <c r="AP349" s="399">
        <v>0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>
        <v>0</v>
      </c>
      <c r="BG349" s="399">
        <v>8732.7350829638599</v>
      </c>
      <c r="BH349" s="399">
        <v>0</v>
      </c>
      <c r="BI349" s="399">
        <v>0</v>
      </c>
      <c r="BJ349" s="399">
        <v>0</v>
      </c>
      <c r="BK349" s="399">
        <v>92081.15</v>
      </c>
      <c r="BL349" s="399">
        <v>566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>
        <v>98937.430576694096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223524.05340000003</v>
      </c>
      <c r="CJ349" s="399">
        <v>-822.8519999999553</v>
      </c>
      <c r="CK349" s="399"/>
      <c r="CL349" s="399"/>
      <c r="CM349" s="399"/>
      <c r="CN349" s="399"/>
      <c r="CO349" s="399">
        <v>-13101.901160000005</v>
      </c>
      <c r="CP349" s="399">
        <v>12278.259579999994</v>
      </c>
      <c r="CQ349" s="399">
        <v>30</v>
      </c>
      <c r="CR349" s="399">
        <v>9629.3208688772283</v>
      </c>
      <c r="CS349" s="399">
        <v>0</v>
      </c>
      <c r="CT349" s="399">
        <v>0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1310.1136306326516</v>
      </c>
      <c r="DA349" s="399">
        <v>0</v>
      </c>
      <c r="DB349" s="399">
        <v>0</v>
      </c>
      <c r="DC349" s="399">
        <v>12281.175953258979</v>
      </c>
      <c r="DD349" s="399">
        <v>0</v>
      </c>
      <c r="DE349" s="399">
        <v>0</v>
      </c>
      <c r="DF349" s="399">
        <v>0</v>
      </c>
      <c r="DG349" s="399">
        <v>1188.9431644335018</v>
      </c>
      <c r="DH349" s="399">
        <v>0</v>
      </c>
      <c r="DI349" s="399">
        <v>-4529.470430838086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-587.62738230840841</v>
      </c>
      <c r="DP349" s="399">
        <v>-33.814066301414925</v>
      </c>
      <c r="DQ349" s="399">
        <v>0</v>
      </c>
      <c r="DR349" s="399">
        <v>0</v>
      </c>
      <c r="DS349" s="399"/>
      <c r="DT349" s="399"/>
      <c r="DU349" s="399"/>
      <c r="DV349" s="399">
        <v>48335.611349734616</v>
      </c>
      <c r="DW349" s="399">
        <v>0</v>
      </c>
      <c r="DX349" s="399">
        <v>0</v>
      </c>
      <c r="DY349" s="399">
        <v>-13101.901159999994</v>
      </c>
      <c r="DZ349" s="399">
        <v>12278.259579999998</v>
      </c>
      <c r="EA349" s="399">
        <v>0</v>
      </c>
      <c r="EB349" s="399">
        <v>0</v>
      </c>
      <c r="EC349" s="399">
        <v>-10449.898375075682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6288.5834254949687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215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352</v>
      </c>
      <c r="B350" s="399" t="s">
        <v>2346</v>
      </c>
      <c r="C350" s="399" t="s">
        <v>2343</v>
      </c>
      <c r="D350" s="399" t="s">
        <v>1826</v>
      </c>
      <c r="E350" s="399" t="s">
        <v>918</v>
      </c>
      <c r="F350" s="399" t="s">
        <v>1239</v>
      </c>
      <c r="G350" s="399" t="s">
        <v>1239</v>
      </c>
      <c r="H350" s="399" t="s">
        <v>1239</v>
      </c>
      <c r="I350" s="399" t="s">
        <v>1239</v>
      </c>
      <c r="J350" s="399" t="s">
        <v>2344</v>
      </c>
      <c r="K350" s="791">
        <v>44652</v>
      </c>
      <c r="L350" s="399">
        <v>0</v>
      </c>
      <c r="M350" s="399">
        <v>0</v>
      </c>
      <c r="N350" s="399">
        <v>10.069000000000001</v>
      </c>
      <c r="O350" s="399">
        <v>10.069000000000001</v>
      </c>
      <c r="P350" s="399">
        <v>10.069000000000001</v>
      </c>
      <c r="Q350" s="399">
        <v>10.069000000000001</v>
      </c>
      <c r="R350" s="399"/>
      <c r="S350" s="399">
        <v>239.69</v>
      </c>
      <c r="T350" s="399">
        <v>171.61</v>
      </c>
      <c r="U350" s="399"/>
      <c r="V350" s="399">
        <v>4141.3797000000004</v>
      </c>
      <c r="W350" s="399">
        <v>4141.3797000000004</v>
      </c>
      <c r="X350" s="399">
        <v>4126.1755100000009</v>
      </c>
      <c r="Y350" s="399">
        <v>0</v>
      </c>
      <c r="Z350" s="399">
        <v>608.74454679098449</v>
      </c>
      <c r="AA350" s="399">
        <v>0</v>
      </c>
      <c r="AB350" s="399">
        <v>0</v>
      </c>
      <c r="AC350" s="399">
        <v>0</v>
      </c>
      <c r="AD350" s="399">
        <v>537.04011380137786</v>
      </c>
      <c r="AE350" s="399">
        <v>892.26167859024508</v>
      </c>
      <c r="AF350" s="399">
        <v>1665.1530987287197</v>
      </c>
      <c r="AG350" s="399">
        <v>62.783809095675473</v>
      </c>
      <c r="AH350" s="399">
        <v>0</v>
      </c>
      <c r="AI350" s="399">
        <v>0</v>
      </c>
      <c r="AJ350" s="399">
        <v>0</v>
      </c>
      <c r="AK350" s="399">
        <v>0</v>
      </c>
      <c r="AL350" s="399">
        <v>94.126127417746645</v>
      </c>
      <c r="AM350" s="399"/>
      <c r="AN350" s="399">
        <v>3.9878440277813021</v>
      </c>
      <c r="AO350" s="399">
        <v>0</v>
      </c>
      <c r="AP350" s="399">
        <v>0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>
        <v>0</v>
      </c>
      <c r="BG350" s="399">
        <v>161.20381321818198</v>
      </c>
      <c r="BH350" s="399">
        <v>0</v>
      </c>
      <c r="BI350" s="399">
        <v>0</v>
      </c>
      <c r="BJ350" s="399">
        <v>0</v>
      </c>
      <c r="BK350" s="399">
        <v>2617.9499999999998</v>
      </c>
      <c r="BL350" s="399">
        <v>8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1826.3569119469016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4126.5852999999997</v>
      </c>
      <c r="CJ350" s="399">
        <v>-14.824400000001333</v>
      </c>
      <c r="CK350" s="399"/>
      <c r="CL350" s="399"/>
      <c r="CM350" s="399"/>
      <c r="CN350" s="399"/>
      <c r="CO350" s="399">
        <v>-241.85738000000012</v>
      </c>
      <c r="CP350" s="399">
        <v>226.65318999999994</v>
      </c>
      <c r="CQ350" s="399">
        <v>30</v>
      </c>
      <c r="CR350" s="399">
        <v>177.7545325739552</v>
      </c>
      <c r="CS350" s="399">
        <v>0</v>
      </c>
      <c r="CT350" s="399">
        <v>0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24.184326101808324</v>
      </c>
      <c r="DA350" s="399">
        <v>0</v>
      </c>
      <c r="DB350" s="399">
        <v>0</v>
      </c>
      <c r="DC350" s="399">
        <v>226.70702542334061</v>
      </c>
      <c r="DD350" s="399">
        <v>0</v>
      </c>
      <c r="DE350" s="399">
        <v>0</v>
      </c>
      <c r="DF350" s="399">
        <v>0</v>
      </c>
      <c r="DG350" s="399">
        <v>21.947553657075247</v>
      </c>
      <c r="DH350" s="399">
        <v>0</v>
      </c>
      <c r="DI350" s="399">
        <v>-83.6127396941813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-10.847434839095527</v>
      </c>
      <c r="DP350" s="399">
        <v>-0.62419807499192803</v>
      </c>
      <c r="DQ350" s="399">
        <v>0</v>
      </c>
      <c r="DR350" s="399">
        <v>0</v>
      </c>
      <c r="DS350" s="399"/>
      <c r="DT350" s="399"/>
      <c r="DU350" s="399"/>
      <c r="DV350" s="399">
        <v>892.26167859024508</v>
      </c>
      <c r="DW350" s="399">
        <v>0</v>
      </c>
      <c r="DX350" s="399">
        <v>0</v>
      </c>
      <c r="DY350" s="399">
        <v>-241.85737999999992</v>
      </c>
      <c r="DZ350" s="399">
        <v>226.65319</v>
      </c>
      <c r="EA350" s="399">
        <v>0</v>
      </c>
      <c r="EB350" s="399">
        <v>0</v>
      </c>
      <c r="EC350" s="399">
        <v>-192.90216064048388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116.08546672944361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215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353</v>
      </c>
      <c r="B351" s="399" t="s">
        <v>956</v>
      </c>
      <c r="C351" s="399" t="s">
        <v>2352</v>
      </c>
      <c r="D351" s="399" t="s">
        <v>533</v>
      </c>
      <c r="E351" s="399" t="s">
        <v>918</v>
      </c>
      <c r="F351" s="399" t="s">
        <v>1239</v>
      </c>
      <c r="G351" s="399" t="s">
        <v>1239</v>
      </c>
      <c r="H351" s="399" t="s">
        <v>1239</v>
      </c>
      <c r="I351" s="399" t="s">
        <v>893</v>
      </c>
      <c r="J351" s="399" t="s">
        <v>2344</v>
      </c>
      <c r="K351" s="791">
        <v>44652</v>
      </c>
      <c r="L351" s="399">
        <v>0</v>
      </c>
      <c r="M351" s="399">
        <v>0</v>
      </c>
      <c r="N351" s="399">
        <v>6.8630000000000004</v>
      </c>
      <c r="O351" s="399">
        <v>6.8630000000000004</v>
      </c>
      <c r="P351" s="399">
        <v>6.8630000000000004</v>
      </c>
      <c r="Q351" s="399">
        <v>6.8630000000000004</v>
      </c>
      <c r="R351" s="399"/>
      <c r="S351" s="399">
        <v>984.21</v>
      </c>
      <c r="T351" s="399">
        <v>171.61</v>
      </c>
      <c r="U351" s="399"/>
      <c r="V351" s="399">
        <v>7932.3926600000004</v>
      </c>
      <c r="W351" s="399">
        <v>7932.3926600000004</v>
      </c>
      <c r="X351" s="399">
        <v>7397.2845500000012</v>
      </c>
      <c r="Y351" s="399">
        <v>0</v>
      </c>
      <c r="Z351" s="399">
        <v>360.97904731602716</v>
      </c>
      <c r="AA351" s="399">
        <v>0</v>
      </c>
      <c r="AB351" s="399">
        <v>0</v>
      </c>
      <c r="AC351" s="399">
        <v>0</v>
      </c>
      <c r="AD351" s="399">
        <v>2702.0225706391502</v>
      </c>
      <c r="AE351" s="399">
        <v>3514.4195951058255</v>
      </c>
      <c r="AF351" s="399">
        <v>1134.9633247169731</v>
      </c>
      <c r="AG351" s="399">
        <v>42.793254724761226</v>
      </c>
      <c r="AH351" s="399">
        <v>0</v>
      </c>
      <c r="AI351" s="399">
        <v>0</v>
      </c>
      <c r="AJ351" s="399">
        <v>0</v>
      </c>
      <c r="AK351" s="399">
        <v>0</v>
      </c>
      <c r="AL351" s="399">
        <v>64.156084265368477</v>
      </c>
      <c r="AM351" s="399"/>
      <c r="AN351" s="399">
        <v>1.8122470390166479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42.422184794993449</v>
      </c>
      <c r="BH351" s="399">
        <v>0</v>
      </c>
      <c r="BI351" s="399">
        <v>0</v>
      </c>
      <c r="BJ351" s="399">
        <v>0</v>
      </c>
      <c r="BK351" s="399">
        <v>0</v>
      </c>
      <c r="BL351" s="399">
        <v>0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>
        <v>1177.3855095119666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7394.0510000000004</v>
      </c>
      <c r="CJ351" s="399">
        <v>-538.3716600000007</v>
      </c>
      <c r="CK351" s="399"/>
      <c r="CL351" s="399"/>
      <c r="CM351" s="399"/>
      <c r="CN351" s="399"/>
      <c r="CO351" s="399">
        <v>-689.59424000000013</v>
      </c>
      <c r="CP351" s="399">
        <v>154.48612999999995</v>
      </c>
      <c r="CQ351" s="399">
        <v>30</v>
      </c>
      <c r="CR351" s="399">
        <v>224.71897572359194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121.67916940177338</v>
      </c>
      <c r="DA351" s="399">
        <v>0</v>
      </c>
      <c r="DB351" s="399">
        <v>0</v>
      </c>
      <c r="DC351" s="399">
        <v>154.52282406201084</v>
      </c>
      <c r="DD351" s="399">
        <v>0</v>
      </c>
      <c r="DE351" s="399">
        <v>0</v>
      </c>
      <c r="DF351" s="399">
        <v>0</v>
      </c>
      <c r="DG351" s="399">
        <v>5.7756895351992057</v>
      </c>
      <c r="DH351" s="399">
        <v>0</v>
      </c>
      <c r="DI351" s="399">
        <v>-49.581466113160161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-7.3935788361021579</v>
      </c>
      <c r="DP351" s="399">
        <v>-0.28366232612998754</v>
      </c>
      <c r="DQ351" s="399">
        <v>0</v>
      </c>
      <c r="DR351" s="399">
        <v>0</v>
      </c>
      <c r="DS351" s="399"/>
      <c r="DT351" s="399"/>
      <c r="DU351" s="399"/>
      <c r="DV351" s="399">
        <v>3514.4195951058255</v>
      </c>
      <c r="DW351" s="399">
        <v>0</v>
      </c>
      <c r="DX351" s="399">
        <v>0</v>
      </c>
      <c r="DY351" s="399">
        <v>-689.59423999999944</v>
      </c>
      <c r="DZ351" s="399">
        <v>154.48613</v>
      </c>
      <c r="EA351" s="399">
        <v>0</v>
      </c>
      <c r="EB351" s="399">
        <v>0</v>
      </c>
      <c r="EC351" s="399">
        <v>-759.79855412405141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68.837448167924038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215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354</v>
      </c>
      <c r="B352" s="399" t="s">
        <v>956</v>
      </c>
      <c r="C352" s="399" t="s">
        <v>2352</v>
      </c>
      <c r="D352" s="399" t="s">
        <v>533</v>
      </c>
      <c r="E352" s="399" t="s">
        <v>918</v>
      </c>
      <c r="F352" s="399" t="s">
        <v>1239</v>
      </c>
      <c r="G352" s="399" t="s">
        <v>1239</v>
      </c>
      <c r="H352" s="399" t="s">
        <v>1239</v>
      </c>
      <c r="I352" s="399" t="s">
        <v>2326</v>
      </c>
      <c r="J352" s="399" t="s">
        <v>2344</v>
      </c>
      <c r="K352" s="791">
        <v>44652</v>
      </c>
      <c r="L352" s="399">
        <v>0</v>
      </c>
      <c r="M352" s="399">
        <v>0</v>
      </c>
      <c r="N352" s="399">
        <v>81.947000000000003</v>
      </c>
      <c r="O352" s="399">
        <v>81.947000000000003</v>
      </c>
      <c r="P352" s="399">
        <v>81.947000000000003</v>
      </c>
      <c r="Q352" s="399">
        <v>81.947000000000003</v>
      </c>
      <c r="R352" s="399"/>
      <c r="S352" s="399">
        <v>78.42</v>
      </c>
      <c r="T352" s="399">
        <v>171.61</v>
      </c>
      <c r="U352" s="399"/>
      <c r="V352" s="399">
        <v>20489.208410000003</v>
      </c>
      <c r="W352" s="399">
        <v>20489.208410000003</v>
      </c>
      <c r="X352" s="399">
        <v>21719.232880000003</v>
      </c>
      <c r="Y352" s="399">
        <v>0</v>
      </c>
      <c r="Z352" s="399">
        <v>4310.2360469774849</v>
      </c>
      <c r="AA352" s="399">
        <v>0</v>
      </c>
      <c r="AB352" s="399">
        <v>0</v>
      </c>
      <c r="AC352" s="399">
        <v>0</v>
      </c>
      <c r="AD352" s="399">
        <v>0</v>
      </c>
      <c r="AE352" s="399">
        <v>0</v>
      </c>
      <c r="AF352" s="399">
        <v>13551.92183747367</v>
      </c>
      <c r="AG352" s="399">
        <v>510.96879570596064</v>
      </c>
      <c r="AH352" s="399">
        <v>0</v>
      </c>
      <c r="AI352" s="399">
        <v>0</v>
      </c>
      <c r="AJ352" s="399">
        <v>0</v>
      </c>
      <c r="AK352" s="399">
        <v>0</v>
      </c>
      <c r="AL352" s="399">
        <v>766.0496338764608</v>
      </c>
      <c r="AM352" s="399"/>
      <c r="AN352" s="399">
        <v>21.638963733978905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506.53807043498875</v>
      </c>
      <c r="BH352" s="399">
        <v>0</v>
      </c>
      <c r="BI352" s="399">
        <v>0</v>
      </c>
      <c r="BJ352" s="399">
        <v>0</v>
      </c>
      <c r="BK352" s="399">
        <v>0</v>
      </c>
      <c r="BL352" s="399">
        <v>0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14058.459907908658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21720.028000000002</v>
      </c>
      <c r="CJ352" s="399">
        <v>1230.7895900000003</v>
      </c>
      <c r="CK352" s="399"/>
      <c r="CL352" s="399"/>
      <c r="CM352" s="399"/>
      <c r="CN352" s="399"/>
      <c r="CO352" s="399">
        <v>-614.60249999999996</v>
      </c>
      <c r="CP352" s="399">
        <v>1844.6269699999993</v>
      </c>
      <c r="CQ352" s="399">
        <v>30</v>
      </c>
      <c r="CR352" s="399">
        <v>1230.3370258857649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0</v>
      </c>
      <c r="DA352" s="399">
        <v>0</v>
      </c>
      <c r="DB352" s="399">
        <v>0</v>
      </c>
      <c r="DC352" s="399">
        <v>1845.065111964097</v>
      </c>
      <c r="DD352" s="399">
        <v>0</v>
      </c>
      <c r="DE352" s="399">
        <v>0</v>
      </c>
      <c r="DF352" s="399">
        <v>0</v>
      </c>
      <c r="DG352" s="399">
        <v>68.964072612701329</v>
      </c>
      <c r="DH352" s="399">
        <v>0</v>
      </c>
      <c r="DI352" s="399">
        <v>-592.02278938877134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-88.282326224983763</v>
      </c>
      <c r="DP352" s="399">
        <v>-3.3870430772802109</v>
      </c>
      <c r="DQ352" s="399">
        <v>0</v>
      </c>
      <c r="DR352" s="399">
        <v>0</v>
      </c>
      <c r="DS352" s="399"/>
      <c r="DT352" s="399"/>
      <c r="DU352" s="399"/>
      <c r="DV352" s="399">
        <v>0</v>
      </c>
      <c r="DW352" s="399">
        <v>0</v>
      </c>
      <c r="DX352" s="399">
        <v>0</v>
      </c>
      <c r="DY352" s="399">
        <v>-614.60250000000087</v>
      </c>
      <c r="DZ352" s="399">
        <v>1844.6269699999993</v>
      </c>
      <c r="EA352" s="399">
        <v>0</v>
      </c>
      <c r="EB352" s="399">
        <v>0</v>
      </c>
      <c r="EC352" s="399">
        <v>0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821.94701515618112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215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355</v>
      </c>
      <c r="B353" s="399" t="s">
        <v>956</v>
      </c>
      <c r="C353" s="399" t="s">
        <v>2352</v>
      </c>
      <c r="D353" s="399" t="s">
        <v>533</v>
      </c>
      <c r="E353" s="399" t="s">
        <v>918</v>
      </c>
      <c r="F353" s="399" t="s">
        <v>1239</v>
      </c>
      <c r="G353" s="399" t="s">
        <v>1239</v>
      </c>
      <c r="H353" s="399" t="s">
        <v>1239</v>
      </c>
      <c r="I353" s="399" t="s">
        <v>1239</v>
      </c>
      <c r="J353" s="399" t="s">
        <v>2344</v>
      </c>
      <c r="K353" s="791">
        <v>44652</v>
      </c>
      <c r="L353" s="399">
        <v>493</v>
      </c>
      <c r="M353" s="399">
        <v>493</v>
      </c>
      <c r="N353" s="399">
        <v>0</v>
      </c>
      <c r="O353" s="399">
        <v>0</v>
      </c>
      <c r="P353" s="399">
        <v>0</v>
      </c>
      <c r="Q353" s="399">
        <v>0</v>
      </c>
      <c r="R353" s="399">
        <v>12.58</v>
      </c>
      <c r="S353" s="399"/>
      <c r="T353" s="399"/>
      <c r="U353" s="399">
        <v>6201.94</v>
      </c>
      <c r="V353" s="399"/>
      <c r="W353" s="399">
        <v>6201.94</v>
      </c>
      <c r="X353" s="399">
        <v>5713.87</v>
      </c>
      <c r="Y353" s="399">
        <v>0</v>
      </c>
      <c r="Z353" s="399">
        <v>0</v>
      </c>
      <c r="AA353" s="399">
        <v>0</v>
      </c>
      <c r="AB353" s="399">
        <v>0</v>
      </c>
      <c r="AC353" s="399">
        <v>0</v>
      </c>
      <c r="AD353" s="399">
        <v>3267.3276352883195</v>
      </c>
      <c r="AE353" s="399">
        <v>2933.2065495262477</v>
      </c>
      <c r="AF353" s="399"/>
      <c r="AG353" s="399"/>
      <c r="AH353" s="399"/>
      <c r="AI353" s="399">
        <v>0</v>
      </c>
      <c r="AJ353" s="399">
        <v>0</v>
      </c>
      <c r="AK353" s="399">
        <v>0</v>
      </c>
      <c r="AL353" s="399">
        <v>0</v>
      </c>
      <c r="AM353" s="399"/>
      <c r="AN353" s="399">
        <v>0</v>
      </c>
      <c r="AO353" s="399">
        <v>0</v>
      </c>
      <c r="AP353" s="399">
        <v>0</v>
      </c>
      <c r="AQ353" s="399">
        <v>0</v>
      </c>
      <c r="AR353" s="399">
        <v>0</v>
      </c>
      <c r="AS353" s="399"/>
      <c r="AT353" s="399"/>
      <c r="AU353" s="399">
        <v>0</v>
      </c>
      <c r="AV353" s="399">
        <v>0</v>
      </c>
      <c r="AW353" s="399">
        <v>0</v>
      </c>
      <c r="AX353" s="399"/>
      <c r="AY353" s="399"/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/>
      <c r="BG353" s="399">
        <v>0</v>
      </c>
      <c r="BH353" s="399">
        <v>0</v>
      </c>
      <c r="BI353" s="399">
        <v>0</v>
      </c>
      <c r="BJ353" s="399">
        <v>0</v>
      </c>
      <c r="BK353" s="399">
        <v>13677.04</v>
      </c>
      <c r="BL353" s="399">
        <v>5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0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5713.87</v>
      </c>
      <c r="CJ353" s="399">
        <v>-488.10000000000036</v>
      </c>
      <c r="CK353" s="399"/>
      <c r="CL353" s="399"/>
      <c r="CM353" s="399"/>
      <c r="CN353" s="399"/>
      <c r="CO353" s="399">
        <v>-488.07000000000011</v>
      </c>
      <c r="CP353" s="399">
        <v>0</v>
      </c>
      <c r="CQ353" s="399">
        <v>30</v>
      </c>
      <c r="CR353" s="399">
        <v>147.13634043822367</v>
      </c>
      <c r="CS353" s="399">
        <v>0</v>
      </c>
      <c r="CT353" s="399">
        <v>0</v>
      </c>
      <c r="CU353" s="399">
        <v>0</v>
      </c>
      <c r="CV353" s="399">
        <v>0</v>
      </c>
      <c r="CW353" s="399"/>
      <c r="CX353" s="399"/>
      <c r="CY353" s="399"/>
      <c r="CZ353" s="399">
        <v>147.13634043822367</v>
      </c>
      <c r="DA353" s="399">
        <v>0</v>
      </c>
      <c r="DB353" s="399">
        <v>0</v>
      </c>
      <c r="DC353" s="399"/>
      <c r="DD353" s="399"/>
      <c r="DE353" s="399">
        <v>0</v>
      </c>
      <c r="DF353" s="399">
        <v>0</v>
      </c>
      <c r="DG353" s="399">
        <v>0</v>
      </c>
      <c r="DH353" s="399">
        <v>0</v>
      </c>
      <c r="DI353" s="399">
        <v>0</v>
      </c>
      <c r="DJ353" s="399"/>
      <c r="DK353" s="399">
        <v>0</v>
      </c>
      <c r="DL353" s="399">
        <v>0</v>
      </c>
      <c r="DM353" s="399"/>
      <c r="DN353" s="399">
        <v>0</v>
      </c>
      <c r="DO353" s="399">
        <v>0</v>
      </c>
      <c r="DP353" s="399">
        <v>0</v>
      </c>
      <c r="DQ353" s="399">
        <v>0</v>
      </c>
      <c r="DR353" s="399">
        <v>0</v>
      </c>
      <c r="DS353" s="399"/>
      <c r="DT353" s="399"/>
      <c r="DU353" s="399">
        <v>2933.2065495262477</v>
      </c>
      <c r="DV353" s="399"/>
      <c r="DW353" s="399">
        <v>0</v>
      </c>
      <c r="DX353" s="399">
        <v>0</v>
      </c>
      <c r="DY353" s="399">
        <v>-488.06999999999971</v>
      </c>
      <c r="DZ353" s="399"/>
      <c r="EA353" s="399">
        <v>0</v>
      </c>
      <c r="EB353" s="399"/>
      <c r="EC353" s="399">
        <v>-634.14342965218293</v>
      </c>
      <c r="ED353" s="399"/>
      <c r="EE353" s="399">
        <v>0</v>
      </c>
      <c r="EF353" s="399">
        <v>0</v>
      </c>
      <c r="EG353" s="399"/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/>
      <c r="EN353" s="399"/>
      <c r="EO353" s="399">
        <v>0</v>
      </c>
      <c r="EP353" s="399">
        <v>0</v>
      </c>
      <c r="EQ353" s="399"/>
      <c r="ER353" s="399">
        <v>0</v>
      </c>
      <c r="ES353" s="399"/>
      <c r="ET353" s="399">
        <v>0</v>
      </c>
      <c r="EU353" s="399"/>
      <c r="EV353" s="399">
        <v>215</v>
      </c>
      <c r="EW353" s="399"/>
      <c r="EX353" s="399"/>
      <c r="EY353" s="399"/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356</v>
      </c>
      <c r="B354" s="399" t="s">
        <v>956</v>
      </c>
      <c r="C354" s="399" t="s">
        <v>2343</v>
      </c>
      <c r="D354" s="399" t="s">
        <v>2353</v>
      </c>
      <c r="E354" s="399" t="s">
        <v>894</v>
      </c>
      <c r="F354" s="399" t="s">
        <v>1239</v>
      </c>
      <c r="G354" s="399" t="s">
        <v>1239</v>
      </c>
      <c r="H354" s="399" t="s">
        <v>1239</v>
      </c>
      <c r="I354" s="399" t="s">
        <v>1239</v>
      </c>
      <c r="J354" s="399" t="s">
        <v>2344</v>
      </c>
      <c r="K354" s="791">
        <v>44652</v>
      </c>
      <c r="L354" s="399">
        <v>0</v>
      </c>
      <c r="M354" s="399">
        <v>0</v>
      </c>
      <c r="N354" s="399">
        <v>529.37800000000004</v>
      </c>
      <c r="O354" s="399">
        <v>529.37800000000004</v>
      </c>
      <c r="P354" s="399">
        <v>529.37800000000004</v>
      </c>
      <c r="Q354" s="399">
        <v>529.37800000000004</v>
      </c>
      <c r="R354" s="399"/>
      <c r="S354" s="399">
        <v>239.69</v>
      </c>
      <c r="T354" s="399">
        <v>171.61</v>
      </c>
      <c r="U354" s="399"/>
      <c r="V354" s="399">
        <v>217733.17140000002</v>
      </c>
      <c r="W354" s="399">
        <v>217733.17140000002</v>
      </c>
      <c r="X354" s="399">
        <v>216933.81062</v>
      </c>
      <c r="Y354" s="399">
        <v>0</v>
      </c>
      <c r="Z354" s="399">
        <v>32004.764196158289</v>
      </c>
      <c r="AA354" s="399">
        <v>0</v>
      </c>
      <c r="AB354" s="399">
        <v>0</v>
      </c>
      <c r="AC354" s="399">
        <v>0</v>
      </c>
      <c r="AD354" s="399">
        <v>28234.901317305175</v>
      </c>
      <c r="AE354" s="399">
        <v>46910.686551668165</v>
      </c>
      <c r="AF354" s="399">
        <v>87545.477912286427</v>
      </c>
      <c r="AG354" s="399">
        <v>3300.8607896961457</v>
      </c>
      <c r="AH354" s="399">
        <v>0</v>
      </c>
      <c r="AI354" s="399">
        <v>0</v>
      </c>
      <c r="AJ354" s="399">
        <v>0</v>
      </c>
      <c r="AK354" s="399">
        <v>0</v>
      </c>
      <c r="AL354" s="399">
        <v>4948.6841871240322</v>
      </c>
      <c r="AM354" s="399"/>
      <c r="AN354" s="399">
        <v>209.66102847738702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8475.2956831676183</v>
      </c>
      <c r="BH354" s="399">
        <v>0</v>
      </c>
      <c r="BI354" s="399">
        <v>0</v>
      </c>
      <c r="BJ354" s="399">
        <v>0</v>
      </c>
      <c r="BK354" s="399">
        <v>63126.11</v>
      </c>
      <c r="BL354" s="399">
        <v>712</v>
      </c>
      <c r="BM354" s="399"/>
      <c r="BN354" s="399"/>
      <c r="BO354" s="399"/>
      <c r="BP354" s="399"/>
      <c r="BQ354" s="399"/>
      <c r="BR354" s="399">
        <v>26029.516259999997</v>
      </c>
      <c r="BS354" s="399"/>
      <c r="BT354" s="399"/>
      <c r="BU354" s="399"/>
      <c r="BV354" s="399">
        <v>96020.77359545404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190905.01559999998</v>
      </c>
      <c r="CJ354" s="399">
        <v>-703.3815000000177</v>
      </c>
      <c r="CK354" s="399"/>
      <c r="CL354" s="399"/>
      <c r="CM354" s="399"/>
      <c r="CN354" s="399"/>
      <c r="CO354" s="399">
        <v>-12715.659560000007</v>
      </c>
      <c r="CP354" s="399">
        <v>11916.298779999996</v>
      </c>
      <c r="CQ354" s="399">
        <v>30</v>
      </c>
      <c r="CR354" s="399">
        <v>9345.4502875097678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1271.4917254069987</v>
      </c>
      <c r="DA354" s="399">
        <v>0</v>
      </c>
      <c r="DB354" s="399">
        <v>0</v>
      </c>
      <c r="DC354" s="399">
        <v>11919.129179119802</v>
      </c>
      <c r="DD354" s="399">
        <v>0</v>
      </c>
      <c r="DE354" s="399">
        <v>0</v>
      </c>
      <c r="DF354" s="399">
        <v>0</v>
      </c>
      <c r="DG354" s="399">
        <v>1153.893341928213</v>
      </c>
      <c r="DH354" s="399">
        <v>0</v>
      </c>
      <c r="DI354" s="399">
        <v>-4395.9424882139538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-570.30423679121213</v>
      </c>
      <c r="DP354" s="399">
        <v>-32.817233940120843</v>
      </c>
      <c r="DQ354" s="399">
        <v>0</v>
      </c>
      <c r="DR354" s="399">
        <v>0</v>
      </c>
      <c r="DS354" s="399"/>
      <c r="DT354" s="399"/>
      <c r="DU354" s="399"/>
      <c r="DV354" s="399">
        <v>46910.686551668165</v>
      </c>
      <c r="DW354" s="399">
        <v>0</v>
      </c>
      <c r="DX354" s="399">
        <v>0</v>
      </c>
      <c r="DY354" s="399">
        <v>-12715.65956</v>
      </c>
      <c r="DZ354" s="399">
        <v>11916.298779999997</v>
      </c>
      <c r="EA354" s="399">
        <v>0</v>
      </c>
      <c r="EB354" s="399">
        <v>0</v>
      </c>
      <c r="EC354" s="399">
        <v>-10141.837322031788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6103.1971602243912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215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357</v>
      </c>
      <c r="B355" s="399" t="s">
        <v>2346</v>
      </c>
      <c r="C355" s="399" t="s">
        <v>2343</v>
      </c>
      <c r="D355" s="399" t="s">
        <v>2353</v>
      </c>
      <c r="E355" s="399" t="s">
        <v>894</v>
      </c>
      <c r="F355" s="399" t="s">
        <v>1239</v>
      </c>
      <c r="G355" s="399" t="s">
        <v>1239</v>
      </c>
      <c r="H355" s="399" t="s">
        <v>1239</v>
      </c>
      <c r="I355" s="399" t="s">
        <v>1239</v>
      </c>
      <c r="J355" s="399" t="s">
        <v>2344</v>
      </c>
      <c r="K355" s="791">
        <v>44652</v>
      </c>
      <c r="L355" s="399">
        <v>0</v>
      </c>
      <c r="M355" s="399">
        <v>0</v>
      </c>
      <c r="N355" s="399">
        <v>4.4450000000000003</v>
      </c>
      <c r="O355" s="399">
        <v>4.4450000000000003</v>
      </c>
      <c r="P355" s="399">
        <v>4.4450000000000003</v>
      </c>
      <c r="Q355" s="399">
        <v>4.4450000000000003</v>
      </c>
      <c r="R355" s="399"/>
      <c r="S355" s="399">
        <v>239.69</v>
      </c>
      <c r="T355" s="399">
        <v>171.61</v>
      </c>
      <c r="U355" s="399"/>
      <c r="V355" s="399">
        <v>1828.2285000000002</v>
      </c>
      <c r="W355" s="399">
        <v>1828.2285000000002</v>
      </c>
      <c r="X355" s="399">
        <v>1821.5165500000001</v>
      </c>
      <c r="Y355" s="399">
        <v>0</v>
      </c>
      <c r="Z355" s="399">
        <v>268.73269544998772</v>
      </c>
      <c r="AA355" s="399">
        <v>0</v>
      </c>
      <c r="AB355" s="399">
        <v>0</v>
      </c>
      <c r="AC355" s="399">
        <v>0</v>
      </c>
      <c r="AD355" s="399">
        <v>237.07848901053973</v>
      </c>
      <c r="AE355" s="399">
        <v>393.8924581719773</v>
      </c>
      <c r="AF355" s="399">
        <v>735.0884421341899</v>
      </c>
      <c r="AG355" s="399">
        <v>27.716161627795955</v>
      </c>
      <c r="AH355" s="399">
        <v>0</v>
      </c>
      <c r="AI355" s="399">
        <v>0</v>
      </c>
      <c r="AJ355" s="399">
        <v>0</v>
      </c>
      <c r="AK355" s="399">
        <v>0</v>
      </c>
      <c r="AL355" s="399">
        <v>41.552352405589815</v>
      </c>
      <c r="AM355" s="399"/>
      <c r="AN355" s="399">
        <v>1.76044956832733</v>
      </c>
      <c r="AO355" s="399">
        <v>0</v>
      </c>
      <c r="AP355" s="399">
        <v>0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>
        <v>0</v>
      </c>
      <c r="BG355" s="399">
        <v>71.164062941187694</v>
      </c>
      <c r="BH355" s="399">
        <v>0</v>
      </c>
      <c r="BI355" s="399">
        <v>0</v>
      </c>
      <c r="BJ355" s="399">
        <v>0</v>
      </c>
      <c r="BK355" s="399">
        <v>2876.96</v>
      </c>
      <c r="BL355" s="399">
        <v>15</v>
      </c>
      <c r="BM355" s="399"/>
      <c r="BN355" s="399"/>
      <c r="BO355" s="399"/>
      <c r="BP355" s="399"/>
      <c r="BQ355" s="399"/>
      <c r="BR355" s="399">
        <v>218.56064999999995</v>
      </c>
      <c r="BS355" s="399"/>
      <c r="BT355" s="399"/>
      <c r="BU355" s="399"/>
      <c r="BV355" s="399">
        <v>806.2525050753776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1604.759</v>
      </c>
      <c r="CJ355" s="399">
        <v>-4.1387500000003001</v>
      </c>
      <c r="CK355" s="399"/>
      <c r="CL355" s="399"/>
      <c r="CM355" s="399"/>
      <c r="CN355" s="399"/>
      <c r="CO355" s="399">
        <v>-106.76890000000006</v>
      </c>
      <c r="CP355" s="399">
        <v>100.05694999999997</v>
      </c>
      <c r="CQ355" s="399">
        <v>30</v>
      </c>
      <c r="CR355" s="399">
        <v>78.470443667815289</v>
      </c>
      <c r="CS355" s="399">
        <v>0</v>
      </c>
      <c r="CT355" s="399">
        <v>0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10.676266711941395</v>
      </c>
      <c r="DA355" s="399">
        <v>0</v>
      </c>
      <c r="DB355" s="399">
        <v>0</v>
      </c>
      <c r="DC355" s="399">
        <v>100.08071586123242</v>
      </c>
      <c r="DD355" s="399">
        <v>0</v>
      </c>
      <c r="DE355" s="399">
        <v>0</v>
      </c>
      <c r="DF355" s="399">
        <v>0</v>
      </c>
      <c r="DG355" s="399">
        <v>9.6888346415432949</v>
      </c>
      <c r="DH355" s="399">
        <v>0</v>
      </c>
      <c r="DI355" s="399">
        <v>-36.911175681858765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-4.7886431482550051</v>
      </c>
      <c r="DP355" s="399">
        <v>-0.27555471678807431</v>
      </c>
      <c r="DQ355" s="399">
        <v>0</v>
      </c>
      <c r="DR355" s="399">
        <v>0</v>
      </c>
      <c r="DS355" s="399"/>
      <c r="DT355" s="399"/>
      <c r="DU355" s="399"/>
      <c r="DV355" s="399">
        <v>393.8924581719773</v>
      </c>
      <c r="DW355" s="399">
        <v>0</v>
      </c>
      <c r="DX355" s="399">
        <v>0</v>
      </c>
      <c r="DY355" s="399">
        <v>-106.76890000000014</v>
      </c>
      <c r="DZ355" s="399">
        <v>100.05694999999992</v>
      </c>
      <c r="EA355" s="399">
        <v>0</v>
      </c>
      <c r="EB355" s="399">
        <v>0</v>
      </c>
      <c r="EC355" s="399">
        <v>-85.157424177867767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51.246389871126908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215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358</v>
      </c>
      <c r="B356" s="399" t="s">
        <v>956</v>
      </c>
      <c r="C356" s="399" t="s">
        <v>2352</v>
      </c>
      <c r="D356" s="399" t="s">
        <v>533</v>
      </c>
      <c r="E356" s="399" t="s">
        <v>894</v>
      </c>
      <c r="F356" s="399" t="s">
        <v>1239</v>
      </c>
      <c r="G356" s="399" t="s">
        <v>1239</v>
      </c>
      <c r="H356" s="399" t="s">
        <v>1239</v>
      </c>
      <c r="I356" s="399" t="s">
        <v>893</v>
      </c>
      <c r="J356" s="399" t="s">
        <v>2344</v>
      </c>
      <c r="K356" s="791">
        <v>44652</v>
      </c>
      <c r="L356" s="399">
        <v>0</v>
      </c>
      <c r="M356" s="399">
        <v>0</v>
      </c>
      <c r="N356" s="399">
        <v>9.1999999999999993</v>
      </c>
      <c r="O356" s="399">
        <v>8.8320000000000007</v>
      </c>
      <c r="P356" s="399">
        <v>9.1999999999999993</v>
      </c>
      <c r="Q356" s="399">
        <v>8.8320000000000007</v>
      </c>
      <c r="R356" s="399"/>
      <c r="S356" s="399">
        <v>984.21</v>
      </c>
      <c r="T356" s="399">
        <v>171.61</v>
      </c>
      <c r="U356" s="399"/>
      <c r="V356" s="399">
        <v>10633.544</v>
      </c>
      <c r="W356" s="399">
        <v>10633.544</v>
      </c>
      <c r="X356" s="399">
        <v>9916.2199999999993</v>
      </c>
      <c r="Y356" s="399">
        <v>0</v>
      </c>
      <c r="Z356" s="399">
        <v>483.90022370791917</v>
      </c>
      <c r="AA356" s="399">
        <v>0</v>
      </c>
      <c r="AB356" s="399">
        <v>0</v>
      </c>
      <c r="AC356" s="399">
        <v>0</v>
      </c>
      <c r="AD356" s="399">
        <v>3622.1197216785922</v>
      </c>
      <c r="AE356" s="399">
        <v>4711.1555114342982</v>
      </c>
      <c r="AF356" s="399">
        <v>1521.4428948559159</v>
      </c>
      <c r="AG356" s="399">
        <v>57.365283909048991</v>
      </c>
      <c r="AH356" s="399">
        <v>0</v>
      </c>
      <c r="AI356" s="399">
        <v>0</v>
      </c>
      <c r="AJ356" s="399">
        <v>0</v>
      </c>
      <c r="AK356" s="399">
        <v>0</v>
      </c>
      <c r="AL356" s="399">
        <v>86.002619152176877</v>
      </c>
      <c r="AM356" s="399"/>
      <c r="AN356" s="399">
        <v>2.4293563687823339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56.867856639070325</v>
      </c>
      <c r="BH356" s="399">
        <v>0</v>
      </c>
      <c r="BI356" s="399">
        <v>0</v>
      </c>
      <c r="BJ356" s="399">
        <v>0</v>
      </c>
      <c r="BK356" s="399">
        <v>0</v>
      </c>
      <c r="BL356" s="399">
        <v>0</v>
      </c>
      <c r="BM356" s="399"/>
      <c r="BN356" s="399"/>
      <c r="BO356" s="399"/>
      <c r="BP356" s="399"/>
      <c r="BQ356" s="399"/>
      <c r="BR356" s="399">
        <v>396.64879999999846</v>
      </c>
      <c r="BS356" s="399"/>
      <c r="BT356" s="399"/>
      <c r="BU356" s="399"/>
      <c r="BV356" s="399">
        <v>1578.3107514949863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9517.4154999999992</v>
      </c>
      <c r="CJ356" s="399">
        <v>-690.81674000000385</v>
      </c>
      <c r="CK356" s="399"/>
      <c r="CL356" s="399"/>
      <c r="CM356" s="399"/>
      <c r="CN356" s="399"/>
      <c r="CO356" s="399">
        <v>-924.41600000000005</v>
      </c>
      <c r="CP356" s="399">
        <v>207.0919999999999</v>
      </c>
      <c r="CQ356" s="399">
        <v>30</v>
      </c>
      <c r="CR356" s="399">
        <v>301.24064937447747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163.11355944868365</v>
      </c>
      <c r="DA356" s="399">
        <v>0</v>
      </c>
      <c r="DB356" s="399">
        <v>0</v>
      </c>
      <c r="DC356" s="399">
        <v>207.14118918410304</v>
      </c>
      <c r="DD356" s="399">
        <v>0</v>
      </c>
      <c r="DE356" s="399">
        <v>0</v>
      </c>
      <c r="DF356" s="399">
        <v>0</v>
      </c>
      <c r="DG356" s="399">
        <v>7.7424367949632398</v>
      </c>
      <c r="DH356" s="399">
        <v>0</v>
      </c>
      <c r="DI356" s="399">
        <v>-66.465028156939127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-9.9112524103365587</v>
      </c>
      <c r="DP356" s="399">
        <v>-0.3802554859967775</v>
      </c>
      <c r="DQ356" s="399">
        <v>0</v>
      </c>
      <c r="DR356" s="399">
        <v>0</v>
      </c>
      <c r="DS356" s="399"/>
      <c r="DT356" s="399"/>
      <c r="DU356" s="399"/>
      <c r="DV356" s="399">
        <v>4711.1555114342982</v>
      </c>
      <c r="DW356" s="399">
        <v>0</v>
      </c>
      <c r="DX356" s="399">
        <v>0</v>
      </c>
      <c r="DY356" s="399">
        <v>-924.41600000000017</v>
      </c>
      <c r="DZ356" s="399">
        <v>207.0920000000001</v>
      </c>
      <c r="EA356" s="399">
        <v>0</v>
      </c>
      <c r="EB356" s="399">
        <v>0</v>
      </c>
      <c r="EC356" s="399">
        <v>-1018.5264021479338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92.278088757817429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215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359</v>
      </c>
      <c r="B357" s="399" t="s">
        <v>956</v>
      </c>
      <c r="C357" s="399" t="s">
        <v>2352</v>
      </c>
      <c r="D357" s="399" t="s">
        <v>533</v>
      </c>
      <c r="E357" s="399" t="s">
        <v>894</v>
      </c>
      <c r="F357" s="399" t="s">
        <v>1239</v>
      </c>
      <c r="G357" s="399" t="s">
        <v>1239</v>
      </c>
      <c r="H357" s="399" t="s">
        <v>1239</v>
      </c>
      <c r="I357" s="399" t="s">
        <v>2326</v>
      </c>
      <c r="J357" s="399" t="s">
        <v>2344</v>
      </c>
      <c r="K357" s="791">
        <v>44652</v>
      </c>
      <c r="L357" s="399">
        <v>0</v>
      </c>
      <c r="M357" s="399">
        <v>0</v>
      </c>
      <c r="N357" s="399">
        <v>171.375</v>
      </c>
      <c r="O357" s="399">
        <v>164.52</v>
      </c>
      <c r="P357" s="399">
        <v>171.375</v>
      </c>
      <c r="Q357" s="399">
        <v>164.52</v>
      </c>
      <c r="R357" s="399"/>
      <c r="S357" s="399">
        <v>78.42</v>
      </c>
      <c r="T357" s="399">
        <v>171.61</v>
      </c>
      <c r="U357" s="399"/>
      <c r="V357" s="399">
        <v>42848.891250000001</v>
      </c>
      <c r="W357" s="399">
        <v>42848.891250000001</v>
      </c>
      <c r="X357" s="399">
        <v>45421.23</v>
      </c>
      <c r="Y357" s="399">
        <v>0</v>
      </c>
      <c r="Z357" s="399">
        <v>9013.9566128200713</v>
      </c>
      <c r="AA357" s="399">
        <v>0</v>
      </c>
      <c r="AB357" s="399">
        <v>0</v>
      </c>
      <c r="AC357" s="399">
        <v>0</v>
      </c>
      <c r="AD357" s="399">
        <v>0</v>
      </c>
      <c r="AE357" s="399">
        <v>0</v>
      </c>
      <c r="AF357" s="399">
        <v>28341.008272383981</v>
      </c>
      <c r="AG357" s="399">
        <v>1068.5842967297035</v>
      </c>
      <c r="AH357" s="399">
        <v>0</v>
      </c>
      <c r="AI357" s="399">
        <v>0</v>
      </c>
      <c r="AJ357" s="399">
        <v>0</v>
      </c>
      <c r="AK357" s="399">
        <v>0</v>
      </c>
      <c r="AL357" s="399">
        <v>1602.0324844787297</v>
      </c>
      <c r="AM357" s="399"/>
      <c r="AN357" s="399">
        <v>45.253363880442663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1059.3183621218129</v>
      </c>
      <c r="BH357" s="399">
        <v>0</v>
      </c>
      <c r="BI357" s="399">
        <v>0</v>
      </c>
      <c r="BJ357" s="399">
        <v>0</v>
      </c>
      <c r="BK357" s="399">
        <v>0</v>
      </c>
      <c r="BL357" s="399">
        <v>0</v>
      </c>
      <c r="BM357" s="399"/>
      <c r="BN357" s="399"/>
      <c r="BO357" s="399"/>
      <c r="BP357" s="399"/>
      <c r="BQ357" s="399"/>
      <c r="BR357" s="399">
        <v>1816.8491999999974</v>
      </c>
      <c r="BS357" s="399"/>
      <c r="BT357" s="399"/>
      <c r="BU357" s="399"/>
      <c r="BV357" s="399">
        <v>29400.326634505793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43604.380800000006</v>
      </c>
      <c r="CJ357" s="399">
        <v>2469.4152000000031</v>
      </c>
      <c r="CK357" s="399"/>
      <c r="CL357" s="399"/>
      <c r="CM357" s="399"/>
      <c r="CN357" s="399"/>
      <c r="CO357" s="399">
        <v>-1285.3125</v>
      </c>
      <c r="CP357" s="399">
        <v>3857.6512499999985</v>
      </c>
      <c r="CQ357" s="399">
        <v>30</v>
      </c>
      <c r="CR357" s="399">
        <v>2572.9923952209647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0</v>
      </c>
      <c r="DA357" s="399">
        <v>0</v>
      </c>
      <c r="DB357" s="399">
        <v>0</v>
      </c>
      <c r="DC357" s="399">
        <v>3858.5675322201823</v>
      </c>
      <c r="DD357" s="399">
        <v>0</v>
      </c>
      <c r="DE357" s="399">
        <v>0</v>
      </c>
      <c r="DF357" s="399">
        <v>0</v>
      </c>
      <c r="DG357" s="399">
        <v>144.22392453661132</v>
      </c>
      <c r="DH357" s="399">
        <v>0</v>
      </c>
      <c r="DI357" s="399">
        <v>-1238.091760912549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-184.62400889363357</v>
      </c>
      <c r="DP357" s="399">
        <v>-7.0832917296410614</v>
      </c>
      <c r="DQ357" s="399">
        <v>0</v>
      </c>
      <c r="DR357" s="399">
        <v>0</v>
      </c>
      <c r="DS357" s="399"/>
      <c r="DT357" s="399"/>
      <c r="DU357" s="399"/>
      <c r="DV357" s="399">
        <v>0</v>
      </c>
      <c r="DW357" s="399">
        <v>0</v>
      </c>
      <c r="DX357" s="399">
        <v>0</v>
      </c>
      <c r="DY357" s="399">
        <v>-1285.3125</v>
      </c>
      <c r="DZ357" s="399">
        <v>3857.651249999999</v>
      </c>
      <c r="EA357" s="399">
        <v>0</v>
      </c>
      <c r="EB357" s="399">
        <v>0</v>
      </c>
      <c r="EC357" s="399">
        <v>0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1718.9301587903221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215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360</v>
      </c>
      <c r="B358" s="399" t="s">
        <v>956</v>
      </c>
      <c r="C358" s="399" t="s">
        <v>2352</v>
      </c>
      <c r="D358" s="399" t="s">
        <v>533</v>
      </c>
      <c r="E358" s="399" t="s">
        <v>894</v>
      </c>
      <c r="F358" s="399" t="s">
        <v>1239</v>
      </c>
      <c r="G358" s="399" t="s">
        <v>1239</v>
      </c>
      <c r="H358" s="399" t="s">
        <v>1239</v>
      </c>
      <c r="I358" s="399" t="s">
        <v>1239</v>
      </c>
      <c r="J358" s="399" t="s">
        <v>2344</v>
      </c>
      <c r="K358" s="791">
        <v>44652</v>
      </c>
      <c r="L358" s="399">
        <v>1168</v>
      </c>
      <c r="M358" s="399">
        <v>1121.28</v>
      </c>
      <c r="N358" s="399">
        <v>0</v>
      </c>
      <c r="O358" s="399">
        <v>0</v>
      </c>
      <c r="P358" s="399">
        <v>0</v>
      </c>
      <c r="Q358" s="399">
        <v>0</v>
      </c>
      <c r="R358" s="399">
        <v>12.58</v>
      </c>
      <c r="S358" s="399"/>
      <c r="T358" s="399"/>
      <c r="U358" s="399">
        <v>14693.44</v>
      </c>
      <c r="V358" s="399"/>
      <c r="W358" s="399">
        <v>14693.44</v>
      </c>
      <c r="X358" s="399">
        <v>13537.119999999999</v>
      </c>
      <c r="Y358" s="399">
        <v>0</v>
      </c>
      <c r="Z358" s="399">
        <v>0</v>
      </c>
      <c r="AA358" s="399">
        <v>0</v>
      </c>
      <c r="AB358" s="399">
        <v>0</v>
      </c>
      <c r="AC358" s="399">
        <v>0</v>
      </c>
      <c r="AD358" s="399">
        <v>7740.8492454700954</v>
      </c>
      <c r="AE358" s="399">
        <v>6949.2601416767893</v>
      </c>
      <c r="AF358" s="399"/>
      <c r="AG358" s="399"/>
      <c r="AH358" s="399"/>
      <c r="AI358" s="399">
        <v>0</v>
      </c>
      <c r="AJ358" s="399">
        <v>0</v>
      </c>
      <c r="AK358" s="399">
        <v>0</v>
      </c>
      <c r="AL358" s="399">
        <v>0</v>
      </c>
      <c r="AM358" s="399"/>
      <c r="AN358" s="399">
        <v>0</v>
      </c>
      <c r="AO358" s="399">
        <v>0</v>
      </c>
      <c r="AP358" s="399">
        <v>0</v>
      </c>
      <c r="AQ358" s="399">
        <v>0</v>
      </c>
      <c r="AR358" s="399">
        <v>0</v>
      </c>
      <c r="AS358" s="399"/>
      <c r="AT358" s="399"/>
      <c r="AU358" s="399">
        <v>0</v>
      </c>
      <c r="AV358" s="399">
        <v>0</v>
      </c>
      <c r="AW358" s="399">
        <v>0</v>
      </c>
      <c r="AX358" s="399"/>
      <c r="AY358" s="399"/>
      <c r="AZ358" s="399">
        <v>0</v>
      </c>
      <c r="BA358" s="399"/>
      <c r="BB358" s="399">
        <v>0</v>
      </c>
      <c r="BC358" s="399">
        <v>0</v>
      </c>
      <c r="BD358" s="399">
        <v>0</v>
      </c>
      <c r="BE358" s="399">
        <v>0</v>
      </c>
      <c r="BF358" s="399"/>
      <c r="BG358" s="399">
        <v>0</v>
      </c>
      <c r="BH358" s="399">
        <v>0</v>
      </c>
      <c r="BI358" s="399">
        <v>0</v>
      </c>
      <c r="BJ358" s="399">
        <v>0</v>
      </c>
      <c r="BK358" s="399">
        <v>27323.66</v>
      </c>
      <c r="BL358" s="399">
        <v>11</v>
      </c>
      <c r="BM358" s="399"/>
      <c r="BN358" s="399"/>
      <c r="BO358" s="399"/>
      <c r="BP358" s="399"/>
      <c r="BQ358" s="399"/>
      <c r="BR358" s="399">
        <v>541.48480000000029</v>
      </c>
      <c r="BS358" s="399"/>
      <c r="BT358" s="399"/>
      <c r="BU358" s="399"/>
      <c r="BV358" s="399">
        <v>0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12995.635199999999</v>
      </c>
      <c r="CJ358" s="399">
        <v>-1110.097200000002</v>
      </c>
      <c r="CK358" s="399"/>
      <c r="CL358" s="399"/>
      <c r="CM358" s="399"/>
      <c r="CN358" s="399"/>
      <c r="CO358" s="399">
        <v>-1156.3200000000002</v>
      </c>
      <c r="CP358" s="399">
        <v>0</v>
      </c>
      <c r="CQ358" s="399">
        <v>30</v>
      </c>
      <c r="CR358" s="399">
        <v>348.59076193072087</v>
      </c>
      <c r="CS358" s="399">
        <v>0</v>
      </c>
      <c r="CT358" s="399">
        <v>0</v>
      </c>
      <c r="CU358" s="399">
        <v>0</v>
      </c>
      <c r="CV358" s="399">
        <v>0</v>
      </c>
      <c r="CW358" s="399"/>
      <c r="CX358" s="399"/>
      <c r="CY358" s="399"/>
      <c r="CZ358" s="399">
        <v>348.59076193072087</v>
      </c>
      <c r="DA358" s="399">
        <v>0</v>
      </c>
      <c r="DB358" s="399">
        <v>0</v>
      </c>
      <c r="DC358" s="399"/>
      <c r="DD358" s="399"/>
      <c r="DE358" s="399">
        <v>0</v>
      </c>
      <c r="DF358" s="399">
        <v>0</v>
      </c>
      <c r="DG358" s="399">
        <v>0</v>
      </c>
      <c r="DH358" s="399">
        <v>0</v>
      </c>
      <c r="DI358" s="399">
        <v>0</v>
      </c>
      <c r="DJ358" s="399"/>
      <c r="DK358" s="399">
        <v>0</v>
      </c>
      <c r="DL358" s="399">
        <v>0</v>
      </c>
      <c r="DM358" s="399"/>
      <c r="DN358" s="399">
        <v>0</v>
      </c>
      <c r="DO358" s="399">
        <v>0</v>
      </c>
      <c r="DP358" s="399">
        <v>0</v>
      </c>
      <c r="DQ358" s="399">
        <v>0</v>
      </c>
      <c r="DR358" s="399">
        <v>0</v>
      </c>
      <c r="DS358" s="399"/>
      <c r="DT358" s="399"/>
      <c r="DU358" s="399">
        <v>6949.2601416767893</v>
      </c>
      <c r="DV358" s="399"/>
      <c r="DW358" s="399">
        <v>0</v>
      </c>
      <c r="DX358" s="399">
        <v>0</v>
      </c>
      <c r="DY358" s="399">
        <v>-1156.3200000000015</v>
      </c>
      <c r="DZ358" s="399"/>
      <c r="EA358" s="399">
        <v>0</v>
      </c>
      <c r="EB358" s="399"/>
      <c r="EC358" s="399">
        <v>-1502.3925473301197</v>
      </c>
      <c r="ED358" s="399"/>
      <c r="EE358" s="399">
        <v>0</v>
      </c>
      <c r="EF358" s="399">
        <v>0</v>
      </c>
      <c r="EG358" s="399"/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/>
      <c r="EN358" s="399"/>
      <c r="EO358" s="399">
        <v>0</v>
      </c>
      <c r="EP358" s="399">
        <v>0</v>
      </c>
      <c r="EQ358" s="399"/>
      <c r="ER358" s="399">
        <v>0</v>
      </c>
      <c r="ES358" s="399"/>
      <c r="ET358" s="399">
        <v>0</v>
      </c>
      <c r="EU358" s="399"/>
      <c r="EV358" s="399">
        <v>215</v>
      </c>
      <c r="EW358" s="399"/>
      <c r="EX358" s="399"/>
      <c r="EY358" s="399"/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361</v>
      </c>
      <c r="B359" s="399" t="s">
        <v>956</v>
      </c>
      <c r="C359" s="399" t="s">
        <v>2343</v>
      </c>
      <c r="D359" s="399" t="s">
        <v>1826</v>
      </c>
      <c r="E359" s="399" t="s">
        <v>2354</v>
      </c>
      <c r="F359" s="399" t="s">
        <v>1239</v>
      </c>
      <c r="G359" s="399" t="s">
        <v>1239</v>
      </c>
      <c r="H359" s="399" t="s">
        <v>1239</v>
      </c>
      <c r="I359" s="399" t="s">
        <v>1239</v>
      </c>
      <c r="J359" s="399" t="s">
        <v>2344</v>
      </c>
      <c r="K359" s="791">
        <v>44652</v>
      </c>
      <c r="L359" s="399">
        <v>0</v>
      </c>
      <c r="M359" s="399">
        <v>0</v>
      </c>
      <c r="N359" s="399">
        <v>42.865000000000002</v>
      </c>
      <c r="O359" s="399">
        <v>42.865000000000002</v>
      </c>
      <c r="P359" s="399">
        <v>42.865000000000002</v>
      </c>
      <c r="Q359" s="399">
        <v>42.865000000000002</v>
      </c>
      <c r="R359" s="399"/>
      <c r="S359" s="399">
        <v>239.69</v>
      </c>
      <c r="T359" s="399">
        <v>171.61</v>
      </c>
      <c r="U359" s="399"/>
      <c r="V359" s="399">
        <v>17630.374500000002</v>
      </c>
      <c r="W359" s="399">
        <v>17630.374500000002</v>
      </c>
      <c r="X359" s="399">
        <v>17565.648350000003</v>
      </c>
      <c r="Y359" s="399">
        <v>0</v>
      </c>
      <c r="Z359" s="399">
        <v>2591.5021350874517</v>
      </c>
      <c r="AA359" s="399">
        <v>0</v>
      </c>
      <c r="AB359" s="399">
        <v>0</v>
      </c>
      <c r="AC359" s="399">
        <v>0</v>
      </c>
      <c r="AD359" s="399">
        <v>2286.2473411556321</v>
      </c>
      <c r="AE359" s="399">
        <v>3798.4702406168294</v>
      </c>
      <c r="AF359" s="399">
        <v>7088.7662704346567</v>
      </c>
      <c r="AG359" s="399">
        <v>267.27857551754187</v>
      </c>
      <c r="AH359" s="399">
        <v>0</v>
      </c>
      <c r="AI359" s="399">
        <v>0</v>
      </c>
      <c r="AJ359" s="399">
        <v>0</v>
      </c>
      <c r="AK359" s="399">
        <v>0</v>
      </c>
      <c r="AL359" s="399">
        <v>400.70676847370243</v>
      </c>
      <c r="AM359" s="399"/>
      <c r="AN359" s="399">
        <v>16.976753823701014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686.26491742947371</v>
      </c>
      <c r="BH359" s="399">
        <v>0</v>
      </c>
      <c r="BI359" s="399">
        <v>0</v>
      </c>
      <c r="BJ359" s="399">
        <v>0</v>
      </c>
      <c r="BK359" s="399">
        <v>6679.01</v>
      </c>
      <c r="BL359" s="399">
        <v>46</v>
      </c>
      <c r="BM359" s="399"/>
      <c r="BN359" s="399"/>
      <c r="BO359" s="399"/>
      <c r="BP359" s="399"/>
      <c r="BQ359" s="399"/>
      <c r="BR359" s="399"/>
      <c r="BS359" s="399"/>
      <c r="BT359" s="399"/>
      <c r="BU359" s="399"/>
      <c r="BV359" s="399">
        <v>7775.0311878641305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17567.6973</v>
      </c>
      <c r="CJ359" s="399">
        <v>-62.707200000000739</v>
      </c>
      <c r="CK359" s="399"/>
      <c r="CL359" s="399"/>
      <c r="CM359" s="399"/>
      <c r="CN359" s="399"/>
      <c r="CO359" s="399">
        <v>-1029.6173000000006</v>
      </c>
      <c r="CP359" s="399">
        <v>964.8911499999997</v>
      </c>
      <c r="CQ359" s="399">
        <v>30</v>
      </c>
      <c r="CR359" s="399">
        <v>756.72341233316001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102.95571937173645</v>
      </c>
      <c r="DA359" s="399">
        <v>0</v>
      </c>
      <c r="DB359" s="399">
        <v>0</v>
      </c>
      <c r="DC359" s="399">
        <v>965.12033417136809</v>
      </c>
      <c r="DD359" s="399">
        <v>0</v>
      </c>
      <c r="DE359" s="399">
        <v>0</v>
      </c>
      <c r="DF359" s="399">
        <v>0</v>
      </c>
      <c r="DG359" s="399">
        <v>93.433497617492321</v>
      </c>
      <c r="DH359" s="399">
        <v>0</v>
      </c>
      <c r="DI359" s="399">
        <v>-355.94995401639517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-46.178895061856167</v>
      </c>
      <c r="DP359" s="399">
        <v>-2.6572897491835334</v>
      </c>
      <c r="DQ359" s="399">
        <v>0</v>
      </c>
      <c r="DR359" s="399">
        <v>0</v>
      </c>
      <c r="DS359" s="399"/>
      <c r="DT359" s="399"/>
      <c r="DU359" s="399"/>
      <c r="DV359" s="399">
        <v>3798.4702406168294</v>
      </c>
      <c r="DW359" s="399">
        <v>0</v>
      </c>
      <c r="DX359" s="399">
        <v>0</v>
      </c>
      <c r="DY359" s="399">
        <v>-1029.6172999999999</v>
      </c>
      <c r="DZ359" s="399">
        <v>964.89115000000038</v>
      </c>
      <c r="EA359" s="399">
        <v>0</v>
      </c>
      <c r="EB359" s="399">
        <v>0</v>
      </c>
      <c r="EC359" s="399">
        <v>-821.20877106508487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494.1904391059291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215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362</v>
      </c>
      <c r="B360" s="399" t="s">
        <v>956</v>
      </c>
      <c r="C360" s="399" t="s">
        <v>2352</v>
      </c>
      <c r="D360" s="399" t="s">
        <v>533</v>
      </c>
      <c r="E360" s="399" t="s">
        <v>2354</v>
      </c>
      <c r="F360" s="399" t="s">
        <v>1239</v>
      </c>
      <c r="G360" s="399" t="s">
        <v>1239</v>
      </c>
      <c r="H360" s="399" t="s">
        <v>1239</v>
      </c>
      <c r="I360" s="399" t="s">
        <v>893</v>
      </c>
      <c r="J360" s="399" t="s">
        <v>2344</v>
      </c>
      <c r="K360" s="791">
        <v>44652</v>
      </c>
      <c r="L360" s="399">
        <v>0</v>
      </c>
      <c r="M360" s="399">
        <v>0</v>
      </c>
      <c r="N360" s="399">
        <v>1.018</v>
      </c>
      <c r="O360" s="399">
        <v>1.018</v>
      </c>
      <c r="P360" s="399">
        <v>1.018</v>
      </c>
      <c r="Q360" s="399">
        <v>1.018</v>
      </c>
      <c r="R360" s="399"/>
      <c r="S360" s="399">
        <v>984.21</v>
      </c>
      <c r="T360" s="399">
        <v>171.61</v>
      </c>
      <c r="U360" s="399"/>
      <c r="V360" s="399">
        <v>1176.6247600000002</v>
      </c>
      <c r="W360" s="399">
        <v>1176.6247600000002</v>
      </c>
      <c r="X360" s="399">
        <v>1097.2513000000001</v>
      </c>
      <c r="Y360" s="399">
        <v>0</v>
      </c>
      <c r="Z360" s="399">
        <v>53.544611710289324</v>
      </c>
      <c r="AA360" s="399">
        <v>0</v>
      </c>
      <c r="AB360" s="399">
        <v>0</v>
      </c>
      <c r="AC360" s="399">
        <v>0</v>
      </c>
      <c r="AD360" s="399">
        <v>400.79542137704425</v>
      </c>
      <c r="AE360" s="399">
        <v>521.29959898262132</v>
      </c>
      <c r="AF360" s="399">
        <v>168.35096380036114</v>
      </c>
      <c r="AG360" s="399">
        <v>6.3475933716752042</v>
      </c>
      <c r="AH360" s="399">
        <v>0</v>
      </c>
      <c r="AI360" s="399">
        <v>0</v>
      </c>
      <c r="AJ360" s="399">
        <v>0</v>
      </c>
      <c r="AK360" s="399">
        <v>0</v>
      </c>
      <c r="AL360" s="399">
        <v>9.5163767714039196</v>
      </c>
      <c r="AM360" s="399"/>
      <c r="AN360" s="399">
        <v>0.26881356341526264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6.2925519628884343</v>
      </c>
      <c r="BH360" s="399">
        <v>0</v>
      </c>
      <c r="BI360" s="399">
        <v>0</v>
      </c>
      <c r="BJ360" s="399">
        <v>0</v>
      </c>
      <c r="BK360" s="399">
        <v>0</v>
      </c>
      <c r="BL360" s="399">
        <v>0</v>
      </c>
      <c r="BM360" s="399"/>
      <c r="BN360" s="399"/>
      <c r="BO360" s="399"/>
      <c r="BP360" s="399"/>
      <c r="BQ360" s="399"/>
      <c r="BR360" s="399"/>
      <c r="BS360" s="399"/>
      <c r="BT360" s="399"/>
      <c r="BU360" s="399"/>
      <c r="BV360" s="399">
        <v>174.64351576324958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1099.4070000000002</v>
      </c>
      <c r="CJ360" s="399">
        <v>-77.247759999999971</v>
      </c>
      <c r="CK360" s="399"/>
      <c r="CL360" s="399"/>
      <c r="CM360" s="399"/>
      <c r="CN360" s="399"/>
      <c r="CO360" s="399">
        <v>-102.28864000000002</v>
      </c>
      <c r="CP360" s="399">
        <v>22.915179999999992</v>
      </c>
      <c r="CQ360" s="399">
        <v>30</v>
      </c>
      <c r="CR360" s="399">
        <v>33.332932724262946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18.048869947691344</v>
      </c>
      <c r="DA360" s="399">
        <v>0</v>
      </c>
      <c r="DB360" s="399">
        <v>0</v>
      </c>
      <c r="DC360" s="399">
        <v>22.920622890154021</v>
      </c>
      <c r="DD360" s="399">
        <v>0</v>
      </c>
      <c r="DE360" s="399">
        <v>0</v>
      </c>
      <c r="DF360" s="399">
        <v>0</v>
      </c>
      <c r="DG360" s="399">
        <v>0.8567174627470191</v>
      </c>
      <c r="DH360" s="399">
        <v>0</v>
      </c>
      <c r="DI360" s="399">
        <v>-7.3544998547569662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-1.0967016254046325</v>
      </c>
      <c r="DP360" s="399">
        <v>-4.2076096167904337E-2</v>
      </c>
      <c r="DQ360" s="399">
        <v>0</v>
      </c>
      <c r="DR360" s="399">
        <v>0</v>
      </c>
      <c r="DS360" s="399"/>
      <c r="DT360" s="399"/>
      <c r="DU360" s="399"/>
      <c r="DV360" s="399">
        <v>521.29959898262132</v>
      </c>
      <c r="DW360" s="399">
        <v>0</v>
      </c>
      <c r="DX360" s="399">
        <v>0</v>
      </c>
      <c r="DY360" s="399">
        <v>-102.28863999999999</v>
      </c>
      <c r="DZ360" s="399">
        <v>22.915179999999992</v>
      </c>
      <c r="EA360" s="399">
        <v>0</v>
      </c>
      <c r="EB360" s="399">
        <v>0</v>
      </c>
      <c r="EC360" s="399">
        <v>-112.70216058549966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10.210771125593277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215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363</v>
      </c>
      <c r="B361" s="399" t="s">
        <v>956</v>
      </c>
      <c r="C361" s="399" t="s">
        <v>2352</v>
      </c>
      <c r="D361" s="399" t="s">
        <v>533</v>
      </c>
      <c r="E361" s="399" t="s">
        <v>2354</v>
      </c>
      <c r="F361" s="399" t="s">
        <v>1239</v>
      </c>
      <c r="G361" s="399" t="s">
        <v>1239</v>
      </c>
      <c r="H361" s="399" t="s">
        <v>1239</v>
      </c>
      <c r="I361" s="399" t="s">
        <v>2326</v>
      </c>
      <c r="J361" s="399" t="s">
        <v>2344</v>
      </c>
      <c r="K361" s="791">
        <v>44652</v>
      </c>
      <c r="L361" s="399">
        <v>0</v>
      </c>
      <c r="M361" s="399">
        <v>0</v>
      </c>
      <c r="N361" s="399">
        <v>9.39</v>
      </c>
      <c r="O361" s="399">
        <v>9.39</v>
      </c>
      <c r="P361" s="399">
        <v>9.39</v>
      </c>
      <c r="Q361" s="399">
        <v>9.39</v>
      </c>
      <c r="R361" s="399"/>
      <c r="S361" s="399">
        <v>78.42</v>
      </c>
      <c r="T361" s="399">
        <v>171.61</v>
      </c>
      <c r="U361" s="399"/>
      <c r="V361" s="399">
        <v>2347.7817000000005</v>
      </c>
      <c r="W361" s="399">
        <v>2347.7817000000005</v>
      </c>
      <c r="X361" s="399">
        <v>2488.7256000000002</v>
      </c>
      <c r="Y361" s="399">
        <v>0</v>
      </c>
      <c r="Z361" s="399">
        <v>493.89381528449587</v>
      </c>
      <c r="AA361" s="399">
        <v>0</v>
      </c>
      <c r="AB361" s="399">
        <v>0</v>
      </c>
      <c r="AC361" s="399">
        <v>0</v>
      </c>
      <c r="AD361" s="399">
        <v>0</v>
      </c>
      <c r="AE361" s="399">
        <v>0</v>
      </c>
      <c r="AF361" s="399">
        <v>1552.8639981192448</v>
      </c>
      <c r="AG361" s="399">
        <v>58.550001728909791</v>
      </c>
      <c r="AH361" s="399">
        <v>0</v>
      </c>
      <c r="AI361" s="399">
        <v>0</v>
      </c>
      <c r="AJ361" s="399">
        <v>0</v>
      </c>
      <c r="AK361" s="399">
        <v>0</v>
      </c>
      <c r="AL361" s="399">
        <v>87.778760199884886</v>
      </c>
      <c r="AM361" s="399"/>
      <c r="AN361" s="399">
        <v>2.4795278590071868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58.042301504442442</v>
      </c>
      <c r="BH361" s="399">
        <v>0</v>
      </c>
      <c r="BI361" s="399">
        <v>0</v>
      </c>
      <c r="BJ361" s="399">
        <v>0</v>
      </c>
      <c r="BK361" s="399">
        <v>0</v>
      </c>
      <c r="BL361" s="399">
        <v>0</v>
      </c>
      <c r="BM361" s="399"/>
      <c r="BN361" s="399"/>
      <c r="BO361" s="399"/>
      <c r="BP361" s="399"/>
      <c r="BQ361" s="399"/>
      <c r="BR361" s="399"/>
      <c r="BS361" s="399"/>
      <c r="BT361" s="399"/>
      <c r="BU361" s="399"/>
      <c r="BV361" s="399">
        <v>1610.9062996236873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2488.7256000000002</v>
      </c>
      <c r="CJ361" s="399">
        <v>140.91390000000001</v>
      </c>
      <c r="CK361" s="399"/>
      <c r="CL361" s="399"/>
      <c r="CM361" s="399"/>
      <c r="CN361" s="399"/>
      <c r="CO361" s="399">
        <v>-70.425000000000011</v>
      </c>
      <c r="CP361" s="399">
        <v>211.36889999999994</v>
      </c>
      <c r="CQ361" s="399">
        <v>30</v>
      </c>
      <c r="CR361" s="399">
        <v>140.97971460904409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0</v>
      </c>
      <c r="DA361" s="399">
        <v>0</v>
      </c>
      <c r="DB361" s="399">
        <v>0</v>
      </c>
      <c r="DC361" s="399">
        <v>211.41910504768794</v>
      </c>
      <c r="DD361" s="399">
        <v>0</v>
      </c>
      <c r="DE361" s="399">
        <v>0</v>
      </c>
      <c r="DF361" s="399">
        <v>0</v>
      </c>
      <c r="DG361" s="399">
        <v>7.9023349461635561</v>
      </c>
      <c r="DH361" s="399">
        <v>0</v>
      </c>
      <c r="DI361" s="399">
        <v>-67.837675477571622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-10.115941318810897</v>
      </c>
      <c r="DP361" s="399">
        <v>-0.3881085884249722</v>
      </c>
      <c r="DQ361" s="399">
        <v>0</v>
      </c>
      <c r="DR361" s="399">
        <v>0</v>
      </c>
      <c r="DS361" s="399"/>
      <c r="DT361" s="399"/>
      <c r="DU361" s="399"/>
      <c r="DV361" s="399">
        <v>0</v>
      </c>
      <c r="DW361" s="399">
        <v>0</v>
      </c>
      <c r="DX361" s="399">
        <v>0</v>
      </c>
      <c r="DY361" s="399">
        <v>-70.425000000000068</v>
      </c>
      <c r="DZ361" s="399">
        <v>211.36889999999994</v>
      </c>
      <c r="EA361" s="399">
        <v>0</v>
      </c>
      <c r="EB361" s="399">
        <v>0</v>
      </c>
      <c r="EC361" s="399">
        <v>0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94.183831895207149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215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364</v>
      </c>
      <c r="B362" s="399" t="s">
        <v>956</v>
      </c>
      <c r="C362" s="399" t="s">
        <v>2352</v>
      </c>
      <c r="D362" s="399" t="s">
        <v>533</v>
      </c>
      <c r="E362" s="399" t="s">
        <v>2354</v>
      </c>
      <c r="F362" s="399" t="s">
        <v>1239</v>
      </c>
      <c r="G362" s="399" t="s">
        <v>1239</v>
      </c>
      <c r="H362" s="399" t="s">
        <v>1239</v>
      </c>
      <c r="I362" s="399" t="s">
        <v>1239</v>
      </c>
      <c r="J362" s="399" t="s">
        <v>2344</v>
      </c>
      <c r="K362" s="791">
        <v>44652</v>
      </c>
      <c r="L362" s="399">
        <v>155</v>
      </c>
      <c r="M362" s="399">
        <v>155</v>
      </c>
      <c r="N362" s="399">
        <v>0</v>
      </c>
      <c r="O362" s="399">
        <v>0</v>
      </c>
      <c r="P362" s="399">
        <v>0</v>
      </c>
      <c r="Q362" s="399">
        <v>0</v>
      </c>
      <c r="R362" s="399">
        <v>12.58</v>
      </c>
      <c r="S362" s="399"/>
      <c r="T362" s="399"/>
      <c r="U362" s="399">
        <v>1949.9</v>
      </c>
      <c r="V362" s="399"/>
      <c r="W362" s="399">
        <v>1949.9</v>
      </c>
      <c r="X362" s="399">
        <v>1796.45</v>
      </c>
      <c r="Y362" s="399">
        <v>0</v>
      </c>
      <c r="Z362" s="399">
        <v>0</v>
      </c>
      <c r="AA362" s="399">
        <v>0</v>
      </c>
      <c r="AB362" s="399">
        <v>0</v>
      </c>
      <c r="AC362" s="399">
        <v>0</v>
      </c>
      <c r="AD362" s="399">
        <v>1027.2531104861855</v>
      </c>
      <c r="AE362" s="399">
        <v>922.20489893827255</v>
      </c>
      <c r="AF362" s="399"/>
      <c r="AG362" s="399"/>
      <c r="AH362" s="399"/>
      <c r="AI362" s="399">
        <v>0</v>
      </c>
      <c r="AJ362" s="399">
        <v>0</v>
      </c>
      <c r="AK362" s="399">
        <v>0</v>
      </c>
      <c r="AL362" s="399">
        <v>0</v>
      </c>
      <c r="AM362" s="399"/>
      <c r="AN362" s="399">
        <v>0</v>
      </c>
      <c r="AO362" s="399">
        <v>0</v>
      </c>
      <c r="AP362" s="399">
        <v>0</v>
      </c>
      <c r="AQ362" s="399">
        <v>0</v>
      </c>
      <c r="AR362" s="399">
        <v>0</v>
      </c>
      <c r="AS362" s="399"/>
      <c r="AT362" s="399"/>
      <c r="AU362" s="399">
        <v>0</v>
      </c>
      <c r="AV362" s="399">
        <v>0</v>
      </c>
      <c r="AW362" s="399">
        <v>0</v>
      </c>
      <c r="AX362" s="399"/>
      <c r="AY362" s="399"/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/>
      <c r="BG362" s="399">
        <v>0</v>
      </c>
      <c r="BH362" s="399">
        <v>0</v>
      </c>
      <c r="BI362" s="399">
        <v>0</v>
      </c>
      <c r="BJ362" s="399">
        <v>0</v>
      </c>
      <c r="BK362" s="399">
        <v>817.77</v>
      </c>
      <c r="BL362" s="399">
        <v>3</v>
      </c>
      <c r="BM362" s="399"/>
      <c r="BN362" s="399"/>
      <c r="BO362" s="399"/>
      <c r="BP362" s="399"/>
      <c r="BQ362" s="399"/>
      <c r="BR362" s="399"/>
      <c r="BS362" s="399"/>
      <c r="BT362" s="399"/>
      <c r="BU362" s="399"/>
      <c r="BV362" s="399">
        <v>0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1796.45</v>
      </c>
      <c r="CJ362" s="399">
        <v>-153.48000000000002</v>
      </c>
      <c r="CK362" s="399"/>
      <c r="CL362" s="399"/>
      <c r="CM362" s="399"/>
      <c r="CN362" s="399"/>
      <c r="CO362" s="399">
        <v>-153.45000000000005</v>
      </c>
      <c r="CP362" s="399">
        <v>0</v>
      </c>
      <c r="CQ362" s="399">
        <v>30</v>
      </c>
      <c r="CR362" s="399">
        <v>46.259904194573437</v>
      </c>
      <c r="CS362" s="399">
        <v>0</v>
      </c>
      <c r="CT362" s="399">
        <v>0</v>
      </c>
      <c r="CU362" s="399">
        <v>0</v>
      </c>
      <c r="CV362" s="399">
        <v>0</v>
      </c>
      <c r="CW362" s="399"/>
      <c r="CX362" s="399"/>
      <c r="CY362" s="399"/>
      <c r="CZ362" s="399">
        <v>46.259904194573437</v>
      </c>
      <c r="DA362" s="399">
        <v>0</v>
      </c>
      <c r="DB362" s="399">
        <v>0</v>
      </c>
      <c r="DC362" s="399"/>
      <c r="DD362" s="399"/>
      <c r="DE362" s="399">
        <v>0</v>
      </c>
      <c r="DF362" s="399">
        <v>0</v>
      </c>
      <c r="DG362" s="399">
        <v>0</v>
      </c>
      <c r="DH362" s="399">
        <v>0</v>
      </c>
      <c r="DI362" s="399">
        <v>0</v>
      </c>
      <c r="DJ362" s="399"/>
      <c r="DK362" s="399">
        <v>0</v>
      </c>
      <c r="DL362" s="399">
        <v>0</v>
      </c>
      <c r="DM362" s="399"/>
      <c r="DN362" s="399">
        <v>0</v>
      </c>
      <c r="DO362" s="399">
        <v>0</v>
      </c>
      <c r="DP362" s="399">
        <v>0</v>
      </c>
      <c r="DQ362" s="399">
        <v>0</v>
      </c>
      <c r="DR362" s="399">
        <v>0</v>
      </c>
      <c r="DS362" s="399"/>
      <c r="DT362" s="399"/>
      <c r="DU362" s="399">
        <v>922.20489893827255</v>
      </c>
      <c r="DV362" s="399"/>
      <c r="DW362" s="399">
        <v>0</v>
      </c>
      <c r="DX362" s="399">
        <v>0</v>
      </c>
      <c r="DY362" s="399">
        <v>-153.45000000000005</v>
      </c>
      <c r="DZ362" s="399"/>
      <c r="EA362" s="399">
        <v>0</v>
      </c>
      <c r="EB362" s="399"/>
      <c r="EC362" s="399">
        <v>-199.37572331863748</v>
      </c>
      <c r="ED362" s="399"/>
      <c r="EE362" s="399">
        <v>0</v>
      </c>
      <c r="EF362" s="399">
        <v>0</v>
      </c>
      <c r="EG362" s="399"/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/>
      <c r="EN362" s="399"/>
      <c r="EO362" s="399">
        <v>0</v>
      </c>
      <c r="EP362" s="399">
        <v>0</v>
      </c>
      <c r="EQ362" s="399"/>
      <c r="ER362" s="399">
        <v>0</v>
      </c>
      <c r="ES362" s="399"/>
      <c r="ET362" s="399">
        <v>0</v>
      </c>
      <c r="EU362" s="399"/>
      <c r="EV362" s="399">
        <v>215</v>
      </c>
      <c r="EW362" s="399"/>
      <c r="EX362" s="399"/>
      <c r="EY362" s="399"/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365</v>
      </c>
      <c r="B363" s="399" t="s">
        <v>956</v>
      </c>
      <c r="C363" s="399" t="s">
        <v>2343</v>
      </c>
      <c r="D363" s="399" t="s">
        <v>2355</v>
      </c>
      <c r="E363" s="399" t="s">
        <v>2356</v>
      </c>
      <c r="F363" s="399" t="s">
        <v>2357</v>
      </c>
      <c r="G363" s="399" t="s">
        <v>1239</v>
      </c>
      <c r="H363" s="399" t="s">
        <v>1239</v>
      </c>
      <c r="I363" s="399" t="s">
        <v>1239</v>
      </c>
      <c r="J363" s="399" t="s">
        <v>2344</v>
      </c>
      <c r="K363" s="791">
        <v>44652</v>
      </c>
      <c r="L363" s="399">
        <v>0</v>
      </c>
      <c r="M363" s="399">
        <v>0</v>
      </c>
      <c r="N363" s="399">
        <v>99.293000000000006</v>
      </c>
      <c r="O363" s="399">
        <v>99.293000000000006</v>
      </c>
      <c r="P363" s="399">
        <v>99.293000000000006</v>
      </c>
      <c r="Q363" s="399">
        <v>99.293000000000006</v>
      </c>
      <c r="R363" s="399"/>
      <c r="S363" s="399">
        <v>131.83000000000001</v>
      </c>
      <c r="T363" s="399">
        <v>94.39</v>
      </c>
      <c r="U363" s="399"/>
      <c r="V363" s="399">
        <v>22462.062460000001</v>
      </c>
      <c r="W363" s="399">
        <v>22462.062460000001</v>
      </c>
      <c r="X363" s="399">
        <v>22379.649270000002</v>
      </c>
      <c r="Y363" s="399">
        <v>0</v>
      </c>
      <c r="Z363" s="399">
        <v>3301.6426414226362</v>
      </c>
      <c r="AA363" s="399">
        <v>0</v>
      </c>
      <c r="AB363" s="399">
        <v>0</v>
      </c>
      <c r="AC363" s="399">
        <v>0</v>
      </c>
      <c r="AD363" s="399">
        <v>2912.7399156643278</v>
      </c>
      <c r="AE363" s="399">
        <v>4839.3521073337588</v>
      </c>
      <c r="AF363" s="399">
        <v>9031.2767551533416</v>
      </c>
      <c r="AG363" s="399">
        <v>340.52001351626768</v>
      </c>
      <c r="AH363" s="399">
        <v>0</v>
      </c>
      <c r="AI363" s="399">
        <v>0</v>
      </c>
      <c r="AJ363" s="399">
        <v>0</v>
      </c>
      <c r="AK363" s="399">
        <v>0</v>
      </c>
      <c r="AL363" s="399">
        <v>510.51107988178296</v>
      </c>
      <c r="AM363" s="399"/>
      <c r="AN363" s="399">
        <v>21.62883587027202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874.31975610587983</v>
      </c>
      <c r="BH363" s="399">
        <v>0</v>
      </c>
      <c r="BI363" s="399">
        <v>0</v>
      </c>
      <c r="BJ363" s="399">
        <v>0</v>
      </c>
      <c r="BK363" s="399">
        <v>9813.06</v>
      </c>
      <c r="BL363" s="399">
        <v>7</v>
      </c>
      <c r="BM363" s="399"/>
      <c r="BN363" s="399"/>
      <c r="BO363" s="399"/>
      <c r="BP363" s="399"/>
      <c r="BQ363" s="399"/>
      <c r="BR363" s="399"/>
      <c r="BS363" s="399"/>
      <c r="BT363" s="399"/>
      <c r="BU363" s="399"/>
      <c r="BV363" s="399">
        <v>9905.5965112592221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22378.973100000003</v>
      </c>
      <c r="CJ363" s="399">
        <v>-83.119360000000597</v>
      </c>
      <c r="CK363" s="399"/>
      <c r="CL363" s="399"/>
      <c r="CM363" s="399"/>
      <c r="CN363" s="399"/>
      <c r="CO363" s="399">
        <v>-1311.6605300000008</v>
      </c>
      <c r="CP363" s="399">
        <v>1229.2473399999997</v>
      </c>
      <c r="CQ363" s="399">
        <v>30</v>
      </c>
      <c r="CR363" s="399">
        <v>964.08575246561304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131.16832459973602</v>
      </c>
      <c r="DA363" s="399">
        <v>0</v>
      </c>
      <c r="DB363" s="399">
        <v>0</v>
      </c>
      <c r="DC363" s="399">
        <v>1229.5889732295163</v>
      </c>
      <c r="DD363" s="399">
        <v>0</v>
      </c>
      <c r="DE363" s="399">
        <v>0</v>
      </c>
      <c r="DF363" s="399">
        <v>0</v>
      </c>
      <c r="DG363" s="399">
        <v>119.03676084016331</v>
      </c>
      <c r="DH363" s="399">
        <v>0</v>
      </c>
      <c r="DI363" s="399">
        <v>-453.48970795013383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-58.833140442255569</v>
      </c>
      <c r="DP363" s="399">
        <v>-3.3854578114107916</v>
      </c>
      <c r="DQ363" s="399">
        <v>0</v>
      </c>
      <c r="DR363" s="399">
        <v>0</v>
      </c>
      <c r="DS363" s="399"/>
      <c r="DT363" s="399"/>
      <c r="DU363" s="399"/>
      <c r="DV363" s="399">
        <v>4839.3521073337588</v>
      </c>
      <c r="DW363" s="399">
        <v>0</v>
      </c>
      <c r="DX363" s="399">
        <v>0</v>
      </c>
      <c r="DY363" s="399">
        <v>-1311.660530000001</v>
      </c>
      <c r="DZ363" s="399">
        <v>1229.2473399999999</v>
      </c>
      <c r="EA363" s="399">
        <v>0</v>
      </c>
      <c r="EB363" s="399">
        <v>0</v>
      </c>
      <c r="EC363" s="399">
        <v>-1046.241814486194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629.61176247707169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215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366</v>
      </c>
      <c r="B364" s="399" t="s">
        <v>956</v>
      </c>
      <c r="C364" s="399" t="s">
        <v>2343</v>
      </c>
      <c r="D364" s="399" t="s">
        <v>1826</v>
      </c>
      <c r="E364" s="399" t="s">
        <v>921</v>
      </c>
      <c r="F364" s="399" t="s">
        <v>2358</v>
      </c>
      <c r="G364" s="399" t="s">
        <v>1239</v>
      </c>
      <c r="H364" s="399" t="s">
        <v>1239</v>
      </c>
      <c r="I364" s="399" t="s">
        <v>1239</v>
      </c>
      <c r="J364" s="399" t="s">
        <v>2344</v>
      </c>
      <c r="K364" s="791">
        <v>44652</v>
      </c>
      <c r="L364" s="399">
        <v>0</v>
      </c>
      <c r="M364" s="399">
        <v>0</v>
      </c>
      <c r="N364" s="399">
        <v>40.216999999999999</v>
      </c>
      <c r="O364" s="399">
        <v>37.803980000000003</v>
      </c>
      <c r="P364" s="399">
        <v>40.216999999999999</v>
      </c>
      <c r="Q364" s="399">
        <v>37.803980000000003</v>
      </c>
      <c r="R364" s="399"/>
      <c r="S364" s="399">
        <v>239.69</v>
      </c>
      <c r="T364" s="399">
        <v>171.61</v>
      </c>
      <c r="U364" s="399"/>
      <c r="V364" s="399">
        <v>16541.252099999998</v>
      </c>
      <c r="W364" s="399">
        <v>16541.252099999998</v>
      </c>
      <c r="X364" s="399">
        <v>16480.524429999998</v>
      </c>
      <c r="Y364" s="399">
        <v>0</v>
      </c>
      <c r="Z364" s="399">
        <v>2431.4112065044214</v>
      </c>
      <c r="AA364" s="399">
        <v>0</v>
      </c>
      <c r="AB364" s="399">
        <v>0</v>
      </c>
      <c r="AC364" s="399">
        <v>0</v>
      </c>
      <c r="AD364" s="399">
        <v>2145.0136316168446</v>
      </c>
      <c r="AE364" s="399">
        <v>3563.8184455123528</v>
      </c>
      <c r="AF364" s="399">
        <v>6650.8553154804758</v>
      </c>
      <c r="AG364" s="399">
        <v>250.76735032285038</v>
      </c>
      <c r="AH364" s="399">
        <v>0</v>
      </c>
      <c r="AI364" s="399">
        <v>0</v>
      </c>
      <c r="AJ364" s="399">
        <v>0</v>
      </c>
      <c r="AK364" s="399">
        <v>0</v>
      </c>
      <c r="AL364" s="399">
        <v>375.9529711351193</v>
      </c>
      <c r="AM364" s="399"/>
      <c r="AN364" s="399">
        <v>15.928009063986552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643.87066801029141</v>
      </c>
      <c r="BH364" s="399">
        <v>0</v>
      </c>
      <c r="BI364" s="399">
        <v>0</v>
      </c>
      <c r="BJ364" s="399">
        <v>0</v>
      </c>
      <c r="BK364" s="399">
        <v>6897.42</v>
      </c>
      <c r="BL364" s="399">
        <v>40</v>
      </c>
      <c r="BM364" s="399"/>
      <c r="BN364" s="399"/>
      <c r="BO364" s="399"/>
      <c r="BP364" s="399"/>
      <c r="BQ364" s="399">
        <v>988.83146579999834</v>
      </c>
      <c r="BR364" s="399"/>
      <c r="BS364" s="399"/>
      <c r="BT364" s="399"/>
      <c r="BU364" s="399"/>
      <c r="BV364" s="399">
        <v>7294.7259834907672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15490.061999999998</v>
      </c>
      <c r="CJ364" s="399">
        <v>-58.744974000002912</v>
      </c>
      <c r="CK364" s="399"/>
      <c r="CL364" s="399"/>
      <c r="CM364" s="399"/>
      <c r="CN364" s="399"/>
      <c r="CO364" s="399">
        <v>-966.01234000000034</v>
      </c>
      <c r="CP364" s="399">
        <v>905.28466999999955</v>
      </c>
      <c r="CQ364" s="399">
        <v>30</v>
      </c>
      <c r="CR364" s="399">
        <v>709.97656535175338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96.595594680348313</v>
      </c>
      <c r="DA364" s="399">
        <v>0</v>
      </c>
      <c r="DB364" s="399">
        <v>0</v>
      </c>
      <c r="DC364" s="399">
        <v>905.49969624098594</v>
      </c>
      <c r="DD364" s="399">
        <v>0</v>
      </c>
      <c r="DE364" s="399">
        <v>0</v>
      </c>
      <c r="DF364" s="399">
        <v>0</v>
      </c>
      <c r="DG364" s="399">
        <v>87.661611423834984</v>
      </c>
      <c r="DH364" s="399">
        <v>0</v>
      </c>
      <c r="DI364" s="399">
        <v>-333.96102416137501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-43.326178063750604</v>
      </c>
      <c r="DP364" s="399">
        <v>-2.4931347682938085</v>
      </c>
      <c r="DQ364" s="399">
        <v>0</v>
      </c>
      <c r="DR364" s="399">
        <v>0</v>
      </c>
      <c r="DS364" s="399"/>
      <c r="DT364" s="399"/>
      <c r="DU364" s="399"/>
      <c r="DV364" s="399">
        <v>3563.8184455123528</v>
      </c>
      <c r="DW364" s="399">
        <v>0</v>
      </c>
      <c r="DX364" s="399">
        <v>0</v>
      </c>
      <c r="DY364" s="399">
        <v>-966.01233999999931</v>
      </c>
      <c r="DZ364" s="399">
        <v>905.2846699999991</v>
      </c>
      <c r="EA364" s="399">
        <v>0</v>
      </c>
      <c r="EB364" s="399">
        <v>0</v>
      </c>
      <c r="EC364" s="399">
        <v>-770.47831904641316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463.66165611858509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215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367</v>
      </c>
      <c r="B365" s="399" t="s">
        <v>956</v>
      </c>
      <c r="C365" s="399" t="s">
        <v>2343</v>
      </c>
      <c r="D365" s="399" t="s">
        <v>1826</v>
      </c>
      <c r="E365" s="399" t="s">
        <v>2359</v>
      </c>
      <c r="F365" s="399" t="s">
        <v>1239</v>
      </c>
      <c r="G365" s="399" t="s">
        <v>1239</v>
      </c>
      <c r="H365" s="399" t="s">
        <v>1239</v>
      </c>
      <c r="I365" s="399" t="s">
        <v>1239</v>
      </c>
      <c r="J365" s="399" t="s">
        <v>2344</v>
      </c>
      <c r="K365" s="791">
        <v>44652</v>
      </c>
      <c r="L365" s="399">
        <v>0</v>
      </c>
      <c r="M365" s="399">
        <v>0</v>
      </c>
      <c r="N365" s="399">
        <v>9.7530000000000001</v>
      </c>
      <c r="O365" s="399">
        <v>9.7530000000000001</v>
      </c>
      <c r="P365" s="399">
        <v>9.7530000000000001</v>
      </c>
      <c r="Q365" s="399">
        <v>9.7530000000000001</v>
      </c>
      <c r="R365" s="399"/>
      <c r="S365" s="399">
        <v>239.69</v>
      </c>
      <c r="T365" s="399">
        <v>171.61</v>
      </c>
      <c r="U365" s="399"/>
      <c r="V365" s="399">
        <v>4011.4089000000004</v>
      </c>
      <c r="W365" s="399">
        <v>4011.4089000000004</v>
      </c>
      <c r="X365" s="399">
        <v>3996.6818699999999</v>
      </c>
      <c r="Y365" s="399">
        <v>0</v>
      </c>
      <c r="Z365" s="399">
        <v>589.64004020781329</v>
      </c>
      <c r="AA365" s="399">
        <v>0</v>
      </c>
      <c r="AB365" s="399">
        <v>0</v>
      </c>
      <c r="AC365" s="399">
        <v>0</v>
      </c>
      <c r="AD365" s="399">
        <v>520.18594000445307</v>
      </c>
      <c r="AE365" s="399">
        <v>864.25942509590425</v>
      </c>
      <c r="AF365" s="399">
        <v>1612.8948427749729</v>
      </c>
      <c r="AG365" s="399">
        <v>60.813436300538569</v>
      </c>
      <c r="AH365" s="399">
        <v>0</v>
      </c>
      <c r="AI365" s="399">
        <v>0</v>
      </c>
      <c r="AJ365" s="399">
        <v>0</v>
      </c>
      <c r="AK365" s="399">
        <v>0</v>
      </c>
      <c r="AL365" s="399">
        <v>91.172124412084912</v>
      </c>
      <c r="AM365" s="399"/>
      <c r="AN365" s="399">
        <v>3.8626917075132621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156.14468073462399</v>
      </c>
      <c r="BH365" s="399">
        <v>0</v>
      </c>
      <c r="BI365" s="399">
        <v>0</v>
      </c>
      <c r="BJ365" s="399">
        <v>0</v>
      </c>
      <c r="BK365" s="399">
        <v>1688.9</v>
      </c>
      <c r="BL365" s="399">
        <v>4</v>
      </c>
      <c r="BM365" s="399"/>
      <c r="BN365" s="399"/>
      <c r="BO365" s="399"/>
      <c r="BP365" s="399"/>
      <c r="BQ365" s="399"/>
      <c r="BR365" s="399"/>
      <c r="BS365" s="399"/>
      <c r="BT365" s="399"/>
      <c r="BU365" s="399"/>
      <c r="BV365" s="399">
        <v>1769.0395235095968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3995.4524999999999</v>
      </c>
      <c r="CJ365" s="399">
        <v>-15.98640000000114</v>
      </c>
      <c r="CK365" s="399"/>
      <c r="CL365" s="399"/>
      <c r="CM365" s="399"/>
      <c r="CN365" s="399"/>
      <c r="CO365" s="399">
        <v>-234.2670600000001</v>
      </c>
      <c r="CP365" s="399">
        <v>219.54002999999992</v>
      </c>
      <c r="CQ365" s="399">
        <v>30</v>
      </c>
      <c r="CR365" s="399">
        <v>172.17598134807668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23.425338412050451</v>
      </c>
      <c r="DA365" s="399">
        <v>0</v>
      </c>
      <c r="DB365" s="399">
        <v>0</v>
      </c>
      <c r="DC365" s="399">
        <v>219.59217588179968</v>
      </c>
      <c r="DD365" s="399">
        <v>0</v>
      </c>
      <c r="DE365" s="399">
        <v>0</v>
      </c>
      <c r="DF365" s="399">
        <v>0</v>
      </c>
      <c r="DG365" s="399">
        <v>21.258763612817035</v>
      </c>
      <c r="DH365" s="399">
        <v>0</v>
      </c>
      <c r="DI365" s="399">
        <v>-80.988683110274167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-10.507004865001363</v>
      </c>
      <c r="DP365" s="399">
        <v>-0.60460858331475587</v>
      </c>
      <c r="DQ365" s="399">
        <v>0</v>
      </c>
      <c r="DR365" s="399">
        <v>0</v>
      </c>
      <c r="DS365" s="399"/>
      <c r="DT365" s="399"/>
      <c r="DU365" s="399"/>
      <c r="DV365" s="399">
        <v>864.25942509590425</v>
      </c>
      <c r="DW365" s="399">
        <v>0</v>
      </c>
      <c r="DX365" s="399">
        <v>0</v>
      </c>
      <c r="DY365" s="399">
        <v>-234.26706000000013</v>
      </c>
      <c r="DZ365" s="399">
        <v>219.54002999999989</v>
      </c>
      <c r="EA365" s="399">
        <v>0</v>
      </c>
      <c r="EB365" s="399">
        <v>0</v>
      </c>
      <c r="EC365" s="399">
        <v>-186.84822452345213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112.44230380497204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215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368</v>
      </c>
      <c r="B366" s="399" t="s">
        <v>956</v>
      </c>
      <c r="C366" s="399" t="s">
        <v>2343</v>
      </c>
      <c r="D366" s="399" t="s">
        <v>2353</v>
      </c>
      <c r="E366" s="399" t="s">
        <v>894</v>
      </c>
      <c r="F366" s="399" t="s">
        <v>2360</v>
      </c>
      <c r="G366" s="399" t="s">
        <v>2361</v>
      </c>
      <c r="H366" s="399" t="s">
        <v>1239</v>
      </c>
      <c r="I366" s="399" t="s">
        <v>1239</v>
      </c>
      <c r="J366" s="399" t="s">
        <v>2344</v>
      </c>
      <c r="K366" s="791">
        <v>44652</v>
      </c>
      <c r="L366" s="399">
        <v>0</v>
      </c>
      <c r="M366" s="399">
        <v>0</v>
      </c>
      <c r="N366" s="399">
        <v>0</v>
      </c>
      <c r="O366" s="399">
        <v>0</v>
      </c>
      <c r="P366" s="399">
        <v>0</v>
      </c>
      <c r="Q366" s="399">
        <v>0</v>
      </c>
      <c r="R366" s="399"/>
      <c r="S366" s="399"/>
      <c r="T366" s="399"/>
      <c r="U366" s="399"/>
      <c r="V366" s="399"/>
      <c r="W366" s="399"/>
      <c r="X366" s="399"/>
      <c r="Y366" s="399"/>
      <c r="Z366" s="399"/>
      <c r="AA366" s="399">
        <v>0</v>
      </c>
      <c r="AB366" s="399"/>
      <c r="AC366" s="399"/>
      <c r="AD366" s="399"/>
      <c r="AE366" s="399"/>
      <c r="AF366" s="399"/>
      <c r="AG366" s="399"/>
      <c r="AH366" s="399"/>
      <c r="AI366" s="399"/>
      <c r="AJ366" s="399"/>
      <c r="AK366" s="399"/>
      <c r="AL366" s="399"/>
      <c r="AM366" s="399"/>
      <c r="AN366" s="399"/>
      <c r="AO366" s="399"/>
      <c r="AP366" s="399"/>
      <c r="AQ366" s="399"/>
      <c r="AR366" s="399"/>
      <c r="AS366" s="399"/>
      <c r="AT366" s="399"/>
      <c r="AU366" s="399"/>
      <c r="AV366" s="399"/>
      <c r="AW366" s="399"/>
      <c r="AX366" s="399"/>
      <c r="AY366" s="399"/>
      <c r="AZ366" s="399">
        <v>0</v>
      </c>
      <c r="BA366" s="399"/>
      <c r="BB366" s="399"/>
      <c r="BC366" s="399"/>
      <c r="BD366" s="399"/>
      <c r="BE366" s="399"/>
      <c r="BF366" s="399"/>
      <c r="BG366" s="399"/>
      <c r="BH366" s="399"/>
      <c r="BI366" s="399">
        <v>0</v>
      </c>
      <c r="BJ366" s="399">
        <v>0</v>
      </c>
      <c r="BK366" s="399">
        <v>7.19</v>
      </c>
      <c r="BL366" s="399">
        <v>1</v>
      </c>
      <c r="BM366" s="399"/>
      <c r="BN366" s="399"/>
      <c r="BO366" s="399"/>
      <c r="BP366" s="399"/>
      <c r="BQ366" s="399"/>
      <c r="BR366" s="399"/>
      <c r="BS366" s="399"/>
      <c r="BT366" s="399"/>
      <c r="BU366" s="399"/>
      <c r="BV366" s="399"/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/>
      <c r="CJ366" s="399">
        <v>-0.03</v>
      </c>
      <c r="CK366" s="399"/>
      <c r="CL366" s="399"/>
      <c r="CM366" s="399"/>
      <c r="CN366" s="399"/>
      <c r="CO366" s="399">
        <v>0</v>
      </c>
      <c r="CP366" s="399">
        <v>0</v>
      </c>
      <c r="CQ366" s="399">
        <v>30</v>
      </c>
      <c r="CR366" s="399"/>
      <c r="CS366" s="399"/>
      <c r="CT366" s="399"/>
      <c r="CU366" s="399"/>
      <c r="CV366" s="399"/>
      <c r="CW366" s="399"/>
      <c r="CX366" s="399"/>
      <c r="CY366" s="399"/>
      <c r="CZ366" s="399"/>
      <c r="DA366" s="399"/>
      <c r="DB366" s="399"/>
      <c r="DC366" s="399"/>
      <c r="DD366" s="399"/>
      <c r="DE366" s="399"/>
      <c r="DF366" s="399"/>
      <c r="DG366" s="399"/>
      <c r="DH366" s="399"/>
      <c r="DI366" s="399"/>
      <c r="DJ366" s="399"/>
      <c r="DK366" s="399">
        <v>0</v>
      </c>
      <c r="DL366" s="399"/>
      <c r="DM366" s="399"/>
      <c r="DN366" s="399"/>
      <c r="DO366" s="399"/>
      <c r="DP366" s="399"/>
      <c r="DQ366" s="399"/>
      <c r="DR366" s="399"/>
      <c r="DS366" s="399"/>
      <c r="DT366" s="399"/>
      <c r="DU366" s="399"/>
      <c r="DV366" s="399"/>
      <c r="DW366" s="399"/>
      <c r="DX366" s="399"/>
      <c r="DY366" s="399"/>
      <c r="DZ366" s="399"/>
      <c r="EA366" s="399"/>
      <c r="EB366" s="399"/>
      <c r="EC366" s="399"/>
      <c r="ED366" s="399"/>
      <c r="EE366" s="399"/>
      <c r="EF366" s="399"/>
      <c r="EG366" s="399"/>
      <c r="EH366" s="399"/>
      <c r="EI366" s="399"/>
      <c r="EJ366" s="399"/>
      <c r="EK366" s="399"/>
      <c r="EL366" s="399"/>
      <c r="EM366" s="399"/>
      <c r="EN366" s="399"/>
      <c r="EO366" s="399"/>
      <c r="EP366" s="399"/>
      <c r="EQ366" s="399"/>
      <c r="ER366" s="399"/>
      <c r="ES366" s="399"/>
      <c r="ET366" s="399"/>
      <c r="EU366" s="399"/>
      <c r="EV366" s="399">
        <v>215</v>
      </c>
      <c r="EW366" s="399"/>
      <c r="EX366" s="399"/>
      <c r="EY366" s="399"/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369</v>
      </c>
      <c r="B367" s="399" t="s">
        <v>956</v>
      </c>
      <c r="C367" s="399" t="s">
        <v>2343</v>
      </c>
      <c r="D367" s="399" t="s">
        <v>2353</v>
      </c>
      <c r="E367" s="399" t="s">
        <v>894</v>
      </c>
      <c r="F367" s="399" t="s">
        <v>2360</v>
      </c>
      <c r="G367" s="399" t="s">
        <v>2361</v>
      </c>
      <c r="H367" s="399" t="s">
        <v>1239</v>
      </c>
      <c r="I367" s="399" t="s">
        <v>1239</v>
      </c>
      <c r="J367" s="399" t="s">
        <v>2344</v>
      </c>
      <c r="K367" s="791">
        <v>44652</v>
      </c>
      <c r="L367" s="399">
        <v>0</v>
      </c>
      <c r="M367" s="399">
        <v>0</v>
      </c>
      <c r="N367" s="399">
        <v>0.1</v>
      </c>
      <c r="O367" s="399">
        <v>0.1</v>
      </c>
      <c r="P367" s="399">
        <v>0.1</v>
      </c>
      <c r="Q367" s="399">
        <v>0.1</v>
      </c>
      <c r="R367" s="399"/>
      <c r="S367" s="399">
        <v>239.69</v>
      </c>
      <c r="T367" s="399">
        <v>171.61</v>
      </c>
      <c r="U367" s="399"/>
      <c r="V367" s="399">
        <v>41.13</v>
      </c>
      <c r="W367" s="399">
        <v>41.13</v>
      </c>
      <c r="X367" s="399">
        <v>40.978999999999999</v>
      </c>
      <c r="Y367" s="399">
        <v>0</v>
      </c>
      <c r="Z367" s="399">
        <v>6.0457299313832999</v>
      </c>
      <c r="AA367" s="399">
        <v>0</v>
      </c>
      <c r="AB367" s="399">
        <v>0</v>
      </c>
      <c r="AC367" s="399">
        <v>0</v>
      </c>
      <c r="AD367" s="399">
        <v>5.3335993028242905</v>
      </c>
      <c r="AE367" s="399">
        <v>8.8614726247913893</v>
      </c>
      <c r="AF367" s="399">
        <v>16.537422770173002</v>
      </c>
      <c r="AG367" s="399">
        <v>0.62353569466357606</v>
      </c>
      <c r="AH367" s="399">
        <v>0</v>
      </c>
      <c r="AI367" s="399">
        <v>0</v>
      </c>
      <c r="AJ367" s="399">
        <v>0</v>
      </c>
      <c r="AK367" s="399">
        <v>0</v>
      </c>
      <c r="AL367" s="399">
        <v>0.9348110777410531</v>
      </c>
      <c r="AM367" s="399"/>
      <c r="AN367" s="399">
        <v>3.9605164641784707E-2</v>
      </c>
      <c r="AO367" s="399">
        <v>0</v>
      </c>
      <c r="AP367" s="399">
        <v>0</v>
      </c>
      <c r="AQ367" s="399">
        <v>0</v>
      </c>
      <c r="AR367" s="399">
        <v>0</v>
      </c>
      <c r="AS367" s="399">
        <v>0</v>
      </c>
      <c r="AT367" s="399">
        <v>0</v>
      </c>
      <c r="AU367" s="399">
        <v>0</v>
      </c>
      <c r="AV367" s="399">
        <v>0</v>
      </c>
      <c r="AW367" s="399">
        <v>0</v>
      </c>
      <c r="AX367" s="399">
        <v>0</v>
      </c>
      <c r="AY367" s="399">
        <v>0</v>
      </c>
      <c r="AZ367" s="399">
        <v>0</v>
      </c>
      <c r="BA367" s="399"/>
      <c r="BB367" s="399">
        <v>0</v>
      </c>
      <c r="BC367" s="399">
        <v>0</v>
      </c>
      <c r="BD367" s="399">
        <v>0</v>
      </c>
      <c r="BE367" s="399">
        <v>0</v>
      </c>
      <c r="BF367" s="399">
        <v>0</v>
      </c>
      <c r="BG367" s="399">
        <v>1.6009912922651901</v>
      </c>
      <c r="BH367" s="399">
        <v>0</v>
      </c>
      <c r="BI367" s="399">
        <v>0</v>
      </c>
      <c r="BJ367" s="399">
        <v>0</v>
      </c>
      <c r="BK367" s="399">
        <v>0</v>
      </c>
      <c r="BL367" s="399">
        <v>0</v>
      </c>
      <c r="BM367" s="399"/>
      <c r="BN367" s="399"/>
      <c r="BO367" s="399"/>
      <c r="BP367" s="399"/>
      <c r="BQ367" s="399"/>
      <c r="BR367" s="399">
        <v>4.9169999999999989</v>
      </c>
      <c r="BS367" s="399"/>
      <c r="BT367" s="399"/>
      <c r="BU367" s="399"/>
      <c r="BV367" s="399">
        <v>18.138414062438191</v>
      </c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>
        <v>36.061999999999998</v>
      </c>
      <c r="CJ367" s="399">
        <v>-0.16300000000001091</v>
      </c>
      <c r="CK367" s="399"/>
      <c r="CL367" s="399"/>
      <c r="CM367" s="399"/>
      <c r="CN367" s="399"/>
      <c r="CO367" s="399">
        <v>-2.402000000000001</v>
      </c>
      <c r="CP367" s="399">
        <v>2.250999999999999</v>
      </c>
      <c r="CQ367" s="399">
        <v>30</v>
      </c>
      <c r="CR367" s="399">
        <v>1.7653643119868505</v>
      </c>
      <c r="CS367" s="399">
        <v>0</v>
      </c>
      <c r="CT367" s="399">
        <v>0</v>
      </c>
      <c r="CU367" s="399">
        <v>0</v>
      </c>
      <c r="CV367" s="399">
        <v>0</v>
      </c>
      <c r="CW367" s="399">
        <v>0</v>
      </c>
      <c r="CX367" s="399">
        <v>0</v>
      </c>
      <c r="CY367" s="399">
        <v>0</v>
      </c>
      <c r="CZ367" s="399">
        <v>0.24018597777145967</v>
      </c>
      <c r="DA367" s="399">
        <v>0</v>
      </c>
      <c r="DB367" s="399">
        <v>0</v>
      </c>
      <c r="DC367" s="399">
        <v>2.2515346650445984</v>
      </c>
      <c r="DD367" s="399">
        <v>0</v>
      </c>
      <c r="DE367" s="399">
        <v>0</v>
      </c>
      <c r="DF367" s="399">
        <v>0</v>
      </c>
      <c r="DG367" s="399">
        <v>0.21797153299310001</v>
      </c>
      <c r="DH367" s="399">
        <v>0</v>
      </c>
      <c r="DI367" s="399">
        <v>-0.83039765313518021</v>
      </c>
      <c r="DJ367" s="399"/>
      <c r="DK367" s="399">
        <v>0</v>
      </c>
      <c r="DL367" s="399">
        <v>0</v>
      </c>
      <c r="DM367" s="399">
        <v>0</v>
      </c>
      <c r="DN367" s="399">
        <v>0</v>
      </c>
      <c r="DO367" s="399">
        <v>-0.10773100446018002</v>
      </c>
      <c r="DP367" s="399">
        <v>-6.1992062269533091E-3</v>
      </c>
      <c r="DQ367" s="399">
        <v>0</v>
      </c>
      <c r="DR367" s="399">
        <v>0</v>
      </c>
      <c r="DS367" s="399"/>
      <c r="DT367" s="399"/>
      <c r="DU367" s="399"/>
      <c r="DV367" s="399">
        <v>8.8614726247913893</v>
      </c>
      <c r="DW367" s="399">
        <v>0</v>
      </c>
      <c r="DX367" s="399">
        <v>0</v>
      </c>
      <c r="DY367" s="399">
        <v>-2.402000000000001</v>
      </c>
      <c r="DZ367" s="399">
        <v>2.2510000000000012</v>
      </c>
      <c r="EA367" s="399">
        <v>0</v>
      </c>
      <c r="EB367" s="399">
        <v>0</v>
      </c>
      <c r="EC367" s="399">
        <v>-1.915802568680939</v>
      </c>
      <c r="ED367" s="399">
        <v>0</v>
      </c>
      <c r="EE367" s="399">
        <v>0</v>
      </c>
      <c r="EF367" s="399">
        <v>0</v>
      </c>
      <c r="EG367" s="399">
        <v>0</v>
      </c>
      <c r="EH367" s="399">
        <v>0</v>
      </c>
      <c r="EI367" s="399">
        <v>0</v>
      </c>
      <c r="EJ367" s="399">
        <v>0</v>
      </c>
      <c r="EK367" s="399">
        <v>0</v>
      </c>
      <c r="EL367" s="399">
        <v>0</v>
      </c>
      <c r="EM367" s="399">
        <v>0</v>
      </c>
      <c r="EN367" s="399">
        <v>0</v>
      </c>
      <c r="EO367" s="399">
        <v>0</v>
      </c>
      <c r="EP367" s="399">
        <v>1.1528996596429</v>
      </c>
      <c r="EQ367" s="399">
        <v>0</v>
      </c>
      <c r="ER367" s="399">
        <v>0</v>
      </c>
      <c r="ES367" s="399">
        <v>0</v>
      </c>
      <c r="ET367" s="399">
        <v>0</v>
      </c>
      <c r="EU367" s="399">
        <v>0</v>
      </c>
      <c r="EV367" s="399">
        <v>215</v>
      </c>
      <c r="EW367" s="399">
        <v>0</v>
      </c>
      <c r="EX367" s="399">
        <v>0</v>
      </c>
      <c r="EY367" s="399">
        <v>0</v>
      </c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371</v>
      </c>
      <c r="B368" s="399" t="s">
        <v>956</v>
      </c>
      <c r="C368" s="399" t="s">
        <v>2343</v>
      </c>
      <c r="D368" s="399" t="s">
        <v>2353</v>
      </c>
      <c r="E368" s="399" t="s">
        <v>894</v>
      </c>
      <c r="F368" s="399" t="s">
        <v>2363</v>
      </c>
      <c r="G368" s="399" t="s">
        <v>2361</v>
      </c>
      <c r="H368" s="399" t="s">
        <v>1239</v>
      </c>
      <c r="I368" s="399" t="s">
        <v>1239</v>
      </c>
      <c r="J368" s="399" t="s">
        <v>2344</v>
      </c>
      <c r="K368" s="791">
        <v>44652</v>
      </c>
      <c r="L368" s="399">
        <v>0</v>
      </c>
      <c r="M368" s="399">
        <v>0</v>
      </c>
      <c r="N368" s="399">
        <v>0</v>
      </c>
      <c r="O368" s="399">
        <v>0</v>
      </c>
      <c r="P368" s="399">
        <v>0</v>
      </c>
      <c r="Q368" s="399">
        <v>0</v>
      </c>
      <c r="R368" s="399"/>
      <c r="S368" s="399"/>
      <c r="T368" s="399"/>
      <c r="U368" s="399"/>
      <c r="V368" s="399"/>
      <c r="W368" s="399"/>
      <c r="X368" s="399"/>
      <c r="Y368" s="399"/>
      <c r="Z368" s="399"/>
      <c r="AA368" s="399">
        <v>0</v>
      </c>
      <c r="AB368" s="399"/>
      <c r="AC368" s="399"/>
      <c r="AD368" s="399"/>
      <c r="AE368" s="399"/>
      <c r="AF368" s="399"/>
      <c r="AG368" s="399"/>
      <c r="AH368" s="399"/>
      <c r="AI368" s="399"/>
      <c r="AJ368" s="399"/>
      <c r="AK368" s="399"/>
      <c r="AL368" s="399"/>
      <c r="AM368" s="399"/>
      <c r="AN368" s="399"/>
      <c r="AO368" s="399"/>
      <c r="AP368" s="399"/>
      <c r="AQ368" s="399"/>
      <c r="AR368" s="399"/>
      <c r="AS368" s="399"/>
      <c r="AT368" s="399"/>
      <c r="AU368" s="399"/>
      <c r="AV368" s="399"/>
      <c r="AW368" s="399"/>
      <c r="AX368" s="399"/>
      <c r="AY368" s="399"/>
      <c r="AZ368" s="399">
        <v>0</v>
      </c>
      <c r="BA368" s="399"/>
      <c r="BB368" s="399"/>
      <c r="BC368" s="399"/>
      <c r="BD368" s="399"/>
      <c r="BE368" s="399"/>
      <c r="BF368" s="399"/>
      <c r="BG368" s="399"/>
      <c r="BH368" s="399"/>
      <c r="BI368" s="399">
        <v>0</v>
      </c>
      <c r="BJ368" s="399">
        <v>0</v>
      </c>
      <c r="BK368" s="399">
        <v>20801.330000000002</v>
      </c>
      <c r="BL368" s="399">
        <v>19</v>
      </c>
      <c r="BM368" s="399"/>
      <c r="BN368" s="399"/>
      <c r="BO368" s="399"/>
      <c r="BP368" s="399"/>
      <c r="BQ368" s="399"/>
      <c r="BR368" s="399"/>
      <c r="BS368" s="399"/>
      <c r="BT368" s="399"/>
      <c r="BU368" s="399"/>
      <c r="BV368" s="399"/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/>
      <c r="CJ368" s="399">
        <v>-0.03</v>
      </c>
      <c r="CK368" s="399"/>
      <c r="CL368" s="399"/>
      <c r="CM368" s="399"/>
      <c r="CN368" s="399"/>
      <c r="CO368" s="399">
        <v>0</v>
      </c>
      <c r="CP368" s="399">
        <v>0</v>
      </c>
      <c r="CQ368" s="399">
        <v>30</v>
      </c>
      <c r="CR368" s="399"/>
      <c r="CS368" s="399"/>
      <c r="CT368" s="399"/>
      <c r="CU368" s="399"/>
      <c r="CV368" s="399"/>
      <c r="CW368" s="399"/>
      <c r="CX368" s="399"/>
      <c r="CY368" s="399"/>
      <c r="CZ368" s="399"/>
      <c r="DA368" s="399"/>
      <c r="DB368" s="399"/>
      <c r="DC368" s="399"/>
      <c r="DD368" s="399"/>
      <c r="DE368" s="399"/>
      <c r="DF368" s="399"/>
      <c r="DG368" s="399"/>
      <c r="DH368" s="399"/>
      <c r="DI368" s="399"/>
      <c r="DJ368" s="399"/>
      <c r="DK368" s="399">
        <v>0</v>
      </c>
      <c r="DL368" s="399"/>
      <c r="DM368" s="399"/>
      <c r="DN368" s="399"/>
      <c r="DO368" s="399"/>
      <c r="DP368" s="399"/>
      <c r="DQ368" s="399"/>
      <c r="DR368" s="399"/>
      <c r="DS368" s="399"/>
      <c r="DT368" s="399"/>
      <c r="DU368" s="399"/>
      <c r="DV368" s="399"/>
      <c r="DW368" s="399"/>
      <c r="DX368" s="399"/>
      <c r="DY368" s="399"/>
      <c r="DZ368" s="399"/>
      <c r="EA368" s="399"/>
      <c r="EB368" s="399"/>
      <c r="EC368" s="399"/>
      <c r="ED368" s="399"/>
      <c r="EE368" s="399"/>
      <c r="EF368" s="399"/>
      <c r="EG368" s="399"/>
      <c r="EH368" s="399"/>
      <c r="EI368" s="399"/>
      <c r="EJ368" s="399"/>
      <c r="EK368" s="399"/>
      <c r="EL368" s="399"/>
      <c r="EM368" s="399"/>
      <c r="EN368" s="399"/>
      <c r="EO368" s="399"/>
      <c r="EP368" s="399"/>
      <c r="EQ368" s="399"/>
      <c r="ER368" s="399"/>
      <c r="ES368" s="399"/>
      <c r="ET368" s="399"/>
      <c r="EU368" s="399"/>
      <c r="EV368" s="399">
        <v>215</v>
      </c>
      <c r="EW368" s="399"/>
      <c r="EX368" s="399"/>
      <c r="EY368" s="399"/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372</v>
      </c>
      <c r="B369" s="399" t="s">
        <v>2345</v>
      </c>
      <c r="C369" s="399" t="s">
        <v>2343</v>
      </c>
      <c r="D369" s="399" t="s">
        <v>2353</v>
      </c>
      <c r="E369" s="399" t="s">
        <v>894</v>
      </c>
      <c r="F369" s="399" t="s">
        <v>2363</v>
      </c>
      <c r="G369" s="399" t="s">
        <v>2361</v>
      </c>
      <c r="H369" s="399" t="s">
        <v>1239</v>
      </c>
      <c r="I369" s="399" t="s">
        <v>1239</v>
      </c>
      <c r="J369" s="399" t="s">
        <v>2344</v>
      </c>
      <c r="K369" s="791">
        <v>44652</v>
      </c>
      <c r="L369" s="399">
        <v>0</v>
      </c>
      <c r="M369" s="399">
        <v>0</v>
      </c>
      <c r="N369" s="399">
        <v>0</v>
      </c>
      <c r="O369" s="399">
        <v>0</v>
      </c>
      <c r="P369" s="399">
        <v>0</v>
      </c>
      <c r="Q369" s="399">
        <v>0</v>
      </c>
      <c r="R369" s="399"/>
      <c r="S369" s="399"/>
      <c r="T369" s="399"/>
      <c r="U369" s="399"/>
      <c r="V369" s="399"/>
      <c r="W369" s="399"/>
      <c r="X369" s="399"/>
      <c r="Y369" s="399"/>
      <c r="Z369" s="399"/>
      <c r="AA369" s="399">
        <v>0</v>
      </c>
      <c r="AB369" s="399"/>
      <c r="AC369" s="399"/>
      <c r="AD369" s="399"/>
      <c r="AE369" s="399"/>
      <c r="AF369" s="399"/>
      <c r="AG369" s="399"/>
      <c r="AH369" s="399"/>
      <c r="AI369" s="399"/>
      <c r="AJ369" s="399"/>
      <c r="AK369" s="399"/>
      <c r="AL369" s="399"/>
      <c r="AM369" s="399"/>
      <c r="AN369" s="399"/>
      <c r="AO369" s="399"/>
      <c r="AP369" s="399"/>
      <c r="AQ369" s="399"/>
      <c r="AR369" s="399"/>
      <c r="AS369" s="399"/>
      <c r="AT369" s="399"/>
      <c r="AU369" s="399"/>
      <c r="AV369" s="399"/>
      <c r="AW369" s="399"/>
      <c r="AX369" s="399"/>
      <c r="AY369" s="399"/>
      <c r="AZ369" s="399">
        <v>0</v>
      </c>
      <c r="BA369" s="399"/>
      <c r="BB369" s="399"/>
      <c r="BC369" s="399"/>
      <c r="BD369" s="399"/>
      <c r="BE369" s="399"/>
      <c r="BF369" s="399"/>
      <c r="BG369" s="399"/>
      <c r="BH369" s="399"/>
      <c r="BI369" s="399">
        <v>0</v>
      </c>
      <c r="BJ369" s="399">
        <v>0</v>
      </c>
      <c r="BK369" s="399">
        <v>-276.73</v>
      </c>
      <c r="BL369" s="399">
        <v>0</v>
      </c>
      <c r="BM369" s="399"/>
      <c r="BN369" s="399"/>
      <c r="BO369" s="399"/>
      <c r="BP369" s="399"/>
      <c r="BQ369" s="399"/>
      <c r="BR369" s="399"/>
      <c r="BS369" s="399"/>
      <c r="BT369" s="399"/>
      <c r="BU369" s="399"/>
      <c r="BV369" s="399"/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/>
      <c r="CJ369" s="399">
        <v>-0.03</v>
      </c>
      <c r="CK369" s="399"/>
      <c r="CL369" s="399"/>
      <c r="CM369" s="399"/>
      <c r="CN369" s="399"/>
      <c r="CO369" s="399">
        <v>0</v>
      </c>
      <c r="CP369" s="399">
        <v>0</v>
      </c>
      <c r="CQ369" s="399">
        <v>30</v>
      </c>
      <c r="CR369" s="399"/>
      <c r="CS369" s="399"/>
      <c r="CT369" s="399"/>
      <c r="CU369" s="399"/>
      <c r="CV369" s="399"/>
      <c r="CW369" s="399"/>
      <c r="CX369" s="399"/>
      <c r="CY369" s="399"/>
      <c r="CZ369" s="399"/>
      <c r="DA369" s="399"/>
      <c r="DB369" s="399"/>
      <c r="DC369" s="399"/>
      <c r="DD369" s="399"/>
      <c r="DE369" s="399"/>
      <c r="DF369" s="399"/>
      <c r="DG369" s="399"/>
      <c r="DH369" s="399"/>
      <c r="DI369" s="399"/>
      <c r="DJ369" s="399"/>
      <c r="DK369" s="399">
        <v>0</v>
      </c>
      <c r="DL369" s="399"/>
      <c r="DM369" s="399"/>
      <c r="DN369" s="399"/>
      <c r="DO369" s="399"/>
      <c r="DP369" s="399"/>
      <c r="DQ369" s="399"/>
      <c r="DR369" s="399"/>
      <c r="DS369" s="399"/>
      <c r="DT369" s="399"/>
      <c r="DU369" s="399"/>
      <c r="DV369" s="399"/>
      <c r="DW369" s="399"/>
      <c r="DX369" s="399"/>
      <c r="DY369" s="399"/>
      <c r="DZ369" s="399"/>
      <c r="EA369" s="399"/>
      <c r="EB369" s="399"/>
      <c r="EC369" s="399"/>
      <c r="ED369" s="399"/>
      <c r="EE369" s="399"/>
      <c r="EF369" s="399"/>
      <c r="EG369" s="399"/>
      <c r="EH369" s="399"/>
      <c r="EI369" s="399"/>
      <c r="EJ369" s="399"/>
      <c r="EK369" s="399"/>
      <c r="EL369" s="399"/>
      <c r="EM369" s="399"/>
      <c r="EN369" s="399"/>
      <c r="EO369" s="399"/>
      <c r="EP369" s="399"/>
      <c r="EQ369" s="399"/>
      <c r="ER369" s="399"/>
      <c r="ES369" s="399"/>
      <c r="ET369" s="399"/>
      <c r="EU369" s="399"/>
      <c r="EV369" s="399">
        <v>215</v>
      </c>
      <c r="EW369" s="399"/>
      <c r="EX369" s="399"/>
      <c r="EY369" s="399"/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373</v>
      </c>
      <c r="B370" s="399" t="s">
        <v>2346</v>
      </c>
      <c r="C370" s="399" t="s">
        <v>2343</v>
      </c>
      <c r="D370" s="399" t="s">
        <v>2353</v>
      </c>
      <c r="E370" s="399" t="s">
        <v>894</v>
      </c>
      <c r="F370" s="399" t="s">
        <v>2363</v>
      </c>
      <c r="G370" s="399" t="s">
        <v>2361</v>
      </c>
      <c r="H370" s="399" t="s">
        <v>1239</v>
      </c>
      <c r="I370" s="399" t="s">
        <v>1239</v>
      </c>
      <c r="J370" s="399" t="s">
        <v>2344</v>
      </c>
      <c r="K370" s="791">
        <v>44652</v>
      </c>
      <c r="L370" s="399">
        <v>0</v>
      </c>
      <c r="M370" s="399">
        <v>0</v>
      </c>
      <c r="N370" s="399">
        <v>0</v>
      </c>
      <c r="O370" s="399">
        <v>0</v>
      </c>
      <c r="P370" s="399">
        <v>0</v>
      </c>
      <c r="Q370" s="399">
        <v>0</v>
      </c>
      <c r="R370" s="399"/>
      <c r="S370" s="399"/>
      <c r="T370" s="399"/>
      <c r="U370" s="399"/>
      <c r="V370" s="399"/>
      <c r="W370" s="399"/>
      <c r="X370" s="399"/>
      <c r="Y370" s="399"/>
      <c r="Z370" s="399"/>
      <c r="AA370" s="399">
        <v>0</v>
      </c>
      <c r="AB370" s="399"/>
      <c r="AC370" s="399"/>
      <c r="AD370" s="399"/>
      <c r="AE370" s="399"/>
      <c r="AF370" s="399"/>
      <c r="AG370" s="399"/>
      <c r="AH370" s="399"/>
      <c r="AI370" s="399"/>
      <c r="AJ370" s="399"/>
      <c r="AK370" s="399"/>
      <c r="AL370" s="399"/>
      <c r="AM370" s="399"/>
      <c r="AN370" s="399"/>
      <c r="AO370" s="399"/>
      <c r="AP370" s="399"/>
      <c r="AQ370" s="399"/>
      <c r="AR370" s="399"/>
      <c r="AS370" s="399"/>
      <c r="AT370" s="399"/>
      <c r="AU370" s="399"/>
      <c r="AV370" s="399"/>
      <c r="AW370" s="399"/>
      <c r="AX370" s="399"/>
      <c r="AY370" s="399"/>
      <c r="AZ370" s="399">
        <v>0</v>
      </c>
      <c r="BA370" s="399"/>
      <c r="BB370" s="399"/>
      <c r="BC370" s="399"/>
      <c r="BD370" s="399"/>
      <c r="BE370" s="399"/>
      <c r="BF370" s="399"/>
      <c r="BG370" s="399"/>
      <c r="BH370" s="399"/>
      <c r="BI370" s="399">
        <v>0</v>
      </c>
      <c r="BJ370" s="399">
        <v>0</v>
      </c>
      <c r="BK370" s="399">
        <v>659.79</v>
      </c>
      <c r="BL370" s="399">
        <v>1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/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/>
      <c r="CJ370" s="399">
        <v>-0.03</v>
      </c>
      <c r="CK370" s="399"/>
      <c r="CL370" s="399"/>
      <c r="CM370" s="399"/>
      <c r="CN370" s="399"/>
      <c r="CO370" s="399">
        <v>0</v>
      </c>
      <c r="CP370" s="399">
        <v>0</v>
      </c>
      <c r="CQ370" s="399">
        <v>30</v>
      </c>
      <c r="CR370" s="399"/>
      <c r="CS370" s="399"/>
      <c r="CT370" s="399"/>
      <c r="CU370" s="399"/>
      <c r="CV370" s="399"/>
      <c r="CW370" s="399"/>
      <c r="CX370" s="399"/>
      <c r="CY370" s="399"/>
      <c r="CZ370" s="399"/>
      <c r="DA370" s="399"/>
      <c r="DB370" s="399"/>
      <c r="DC370" s="399"/>
      <c r="DD370" s="399"/>
      <c r="DE370" s="399"/>
      <c r="DF370" s="399"/>
      <c r="DG370" s="399"/>
      <c r="DH370" s="399"/>
      <c r="DI370" s="399"/>
      <c r="DJ370" s="399"/>
      <c r="DK370" s="399">
        <v>0</v>
      </c>
      <c r="DL370" s="399"/>
      <c r="DM370" s="399"/>
      <c r="DN370" s="399"/>
      <c r="DO370" s="399"/>
      <c r="DP370" s="399"/>
      <c r="DQ370" s="399"/>
      <c r="DR370" s="399"/>
      <c r="DS370" s="399"/>
      <c r="DT370" s="399"/>
      <c r="DU370" s="399"/>
      <c r="DV370" s="399"/>
      <c r="DW370" s="399"/>
      <c r="DX370" s="399"/>
      <c r="DY370" s="399"/>
      <c r="DZ370" s="399"/>
      <c r="EA370" s="399"/>
      <c r="EB370" s="399"/>
      <c r="EC370" s="399"/>
      <c r="ED370" s="399"/>
      <c r="EE370" s="399"/>
      <c r="EF370" s="399"/>
      <c r="EG370" s="399"/>
      <c r="EH370" s="399"/>
      <c r="EI370" s="399"/>
      <c r="EJ370" s="399"/>
      <c r="EK370" s="399"/>
      <c r="EL370" s="399"/>
      <c r="EM370" s="399"/>
      <c r="EN370" s="399"/>
      <c r="EO370" s="399"/>
      <c r="EP370" s="399"/>
      <c r="EQ370" s="399"/>
      <c r="ER370" s="399"/>
      <c r="ES370" s="399"/>
      <c r="ET370" s="399"/>
      <c r="EU370" s="399"/>
      <c r="EV370" s="399">
        <v>215</v>
      </c>
      <c r="EW370" s="399"/>
      <c r="EX370" s="399"/>
      <c r="EY370" s="399"/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374</v>
      </c>
      <c r="B371" s="399" t="s">
        <v>956</v>
      </c>
      <c r="C371" s="399" t="s">
        <v>2343</v>
      </c>
      <c r="D371" s="399" t="s">
        <v>2353</v>
      </c>
      <c r="E371" s="399" t="s">
        <v>894</v>
      </c>
      <c r="F371" s="399" t="s">
        <v>2363</v>
      </c>
      <c r="G371" s="399" t="s">
        <v>2361</v>
      </c>
      <c r="H371" s="399" t="s">
        <v>1239</v>
      </c>
      <c r="I371" s="399" t="s">
        <v>1239</v>
      </c>
      <c r="J371" s="399" t="s">
        <v>2344</v>
      </c>
      <c r="K371" s="791">
        <v>44652</v>
      </c>
      <c r="L371" s="399">
        <v>0</v>
      </c>
      <c r="M371" s="399">
        <v>0</v>
      </c>
      <c r="N371" s="399">
        <v>47.02</v>
      </c>
      <c r="O371" s="399">
        <v>47.02</v>
      </c>
      <c r="P371" s="399">
        <v>47.02</v>
      </c>
      <c r="Q371" s="399">
        <v>47.02</v>
      </c>
      <c r="R371" s="399"/>
      <c r="S371" s="399">
        <v>239.69</v>
      </c>
      <c r="T371" s="399">
        <v>171.61</v>
      </c>
      <c r="U371" s="399"/>
      <c r="V371" s="399">
        <v>19339.326000000001</v>
      </c>
      <c r="W371" s="399">
        <v>19339.326000000001</v>
      </c>
      <c r="X371" s="399">
        <v>19268.325800000002</v>
      </c>
      <c r="Y371" s="399">
        <v>0</v>
      </c>
      <c r="Z371" s="399">
        <v>2842.7022137364279</v>
      </c>
      <c r="AA371" s="399">
        <v>0</v>
      </c>
      <c r="AB371" s="399">
        <v>0</v>
      </c>
      <c r="AC371" s="399">
        <v>0</v>
      </c>
      <c r="AD371" s="399">
        <v>2507.8583921879813</v>
      </c>
      <c r="AE371" s="399">
        <v>4166.6644281769113</v>
      </c>
      <c r="AF371" s="399">
        <v>7775.8961865353458</v>
      </c>
      <c r="AG371" s="399">
        <v>293.18648363081348</v>
      </c>
      <c r="AH371" s="399">
        <v>0</v>
      </c>
      <c r="AI371" s="399">
        <v>0</v>
      </c>
      <c r="AJ371" s="399">
        <v>0</v>
      </c>
      <c r="AK371" s="399">
        <v>0</v>
      </c>
      <c r="AL371" s="399">
        <v>439.54816875384319</v>
      </c>
      <c r="AM371" s="399"/>
      <c r="AN371" s="399">
        <v>18.622348414567167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752.78610562309234</v>
      </c>
      <c r="BH371" s="399">
        <v>0</v>
      </c>
      <c r="BI371" s="399">
        <v>0</v>
      </c>
      <c r="BJ371" s="399">
        <v>0</v>
      </c>
      <c r="BK371" s="399">
        <v>0</v>
      </c>
      <c r="BL371" s="399">
        <v>0</v>
      </c>
      <c r="BM371" s="399"/>
      <c r="BN371" s="399"/>
      <c r="BO371" s="399"/>
      <c r="BP371" s="399"/>
      <c r="BQ371" s="399"/>
      <c r="BR371" s="399">
        <v>2311.9733999999994</v>
      </c>
      <c r="BS371" s="399"/>
      <c r="BT371" s="399"/>
      <c r="BU371" s="399"/>
      <c r="BV371" s="399">
        <v>8528.6822921584389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16956.352400000003</v>
      </c>
      <c r="CJ371" s="399">
        <v>-62.566599999998289</v>
      </c>
      <c r="CK371" s="399"/>
      <c r="CL371" s="399"/>
      <c r="CM371" s="399"/>
      <c r="CN371" s="399"/>
      <c r="CO371" s="399">
        <v>-1129.4204000000007</v>
      </c>
      <c r="CP371" s="399">
        <v>1058.4201999999996</v>
      </c>
      <c r="CQ371" s="399">
        <v>30</v>
      </c>
      <c r="CR371" s="399">
        <v>830.07429949621473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112.93544674814075</v>
      </c>
      <c r="DA371" s="399">
        <v>0</v>
      </c>
      <c r="DB371" s="399">
        <v>0</v>
      </c>
      <c r="DC371" s="399">
        <v>1058.6715995039694</v>
      </c>
      <c r="DD371" s="399">
        <v>0</v>
      </c>
      <c r="DE371" s="399">
        <v>0</v>
      </c>
      <c r="DF371" s="399">
        <v>0</v>
      </c>
      <c r="DG371" s="399">
        <v>102.49021481335569</v>
      </c>
      <c r="DH371" s="399">
        <v>0</v>
      </c>
      <c r="DI371" s="399">
        <v>-390.45297650416205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-50.655118297176671</v>
      </c>
      <c r="DP371" s="399">
        <v>-2.9148667679134412</v>
      </c>
      <c r="DQ371" s="399">
        <v>0</v>
      </c>
      <c r="DR371" s="399">
        <v>0</v>
      </c>
      <c r="DS371" s="399"/>
      <c r="DT371" s="399"/>
      <c r="DU371" s="399"/>
      <c r="DV371" s="399">
        <v>4166.6644281769113</v>
      </c>
      <c r="DW371" s="399">
        <v>0</v>
      </c>
      <c r="DX371" s="399">
        <v>0</v>
      </c>
      <c r="DY371" s="399">
        <v>-1129.4203999999991</v>
      </c>
      <c r="DZ371" s="399">
        <v>1058.4202000000005</v>
      </c>
      <c r="EA371" s="399">
        <v>0</v>
      </c>
      <c r="EB371" s="399">
        <v>0</v>
      </c>
      <c r="EC371" s="399">
        <v>-900.81036779377746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542.09341996409159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215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375</v>
      </c>
      <c r="B372" s="399" t="s">
        <v>2345</v>
      </c>
      <c r="C372" s="399" t="s">
        <v>2343</v>
      </c>
      <c r="D372" s="399" t="s">
        <v>2353</v>
      </c>
      <c r="E372" s="399" t="s">
        <v>894</v>
      </c>
      <c r="F372" s="399" t="s">
        <v>2363</v>
      </c>
      <c r="G372" s="399" t="s">
        <v>2361</v>
      </c>
      <c r="H372" s="399" t="s">
        <v>1239</v>
      </c>
      <c r="I372" s="399" t="s">
        <v>1239</v>
      </c>
      <c r="J372" s="399" t="s">
        <v>2344</v>
      </c>
      <c r="K372" s="791">
        <v>44652</v>
      </c>
      <c r="L372" s="399">
        <v>0</v>
      </c>
      <c r="M372" s="399">
        <v>0</v>
      </c>
      <c r="N372" s="399">
        <v>-0.29599999999999999</v>
      </c>
      <c r="O372" s="399">
        <v>-0.29599999999999999</v>
      </c>
      <c r="P372" s="399">
        <v>-0.29599999999999999</v>
      </c>
      <c r="Q372" s="399">
        <v>-0.29599999999999999</v>
      </c>
      <c r="R372" s="399"/>
      <c r="S372" s="399">
        <v>239.69</v>
      </c>
      <c r="T372" s="399">
        <v>171.61</v>
      </c>
      <c r="U372" s="399"/>
      <c r="V372" s="399">
        <v>-121.7448</v>
      </c>
      <c r="W372" s="399">
        <v>-121.7448</v>
      </c>
      <c r="X372" s="399">
        <v>-121.29783999999999</v>
      </c>
      <c r="Y372" s="399">
        <v>0</v>
      </c>
      <c r="Z372" s="399">
        <v>-17.895360596894566</v>
      </c>
      <c r="AA372" s="399">
        <v>0</v>
      </c>
      <c r="AB372" s="399">
        <v>0</v>
      </c>
      <c r="AC372" s="399">
        <v>0</v>
      </c>
      <c r="AD372" s="399">
        <v>-15.787453936359899</v>
      </c>
      <c r="AE372" s="399">
        <v>-26.229958969382512</v>
      </c>
      <c r="AF372" s="399">
        <v>-48.950771399712082</v>
      </c>
      <c r="AG372" s="399">
        <v>-1.8456656562041849</v>
      </c>
      <c r="AH372" s="399">
        <v>0</v>
      </c>
      <c r="AI372" s="399">
        <v>0</v>
      </c>
      <c r="AJ372" s="399">
        <v>0</v>
      </c>
      <c r="AK372" s="399">
        <v>0</v>
      </c>
      <c r="AL372" s="399">
        <v>-2.767040790113517</v>
      </c>
      <c r="AM372" s="399"/>
      <c r="AN372" s="399">
        <v>-0.11723128733968272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-4.7389342251049618</v>
      </c>
      <c r="BH372" s="399">
        <v>0</v>
      </c>
      <c r="BI372" s="399">
        <v>0</v>
      </c>
      <c r="BJ372" s="399">
        <v>0</v>
      </c>
      <c r="BK372" s="399">
        <v>0</v>
      </c>
      <c r="BL372" s="399">
        <v>0</v>
      </c>
      <c r="BM372" s="399"/>
      <c r="BN372" s="399"/>
      <c r="BO372" s="399"/>
      <c r="BP372" s="399"/>
      <c r="BQ372" s="399"/>
      <c r="BR372" s="399">
        <v>-14.554319999999995</v>
      </c>
      <c r="BS372" s="399"/>
      <c r="BT372" s="399"/>
      <c r="BU372" s="399"/>
      <c r="BV372" s="399">
        <v>-53.689705624817044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-108.18600000000001</v>
      </c>
      <c r="CJ372" s="399">
        <v>-1.0788000000000153</v>
      </c>
      <c r="CK372" s="399"/>
      <c r="CL372" s="399"/>
      <c r="CM372" s="399"/>
      <c r="CN372" s="399"/>
      <c r="CO372" s="399">
        <v>7.1099200000000025</v>
      </c>
      <c r="CP372" s="399">
        <v>-6.6629599999999973</v>
      </c>
      <c r="CQ372" s="399">
        <v>30</v>
      </c>
      <c r="CR372" s="399">
        <v>-5.2254783634810735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-0.71095049420351941</v>
      </c>
      <c r="DA372" s="399">
        <v>0</v>
      </c>
      <c r="DB372" s="399">
        <v>0</v>
      </c>
      <c r="DC372" s="399">
        <v>-6.6645426085320096</v>
      </c>
      <c r="DD372" s="399">
        <v>0</v>
      </c>
      <c r="DE372" s="399">
        <v>0</v>
      </c>
      <c r="DF372" s="399">
        <v>0</v>
      </c>
      <c r="DG372" s="399">
        <v>-0.64519573765957627</v>
      </c>
      <c r="DH372" s="399">
        <v>0</v>
      </c>
      <c r="DI372" s="399">
        <v>2.4579770532801319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0.31888377320213301</v>
      </c>
      <c r="DP372" s="399">
        <v>1.8349650431781772E-2</v>
      </c>
      <c r="DQ372" s="399">
        <v>0</v>
      </c>
      <c r="DR372" s="399">
        <v>0</v>
      </c>
      <c r="DS372" s="399"/>
      <c r="DT372" s="399"/>
      <c r="DU372" s="399"/>
      <c r="DV372" s="399">
        <v>-26.229958969382512</v>
      </c>
      <c r="DW372" s="399">
        <v>0</v>
      </c>
      <c r="DX372" s="399">
        <v>0</v>
      </c>
      <c r="DY372" s="399">
        <v>7.1099200000000025</v>
      </c>
      <c r="DZ372" s="399">
        <v>-6.6629599999999982</v>
      </c>
      <c r="EA372" s="399">
        <v>0</v>
      </c>
      <c r="EB372" s="399">
        <v>0</v>
      </c>
      <c r="EC372" s="399">
        <v>5.6707756032955814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-3.4125829925429838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215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376</v>
      </c>
      <c r="B373" s="399" t="s">
        <v>2346</v>
      </c>
      <c r="C373" s="399" t="s">
        <v>2343</v>
      </c>
      <c r="D373" s="399" t="s">
        <v>2353</v>
      </c>
      <c r="E373" s="399" t="s">
        <v>894</v>
      </c>
      <c r="F373" s="399" t="s">
        <v>2363</v>
      </c>
      <c r="G373" s="399" t="s">
        <v>2361</v>
      </c>
      <c r="H373" s="399" t="s">
        <v>1239</v>
      </c>
      <c r="I373" s="399" t="s">
        <v>1239</v>
      </c>
      <c r="J373" s="399" t="s">
        <v>2344</v>
      </c>
      <c r="K373" s="791">
        <v>44652</v>
      </c>
      <c r="L373" s="399">
        <v>0</v>
      </c>
      <c r="M373" s="399">
        <v>0</v>
      </c>
      <c r="N373" s="399">
        <v>1.5740000000000001</v>
      </c>
      <c r="O373" s="399">
        <v>1.5740000000000001</v>
      </c>
      <c r="P373" s="399">
        <v>1.5740000000000001</v>
      </c>
      <c r="Q373" s="399">
        <v>1.5740000000000001</v>
      </c>
      <c r="R373" s="399"/>
      <c r="S373" s="399">
        <v>239.69</v>
      </c>
      <c r="T373" s="399">
        <v>171.61</v>
      </c>
      <c r="U373" s="399"/>
      <c r="V373" s="399">
        <v>647.38620000000003</v>
      </c>
      <c r="W373" s="399">
        <v>647.38620000000003</v>
      </c>
      <c r="X373" s="399">
        <v>645.00945999999999</v>
      </c>
      <c r="Y373" s="399">
        <v>0</v>
      </c>
      <c r="Z373" s="399">
        <v>95.159789119973141</v>
      </c>
      <c r="AA373" s="399">
        <v>0</v>
      </c>
      <c r="AB373" s="399">
        <v>0</v>
      </c>
      <c r="AC373" s="399">
        <v>0</v>
      </c>
      <c r="AD373" s="399">
        <v>83.95085302645434</v>
      </c>
      <c r="AE373" s="399">
        <v>139.47957911421648</v>
      </c>
      <c r="AF373" s="399">
        <v>260.29903440252303</v>
      </c>
      <c r="AG373" s="399">
        <v>9.8144518340046876</v>
      </c>
      <c r="AH373" s="399">
        <v>0</v>
      </c>
      <c r="AI373" s="399">
        <v>0</v>
      </c>
      <c r="AJ373" s="399">
        <v>0</v>
      </c>
      <c r="AK373" s="399">
        <v>0</v>
      </c>
      <c r="AL373" s="399">
        <v>14.713926363644177</v>
      </c>
      <c r="AM373" s="399"/>
      <c r="AN373" s="399">
        <v>0.62338529146169119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25.199602940254092</v>
      </c>
      <c r="BH373" s="399">
        <v>0</v>
      </c>
      <c r="BI373" s="399">
        <v>0</v>
      </c>
      <c r="BJ373" s="399">
        <v>0</v>
      </c>
      <c r="BK373" s="399">
        <v>0</v>
      </c>
      <c r="BL373" s="399">
        <v>0</v>
      </c>
      <c r="BM373" s="399"/>
      <c r="BN373" s="399"/>
      <c r="BO373" s="399"/>
      <c r="BP373" s="399"/>
      <c r="BQ373" s="399"/>
      <c r="BR373" s="399">
        <v>77.393579999999986</v>
      </c>
      <c r="BS373" s="399"/>
      <c r="BT373" s="399"/>
      <c r="BU373" s="399"/>
      <c r="BV373" s="399">
        <v>285.4986373427771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566.17340000000002</v>
      </c>
      <c r="CJ373" s="399">
        <v>-3.5658999999999423</v>
      </c>
      <c r="CK373" s="399"/>
      <c r="CL373" s="399"/>
      <c r="CM373" s="399"/>
      <c r="CN373" s="399"/>
      <c r="CO373" s="399">
        <v>-37.80748000000002</v>
      </c>
      <c r="CP373" s="399">
        <v>35.430739999999986</v>
      </c>
      <c r="CQ373" s="399">
        <v>30</v>
      </c>
      <c r="CR373" s="399">
        <v>27.786834270673012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3.7805272901227767</v>
      </c>
      <c r="DA373" s="399">
        <v>0</v>
      </c>
      <c r="DB373" s="399">
        <v>0</v>
      </c>
      <c r="DC373" s="399">
        <v>35.439155627801995</v>
      </c>
      <c r="DD373" s="399">
        <v>0</v>
      </c>
      <c r="DE373" s="399">
        <v>0</v>
      </c>
      <c r="DF373" s="399">
        <v>0</v>
      </c>
      <c r="DG373" s="399">
        <v>3.4308719293113938</v>
      </c>
      <c r="DH373" s="399">
        <v>0</v>
      </c>
      <c r="DI373" s="399">
        <v>-13.07045906034773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-1.6956860102032341</v>
      </c>
      <c r="DP373" s="399">
        <v>-9.7575506012244961E-2</v>
      </c>
      <c r="DQ373" s="399">
        <v>0</v>
      </c>
      <c r="DR373" s="399">
        <v>0</v>
      </c>
      <c r="DS373" s="399"/>
      <c r="DT373" s="399"/>
      <c r="DU373" s="399"/>
      <c r="DV373" s="399">
        <v>139.47957911421648</v>
      </c>
      <c r="DW373" s="399">
        <v>0</v>
      </c>
      <c r="DX373" s="399">
        <v>0</v>
      </c>
      <c r="DY373" s="399">
        <v>-37.807479999999998</v>
      </c>
      <c r="DZ373" s="399">
        <v>35.430740000000014</v>
      </c>
      <c r="EA373" s="399">
        <v>0</v>
      </c>
      <c r="EB373" s="399">
        <v>0</v>
      </c>
      <c r="EC373" s="399">
        <v>-30.154732431037999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18.146640642779246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215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377</v>
      </c>
      <c r="B374" s="399" t="s">
        <v>956</v>
      </c>
      <c r="C374" s="399" t="s">
        <v>2343</v>
      </c>
      <c r="D374" s="399" t="s">
        <v>2353</v>
      </c>
      <c r="E374" s="399" t="s">
        <v>894</v>
      </c>
      <c r="F374" s="399" t="s">
        <v>2363</v>
      </c>
      <c r="G374" s="399" t="s">
        <v>2362</v>
      </c>
      <c r="H374" s="399" t="s">
        <v>1239</v>
      </c>
      <c r="I374" s="399" t="s">
        <v>1239</v>
      </c>
      <c r="J374" s="399" t="s">
        <v>2344</v>
      </c>
      <c r="K374" s="791">
        <v>44652</v>
      </c>
      <c r="L374" s="399">
        <v>0</v>
      </c>
      <c r="M374" s="399">
        <v>0</v>
      </c>
      <c r="N374" s="399">
        <v>84.936000000000007</v>
      </c>
      <c r="O374" s="399">
        <v>33.974400000000003</v>
      </c>
      <c r="P374" s="399">
        <v>84.936000000000007</v>
      </c>
      <c r="Q374" s="399">
        <v>33.974400000000003</v>
      </c>
      <c r="R374" s="399"/>
      <c r="S374" s="399">
        <v>239.69</v>
      </c>
      <c r="T374" s="399">
        <v>171.61</v>
      </c>
      <c r="U374" s="399"/>
      <c r="V374" s="399">
        <v>34934.176800000001</v>
      </c>
      <c r="W374" s="399">
        <v>34934.176800000001</v>
      </c>
      <c r="X374" s="399">
        <v>34805.923439999999</v>
      </c>
      <c r="Y374" s="399">
        <v>0</v>
      </c>
      <c r="Z374" s="399">
        <v>5135.0011745197198</v>
      </c>
      <c r="AA374" s="399">
        <v>0</v>
      </c>
      <c r="AB374" s="399">
        <v>0</v>
      </c>
      <c r="AC374" s="399">
        <v>0</v>
      </c>
      <c r="AD374" s="399">
        <v>4530.1459038468392</v>
      </c>
      <c r="AE374" s="399">
        <v>7526.5803885928153</v>
      </c>
      <c r="AF374" s="399">
        <v>14046.225404074141</v>
      </c>
      <c r="AG374" s="399">
        <v>529.606277619455</v>
      </c>
      <c r="AH374" s="399">
        <v>0</v>
      </c>
      <c r="AI374" s="399">
        <v>0</v>
      </c>
      <c r="AJ374" s="399">
        <v>0</v>
      </c>
      <c r="AK374" s="399">
        <v>0</v>
      </c>
      <c r="AL374" s="399">
        <v>793.99113699014094</v>
      </c>
      <c r="AM374" s="399"/>
      <c r="AN374" s="399">
        <v>33.639042640146258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1359.8179639983618</v>
      </c>
      <c r="BH374" s="399">
        <v>0</v>
      </c>
      <c r="BI374" s="399">
        <v>0</v>
      </c>
      <c r="BJ374" s="399">
        <v>0</v>
      </c>
      <c r="BK374" s="399">
        <v>0</v>
      </c>
      <c r="BL374" s="399">
        <v>0</v>
      </c>
      <c r="BM374" s="399"/>
      <c r="BN374" s="399"/>
      <c r="BO374" s="399"/>
      <c r="BP374" s="399"/>
      <c r="BQ374" s="399"/>
      <c r="BR374" s="399"/>
      <c r="BS374" s="399">
        <v>22554.075312000004</v>
      </c>
      <c r="BT374" s="399"/>
      <c r="BU374" s="399"/>
      <c r="BV374" s="399">
        <v>15406.043368072504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12250.261399999999</v>
      </c>
      <c r="CJ374" s="399">
        <v>-46.80268000000251</v>
      </c>
      <c r="CK374" s="399"/>
      <c r="CL374" s="399"/>
      <c r="CM374" s="399"/>
      <c r="CN374" s="399"/>
      <c r="CO374" s="399">
        <v>-2040.1627200000009</v>
      </c>
      <c r="CP374" s="399">
        <v>1911.9093599999994</v>
      </c>
      <c r="CQ374" s="399">
        <v>30</v>
      </c>
      <c r="CR374" s="399">
        <v>1499.4298320291491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204.0043620799679</v>
      </c>
      <c r="DA374" s="399">
        <v>0</v>
      </c>
      <c r="DB374" s="399">
        <v>0</v>
      </c>
      <c r="DC374" s="399">
        <v>1912.363483102281</v>
      </c>
      <c r="DD374" s="399">
        <v>0</v>
      </c>
      <c r="DE374" s="399">
        <v>0</v>
      </c>
      <c r="DF374" s="399">
        <v>0</v>
      </c>
      <c r="DG374" s="399">
        <v>185.1363012630195</v>
      </c>
      <c r="DH374" s="399">
        <v>0</v>
      </c>
      <c r="DI374" s="399">
        <v>-705.30655066689633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-91.502405948298588</v>
      </c>
      <c r="DP374" s="399">
        <v>-5.2653578009250595</v>
      </c>
      <c r="DQ374" s="399">
        <v>0</v>
      </c>
      <c r="DR374" s="399">
        <v>0</v>
      </c>
      <c r="DS374" s="399"/>
      <c r="DT374" s="399"/>
      <c r="DU374" s="399"/>
      <c r="DV374" s="399">
        <v>7526.5803885928153</v>
      </c>
      <c r="DW374" s="399">
        <v>0</v>
      </c>
      <c r="DX374" s="399">
        <v>0</v>
      </c>
      <c r="DY374" s="399">
        <v>-2040.1627200000003</v>
      </c>
      <c r="DZ374" s="399">
        <v>1911.9093599999978</v>
      </c>
      <c r="EA374" s="399">
        <v>0</v>
      </c>
      <c r="EB374" s="399">
        <v>0</v>
      </c>
      <c r="EC374" s="399">
        <v>-1627.2060697348434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979.22685491429365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215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378</v>
      </c>
      <c r="B375" s="399" t="s">
        <v>2345</v>
      </c>
      <c r="C375" s="399" t="s">
        <v>2343</v>
      </c>
      <c r="D375" s="399" t="s">
        <v>2353</v>
      </c>
      <c r="E375" s="399" t="s">
        <v>894</v>
      </c>
      <c r="F375" s="399" t="s">
        <v>2363</v>
      </c>
      <c r="G375" s="399" t="s">
        <v>2362</v>
      </c>
      <c r="H375" s="399" t="s">
        <v>1239</v>
      </c>
      <c r="I375" s="399" t="s">
        <v>1239</v>
      </c>
      <c r="J375" s="399" t="s">
        <v>2344</v>
      </c>
      <c r="K375" s="791">
        <v>44652</v>
      </c>
      <c r="L375" s="399">
        <v>0</v>
      </c>
      <c r="M375" s="399">
        <v>0</v>
      </c>
      <c r="N375" s="399">
        <v>-1.4450000000000001</v>
      </c>
      <c r="O375" s="399">
        <v>-0.57799999999999996</v>
      </c>
      <c r="P375" s="399">
        <v>-1.4450000000000001</v>
      </c>
      <c r="Q375" s="399">
        <v>-0.57799999999999996</v>
      </c>
      <c r="R375" s="399"/>
      <c r="S375" s="399">
        <v>239.69</v>
      </c>
      <c r="T375" s="399">
        <v>171.61</v>
      </c>
      <c r="U375" s="399"/>
      <c r="V375" s="399">
        <v>-594.32850000000008</v>
      </c>
      <c r="W375" s="399">
        <v>-594.32850000000008</v>
      </c>
      <c r="X375" s="399">
        <v>-592.14654999999993</v>
      </c>
      <c r="Y375" s="399">
        <v>0</v>
      </c>
      <c r="Z375" s="399">
        <v>-87.360797508488687</v>
      </c>
      <c r="AA375" s="399">
        <v>0</v>
      </c>
      <c r="AB375" s="399">
        <v>0</v>
      </c>
      <c r="AC375" s="399">
        <v>0</v>
      </c>
      <c r="AD375" s="399">
        <v>-77.070509925810995</v>
      </c>
      <c r="AE375" s="399">
        <v>-128.04827942823559</v>
      </c>
      <c r="AF375" s="399">
        <v>-238.96575902899988</v>
      </c>
      <c r="AG375" s="399">
        <v>-9.0100907878886733</v>
      </c>
      <c r="AH375" s="399">
        <v>0</v>
      </c>
      <c r="AI375" s="399">
        <v>0</v>
      </c>
      <c r="AJ375" s="399">
        <v>0</v>
      </c>
      <c r="AK375" s="399">
        <v>0</v>
      </c>
      <c r="AL375" s="399">
        <v>-13.508020073358217</v>
      </c>
      <c r="AM375" s="399"/>
      <c r="AN375" s="399">
        <v>-0.57229462907378892</v>
      </c>
      <c r="AO375" s="399">
        <v>0</v>
      </c>
      <c r="AP375" s="399">
        <v>0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-23.134324173231995</v>
      </c>
      <c r="BH375" s="399">
        <v>0</v>
      </c>
      <c r="BI375" s="399">
        <v>0</v>
      </c>
      <c r="BJ375" s="399">
        <v>0</v>
      </c>
      <c r="BK375" s="399">
        <v>0</v>
      </c>
      <c r="BL375" s="399">
        <v>0</v>
      </c>
      <c r="BM375" s="399"/>
      <c r="BN375" s="399"/>
      <c r="BO375" s="399"/>
      <c r="BP375" s="399"/>
      <c r="BQ375" s="399"/>
      <c r="BR375" s="399"/>
      <c r="BS375" s="399">
        <v>-383.70819</v>
      </c>
      <c r="BT375" s="399"/>
      <c r="BU375" s="399"/>
      <c r="BV375" s="399">
        <v>-262.10008320223187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-209.15959999999998</v>
      </c>
      <c r="CJ375" s="399">
        <v>1.7500000000012506E-2</v>
      </c>
      <c r="CK375" s="399"/>
      <c r="CL375" s="399"/>
      <c r="CM375" s="399"/>
      <c r="CN375" s="399"/>
      <c r="CO375" s="399">
        <v>34.708900000000014</v>
      </c>
      <c r="CP375" s="399">
        <v>-32.526949999999985</v>
      </c>
      <c r="CQ375" s="399">
        <v>30</v>
      </c>
      <c r="CR375" s="399">
        <v>-25.50951430820993</v>
      </c>
      <c r="CS375" s="399">
        <v>0</v>
      </c>
      <c r="CT375" s="399">
        <v>0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-3.4706873787975923</v>
      </c>
      <c r="DA375" s="399">
        <v>0</v>
      </c>
      <c r="DB375" s="399">
        <v>0</v>
      </c>
      <c r="DC375" s="399">
        <v>-32.534675909894446</v>
      </c>
      <c r="DD375" s="399">
        <v>0</v>
      </c>
      <c r="DE375" s="399">
        <v>0</v>
      </c>
      <c r="DF375" s="399">
        <v>0</v>
      </c>
      <c r="DG375" s="399">
        <v>-3.1496886517502958</v>
      </c>
      <c r="DH375" s="399">
        <v>0</v>
      </c>
      <c r="DI375" s="399">
        <v>11.999246087803357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1.5567130144496009</v>
      </c>
      <c r="DP375" s="399">
        <v>8.9578529979475185E-2</v>
      </c>
      <c r="DQ375" s="399">
        <v>0</v>
      </c>
      <c r="DR375" s="399">
        <v>0</v>
      </c>
      <c r="DS375" s="399"/>
      <c r="DT375" s="399"/>
      <c r="DU375" s="399"/>
      <c r="DV375" s="399">
        <v>-128.04827942823559</v>
      </c>
      <c r="DW375" s="399">
        <v>0</v>
      </c>
      <c r="DX375" s="399">
        <v>0</v>
      </c>
      <c r="DY375" s="399">
        <v>34.708900000000028</v>
      </c>
      <c r="DZ375" s="399">
        <v>-32.526949999999971</v>
      </c>
      <c r="EA375" s="399">
        <v>0</v>
      </c>
      <c r="EB375" s="399">
        <v>0</v>
      </c>
      <c r="EC375" s="399">
        <v>27.683347117439581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-16.659400081839905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215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379</v>
      </c>
      <c r="B376" s="399" t="s">
        <v>956</v>
      </c>
      <c r="C376" s="399" t="s">
        <v>2343</v>
      </c>
      <c r="D376" s="399" t="s">
        <v>1823</v>
      </c>
      <c r="E376" s="399" t="s">
        <v>889</v>
      </c>
      <c r="F376" s="399" t="s">
        <v>889</v>
      </c>
      <c r="G376" s="399" t="s">
        <v>1239</v>
      </c>
      <c r="H376" s="399" t="s">
        <v>1239</v>
      </c>
      <c r="I376" s="399" t="s">
        <v>1239</v>
      </c>
      <c r="J376" s="399" t="s">
        <v>2344</v>
      </c>
      <c r="K376" s="791">
        <v>44682</v>
      </c>
      <c r="L376" s="399">
        <v>0</v>
      </c>
      <c r="M376" s="399">
        <v>0</v>
      </c>
      <c r="N376" s="399">
        <v>1189.202</v>
      </c>
      <c r="O376" s="399">
        <v>1189.202</v>
      </c>
      <c r="P376" s="399">
        <v>1189.202</v>
      </c>
      <c r="Q376" s="399">
        <v>1189.202</v>
      </c>
      <c r="R376" s="399"/>
      <c r="S376" s="399">
        <v>239.69</v>
      </c>
      <c r="T376" s="399">
        <v>171.61</v>
      </c>
      <c r="U376" s="399"/>
      <c r="V376" s="399">
        <v>489118.78259999998</v>
      </c>
      <c r="W376" s="399">
        <v>489118.78259999998</v>
      </c>
      <c r="X376" s="399">
        <v>487323.08757999999</v>
      </c>
      <c r="Y376" s="399">
        <v>0</v>
      </c>
      <c r="Z376" s="399">
        <v>71895.941258608829</v>
      </c>
      <c r="AA376" s="399">
        <v>0</v>
      </c>
      <c r="AB376" s="399">
        <v>0</v>
      </c>
      <c r="AC376" s="399">
        <v>0</v>
      </c>
      <c r="AD376" s="399">
        <v>63427.269581172513</v>
      </c>
      <c r="AE376" s="399">
        <v>105380.8096834717</v>
      </c>
      <c r="AF376" s="399">
        <v>196663.36233135272</v>
      </c>
      <c r="AG376" s="399">
        <v>7415.098951653139</v>
      </c>
      <c r="AH376" s="399">
        <v>0</v>
      </c>
      <c r="AI376" s="399">
        <v>0</v>
      </c>
      <c r="AJ376" s="399">
        <v>0</v>
      </c>
      <c r="AK376" s="399">
        <v>0</v>
      </c>
      <c r="AL376" s="399">
        <v>11116.792032718158</v>
      </c>
      <c r="AM376" s="399"/>
      <c r="AN376" s="399">
        <v>470.98541002339653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19039.020467443483</v>
      </c>
      <c r="BH376" s="399">
        <v>0</v>
      </c>
      <c r="BI376" s="399">
        <v>0</v>
      </c>
      <c r="BJ376" s="399">
        <v>0</v>
      </c>
      <c r="BK376" s="399">
        <v>112601.99</v>
      </c>
      <c r="BL376" s="399">
        <v>4644</v>
      </c>
      <c r="BM376" s="399"/>
      <c r="BN376" s="399"/>
      <c r="BO376" s="399"/>
      <c r="BP376" s="399"/>
      <c r="BQ376" s="399"/>
      <c r="BR376" s="399"/>
      <c r="BS376" s="399"/>
      <c r="BT376" s="399"/>
      <c r="BU376" s="399"/>
      <c r="BV376" s="399">
        <v>215702.3827987962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487322.26800000004</v>
      </c>
      <c r="CJ376" s="399">
        <v>-1796.5445999999647</v>
      </c>
      <c r="CK376" s="399"/>
      <c r="CL376" s="399"/>
      <c r="CM376" s="399"/>
      <c r="CN376" s="399"/>
      <c r="CO376" s="399">
        <v>-28564.632040000011</v>
      </c>
      <c r="CP376" s="399">
        <v>26768.93701999999</v>
      </c>
      <c r="CQ376" s="399">
        <v>31</v>
      </c>
      <c r="CR376" s="399">
        <v>20993.747705433867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2856.2964513777551</v>
      </c>
      <c r="DA376" s="399">
        <v>0</v>
      </c>
      <c r="DB376" s="399">
        <v>0</v>
      </c>
      <c r="DC376" s="399">
        <v>26775.295267403679</v>
      </c>
      <c r="DD376" s="399">
        <v>0</v>
      </c>
      <c r="DE376" s="399">
        <v>0</v>
      </c>
      <c r="DF376" s="399">
        <v>0</v>
      </c>
      <c r="DG376" s="399">
        <v>2592.1218297846062</v>
      </c>
      <c r="DH376" s="399">
        <v>0</v>
      </c>
      <c r="DI376" s="399">
        <v>-9875.1054990366247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-1281.139259660551</v>
      </c>
      <c r="DP376" s="399">
        <v>-73.721084435053228</v>
      </c>
      <c r="DQ376" s="399">
        <v>0</v>
      </c>
      <c r="DR376" s="399">
        <v>0</v>
      </c>
      <c r="DS376" s="399"/>
      <c r="DT376" s="399"/>
      <c r="DU376" s="399"/>
      <c r="DV376" s="399">
        <v>105380.8096834717</v>
      </c>
      <c r="DW376" s="399">
        <v>0</v>
      </c>
      <c r="DX376" s="399">
        <v>0</v>
      </c>
      <c r="DY376" s="399">
        <v>-28564.632039999997</v>
      </c>
      <c r="DZ376" s="399">
        <v>26768.937020000012</v>
      </c>
      <c r="EA376" s="399">
        <v>0</v>
      </c>
      <c r="EB376" s="399">
        <v>0</v>
      </c>
      <c r="EC376" s="399">
        <v>-22782.762462805113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13710.30581046656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215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380</v>
      </c>
      <c r="B377" s="399" t="s">
        <v>2345</v>
      </c>
      <c r="C377" s="399" t="s">
        <v>2343</v>
      </c>
      <c r="D377" s="399" t="s">
        <v>1823</v>
      </c>
      <c r="E377" s="399" t="s">
        <v>889</v>
      </c>
      <c r="F377" s="399" t="s">
        <v>889</v>
      </c>
      <c r="G377" s="399" t="s">
        <v>1239</v>
      </c>
      <c r="H377" s="399" t="s">
        <v>1239</v>
      </c>
      <c r="I377" s="399" t="s">
        <v>1239</v>
      </c>
      <c r="J377" s="399" t="s">
        <v>2344</v>
      </c>
      <c r="K377" s="791">
        <v>44682</v>
      </c>
      <c r="L377" s="399">
        <v>0</v>
      </c>
      <c r="M377" s="399">
        <v>0</v>
      </c>
      <c r="N377" s="399">
        <v>-0.189</v>
      </c>
      <c r="O377" s="399">
        <v>-0.189</v>
      </c>
      <c r="P377" s="399">
        <v>-0.189</v>
      </c>
      <c r="Q377" s="399">
        <v>-0.189</v>
      </c>
      <c r="R377" s="399"/>
      <c r="S377" s="399">
        <v>239.69</v>
      </c>
      <c r="T377" s="399">
        <v>171.61</v>
      </c>
      <c r="U377" s="399"/>
      <c r="V377" s="399">
        <v>-77.735700000000008</v>
      </c>
      <c r="W377" s="399">
        <v>-77.735700000000008</v>
      </c>
      <c r="X377" s="399">
        <v>-77.450310000000002</v>
      </c>
      <c r="Y377" s="399">
        <v>0</v>
      </c>
      <c r="Z377" s="399">
        <v>-11.426429570314436</v>
      </c>
      <c r="AA377" s="399">
        <v>0</v>
      </c>
      <c r="AB377" s="399">
        <v>0</v>
      </c>
      <c r="AC377" s="399">
        <v>0</v>
      </c>
      <c r="AD377" s="399">
        <v>-10.080502682337908</v>
      </c>
      <c r="AE377" s="399">
        <v>-16.748183260855726</v>
      </c>
      <c r="AF377" s="399">
        <v>-31.25572903562697</v>
      </c>
      <c r="AG377" s="399">
        <v>-1.1784824629141588</v>
      </c>
      <c r="AH377" s="399">
        <v>0</v>
      </c>
      <c r="AI377" s="399">
        <v>0</v>
      </c>
      <c r="AJ377" s="399">
        <v>0</v>
      </c>
      <c r="AK377" s="399">
        <v>0</v>
      </c>
      <c r="AL377" s="399">
        <v>-1.7667929369305904</v>
      </c>
      <c r="AM377" s="399"/>
      <c r="AN377" s="399">
        <v>-7.4853761172973085E-2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-3.0258735423812091</v>
      </c>
      <c r="BH377" s="399">
        <v>0</v>
      </c>
      <c r="BI377" s="399">
        <v>0</v>
      </c>
      <c r="BJ377" s="399">
        <v>0</v>
      </c>
      <c r="BK377" s="399">
        <v>-27.49</v>
      </c>
      <c r="BL377" s="399">
        <v>0</v>
      </c>
      <c r="BM377" s="399"/>
      <c r="BN377" s="399"/>
      <c r="BO377" s="399"/>
      <c r="BP377" s="399"/>
      <c r="BQ377" s="399"/>
      <c r="BR377" s="399"/>
      <c r="BS377" s="399"/>
      <c r="BT377" s="399"/>
      <c r="BU377" s="399"/>
      <c r="BV377" s="399">
        <v>-34.281602578008176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-77.860100000000003</v>
      </c>
      <c r="CJ377" s="399">
        <v>-0.15440000000000964</v>
      </c>
      <c r="CK377" s="399"/>
      <c r="CL377" s="399"/>
      <c r="CM377" s="399"/>
      <c r="CN377" s="399"/>
      <c r="CO377" s="399">
        <v>4.5397800000000021</v>
      </c>
      <c r="CP377" s="399">
        <v>-4.2543899999999981</v>
      </c>
      <c r="CQ377" s="399">
        <v>31</v>
      </c>
      <c r="CR377" s="399">
        <v>-3.3365385496551312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-0.45395149798805967</v>
      </c>
      <c r="DA377" s="399">
        <v>0</v>
      </c>
      <c r="DB377" s="399">
        <v>0</v>
      </c>
      <c r="DC377" s="399">
        <v>-4.2554005169342943</v>
      </c>
      <c r="DD377" s="399">
        <v>0</v>
      </c>
      <c r="DE377" s="399">
        <v>0</v>
      </c>
      <c r="DF377" s="399">
        <v>0</v>
      </c>
      <c r="DG377" s="399">
        <v>-0.41196619735695883</v>
      </c>
      <c r="DH377" s="399">
        <v>0</v>
      </c>
      <c r="DI377" s="399">
        <v>1.5694515644254903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0.20361159842974019</v>
      </c>
      <c r="DP377" s="399">
        <v>1.1716499768941735E-2</v>
      </c>
      <c r="DQ377" s="399">
        <v>0</v>
      </c>
      <c r="DR377" s="399">
        <v>0</v>
      </c>
      <c r="DS377" s="399"/>
      <c r="DT377" s="399"/>
      <c r="DU377" s="399"/>
      <c r="DV377" s="399">
        <v>-16.748183260855726</v>
      </c>
      <c r="DW377" s="399">
        <v>0</v>
      </c>
      <c r="DX377" s="399">
        <v>0</v>
      </c>
      <c r="DY377" s="399">
        <v>4.5397800000000004</v>
      </c>
      <c r="DZ377" s="399">
        <v>-4.2543899999999937</v>
      </c>
      <c r="EA377" s="399">
        <v>0</v>
      </c>
      <c r="EB377" s="399">
        <v>0</v>
      </c>
      <c r="EC377" s="399">
        <v>3.6208668548069749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-2.1789803567250812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215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381</v>
      </c>
      <c r="B378" s="399" t="s">
        <v>2346</v>
      </c>
      <c r="C378" s="399" t="s">
        <v>2343</v>
      </c>
      <c r="D378" s="399" t="s">
        <v>1823</v>
      </c>
      <c r="E378" s="399" t="s">
        <v>889</v>
      </c>
      <c r="F378" s="399" t="s">
        <v>889</v>
      </c>
      <c r="G378" s="399" t="s">
        <v>1239</v>
      </c>
      <c r="H378" s="399" t="s">
        <v>1239</v>
      </c>
      <c r="I378" s="399" t="s">
        <v>1239</v>
      </c>
      <c r="J378" s="399" t="s">
        <v>2344</v>
      </c>
      <c r="K378" s="791">
        <v>44682</v>
      </c>
      <c r="L378" s="399">
        <v>0</v>
      </c>
      <c r="M378" s="399">
        <v>0</v>
      </c>
      <c r="N378" s="399">
        <v>2.6589999999999998</v>
      </c>
      <c r="O378" s="399">
        <v>2.6589999999999998</v>
      </c>
      <c r="P378" s="399">
        <v>2.6589999999999998</v>
      </c>
      <c r="Q378" s="399">
        <v>2.6589999999999998</v>
      </c>
      <c r="R378" s="399"/>
      <c r="S378" s="399">
        <v>239.69</v>
      </c>
      <c r="T378" s="399">
        <v>171.61</v>
      </c>
      <c r="U378" s="399"/>
      <c r="V378" s="399">
        <v>1093.6467</v>
      </c>
      <c r="W378" s="399">
        <v>1093.6467</v>
      </c>
      <c r="X378" s="399">
        <v>1089.6316099999999</v>
      </c>
      <c r="Y378" s="399">
        <v>0</v>
      </c>
      <c r="Z378" s="399">
        <v>160.75595887548192</v>
      </c>
      <c r="AA378" s="399">
        <v>0</v>
      </c>
      <c r="AB378" s="399">
        <v>0</v>
      </c>
      <c r="AC378" s="399">
        <v>0</v>
      </c>
      <c r="AD378" s="399">
        <v>141.82040546209788</v>
      </c>
      <c r="AE378" s="399">
        <v>235.62655709320302</v>
      </c>
      <c r="AF378" s="399">
        <v>439.73007145890006</v>
      </c>
      <c r="AG378" s="399">
        <v>16.579814121104487</v>
      </c>
      <c r="AH378" s="399">
        <v>0</v>
      </c>
      <c r="AI378" s="399">
        <v>0</v>
      </c>
      <c r="AJ378" s="399">
        <v>0</v>
      </c>
      <c r="AK378" s="399">
        <v>0</v>
      </c>
      <c r="AL378" s="399">
        <v>24.8566265571346</v>
      </c>
      <c r="AM378" s="399"/>
      <c r="AN378" s="399">
        <v>1.0531013278250552</v>
      </c>
      <c r="AO378" s="399">
        <v>0</v>
      </c>
      <c r="AP378" s="399">
        <v>0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>
        <v>0</v>
      </c>
      <c r="BG378" s="399">
        <v>42.570358461331395</v>
      </c>
      <c r="BH378" s="399">
        <v>0</v>
      </c>
      <c r="BI378" s="399">
        <v>0</v>
      </c>
      <c r="BJ378" s="399">
        <v>0</v>
      </c>
      <c r="BK378" s="399">
        <v>788.88</v>
      </c>
      <c r="BL378" s="399">
        <v>17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482.30042992023147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1090.0414000000001</v>
      </c>
      <c r="CJ378" s="399">
        <v>-3.6352999999999156</v>
      </c>
      <c r="CK378" s="399"/>
      <c r="CL378" s="399"/>
      <c r="CM378" s="399"/>
      <c r="CN378" s="399"/>
      <c r="CO378" s="399">
        <v>-63.869180000000021</v>
      </c>
      <c r="CP378" s="399">
        <v>59.854089999999971</v>
      </c>
      <c r="CQ378" s="399">
        <v>31</v>
      </c>
      <c r="CR378" s="399">
        <v>46.941037055730021</v>
      </c>
      <c r="CS378" s="399">
        <v>0</v>
      </c>
      <c r="CT378" s="399">
        <v>0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6.3865451489430995</v>
      </c>
      <c r="DA378" s="399">
        <v>0</v>
      </c>
      <c r="DB378" s="399">
        <v>0</v>
      </c>
      <c r="DC378" s="399">
        <v>59.868306743535868</v>
      </c>
      <c r="DD378" s="399">
        <v>0</v>
      </c>
      <c r="DE378" s="399">
        <v>0</v>
      </c>
      <c r="DF378" s="399">
        <v>0</v>
      </c>
      <c r="DG378" s="399">
        <v>5.7958630622865286</v>
      </c>
      <c r="DH378" s="399">
        <v>0</v>
      </c>
      <c r="DI378" s="399">
        <v>-22.08027359686443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-2.8645674085961872</v>
      </c>
      <c r="DP378" s="399">
        <v>-0.16483689357468834</v>
      </c>
      <c r="DQ378" s="399">
        <v>0</v>
      </c>
      <c r="DR378" s="399">
        <v>0</v>
      </c>
      <c r="DS378" s="399"/>
      <c r="DT378" s="399"/>
      <c r="DU378" s="399"/>
      <c r="DV378" s="399">
        <v>235.62655709320302</v>
      </c>
      <c r="DW378" s="399">
        <v>0</v>
      </c>
      <c r="DX378" s="399">
        <v>0</v>
      </c>
      <c r="DY378" s="399">
        <v>-63.869180000000028</v>
      </c>
      <c r="DZ378" s="399">
        <v>59.854089999999985</v>
      </c>
      <c r="EA378" s="399">
        <v>0</v>
      </c>
      <c r="EB378" s="399">
        <v>0</v>
      </c>
      <c r="EC378" s="399">
        <v>-50.941190301226186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30.655601949904707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215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382</v>
      </c>
      <c r="B379" s="399" t="s">
        <v>956</v>
      </c>
      <c r="C379" s="399" t="s">
        <v>2343</v>
      </c>
      <c r="D379" s="399" t="s">
        <v>1823</v>
      </c>
      <c r="E379" s="399" t="s">
        <v>889</v>
      </c>
      <c r="F379" s="399" t="s">
        <v>2347</v>
      </c>
      <c r="G379" s="399" t="s">
        <v>1239</v>
      </c>
      <c r="H379" s="399" t="s">
        <v>1239</v>
      </c>
      <c r="I379" s="399" t="s">
        <v>1239</v>
      </c>
      <c r="J379" s="399" t="s">
        <v>2344</v>
      </c>
      <c r="K379" s="791">
        <v>44682</v>
      </c>
      <c r="L379" s="399">
        <v>0</v>
      </c>
      <c r="M379" s="399">
        <v>0</v>
      </c>
      <c r="N379" s="399">
        <v>11.25</v>
      </c>
      <c r="O379" s="399">
        <v>11.25</v>
      </c>
      <c r="P379" s="399">
        <v>11.25</v>
      </c>
      <c r="Q379" s="399">
        <v>11.25</v>
      </c>
      <c r="R379" s="399"/>
      <c r="S379" s="399">
        <v>158.36000000000001</v>
      </c>
      <c r="T379" s="399">
        <v>171.61</v>
      </c>
      <c r="U379" s="399"/>
      <c r="V379" s="399">
        <v>3712.1625000000004</v>
      </c>
      <c r="W379" s="399">
        <v>3712.1625000000004</v>
      </c>
      <c r="X379" s="399">
        <v>3800.7</v>
      </c>
      <c r="Y379" s="399">
        <v>0</v>
      </c>
      <c r="Z379" s="399">
        <v>0</v>
      </c>
      <c r="AA379" s="399">
        <v>0</v>
      </c>
      <c r="AB379" s="399">
        <v>0</v>
      </c>
      <c r="AC379" s="399">
        <v>0</v>
      </c>
      <c r="AD379" s="399">
        <v>600.02992156773269</v>
      </c>
      <c r="AE379" s="399">
        <v>996.91567028903125</v>
      </c>
      <c r="AF379" s="399">
        <v>1860.4600616444625</v>
      </c>
      <c r="AG379" s="399">
        <v>70.1477656496523</v>
      </c>
      <c r="AH379" s="399">
        <v>0</v>
      </c>
      <c r="AI379" s="399">
        <v>0</v>
      </c>
      <c r="AJ379" s="399">
        <v>0</v>
      </c>
      <c r="AK379" s="399">
        <v>0</v>
      </c>
      <c r="AL379" s="399">
        <v>0</v>
      </c>
      <c r="AM379" s="399"/>
      <c r="AN379" s="399">
        <v>4.4555810222007786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>
        <v>0</v>
      </c>
      <c r="BG379" s="399">
        <v>180.11152037983388</v>
      </c>
      <c r="BH379" s="399">
        <v>0</v>
      </c>
      <c r="BI379" s="399">
        <v>0</v>
      </c>
      <c r="BJ379" s="399">
        <v>0</v>
      </c>
      <c r="BK379" s="399">
        <v>180</v>
      </c>
      <c r="BL379" s="399">
        <v>3</v>
      </c>
      <c r="BM379" s="399"/>
      <c r="BN379" s="399"/>
      <c r="BO379" s="399"/>
      <c r="BP379" s="399"/>
      <c r="BQ379" s="399"/>
      <c r="BR379" s="399"/>
      <c r="BS379" s="399"/>
      <c r="BT379" s="399">
        <v>2470.5</v>
      </c>
      <c r="BU379" s="399"/>
      <c r="BV379" s="399">
        <v>2040.5715820242963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1330.1999999999998</v>
      </c>
      <c r="CJ379" s="399">
        <v>31.019999999999754</v>
      </c>
      <c r="CK379" s="399"/>
      <c r="CL379" s="399"/>
      <c r="CM379" s="399"/>
      <c r="CN379" s="399"/>
      <c r="CO379" s="399">
        <v>-164.70000000000016</v>
      </c>
      <c r="CP379" s="399">
        <v>253.2374999999999</v>
      </c>
      <c r="CQ379" s="399">
        <v>31</v>
      </c>
      <c r="CR379" s="399">
        <v>304.1429590779976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27.020922499289213</v>
      </c>
      <c r="DA379" s="399">
        <v>0</v>
      </c>
      <c r="DB379" s="399">
        <v>0</v>
      </c>
      <c r="DC379" s="399">
        <v>253.29764981751737</v>
      </c>
      <c r="DD379" s="399">
        <v>0</v>
      </c>
      <c r="DE379" s="399">
        <v>0</v>
      </c>
      <c r="DF379" s="399">
        <v>0</v>
      </c>
      <c r="DG379" s="399">
        <v>24.521797461723736</v>
      </c>
      <c r="DH379" s="399">
        <v>0</v>
      </c>
      <c r="DI379" s="399">
        <v>0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0</v>
      </c>
      <c r="DP379" s="399">
        <v>-0.69741070053224608</v>
      </c>
      <c r="DQ379" s="399">
        <v>0</v>
      </c>
      <c r="DR379" s="399">
        <v>0</v>
      </c>
      <c r="DS379" s="399"/>
      <c r="DT379" s="399"/>
      <c r="DU379" s="399"/>
      <c r="DV379" s="399">
        <v>996.91567028903125</v>
      </c>
      <c r="DW379" s="399">
        <v>0</v>
      </c>
      <c r="DX379" s="399">
        <v>0</v>
      </c>
      <c r="DY379" s="399">
        <v>-164.70000000000027</v>
      </c>
      <c r="DZ379" s="399">
        <v>253.23749999999973</v>
      </c>
      <c r="EA379" s="399">
        <v>0</v>
      </c>
      <c r="EB379" s="399">
        <v>0</v>
      </c>
      <c r="EC379" s="399">
        <v>-215.52778897660562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0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215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383</v>
      </c>
      <c r="B380" s="399" t="s">
        <v>956</v>
      </c>
      <c r="C380" s="399" t="s">
        <v>2343</v>
      </c>
      <c r="D380" s="399" t="s">
        <v>1823</v>
      </c>
      <c r="E380" s="399" t="s">
        <v>889</v>
      </c>
      <c r="F380" s="399" t="s">
        <v>2348</v>
      </c>
      <c r="G380" s="399" t="s">
        <v>1239</v>
      </c>
      <c r="H380" s="399" t="s">
        <v>1239</v>
      </c>
      <c r="I380" s="399" t="s">
        <v>1239</v>
      </c>
      <c r="J380" s="399" t="s">
        <v>2344</v>
      </c>
      <c r="K380" s="791">
        <v>44682</v>
      </c>
      <c r="L380" s="399">
        <v>0</v>
      </c>
      <c r="M380" s="399">
        <v>0</v>
      </c>
      <c r="N380" s="399">
        <v>25.173999999999999</v>
      </c>
      <c r="O380" s="399">
        <v>25.173999999999999</v>
      </c>
      <c r="P380" s="399">
        <v>25.173999999999999</v>
      </c>
      <c r="Q380" s="399">
        <v>25.173999999999999</v>
      </c>
      <c r="R380" s="399"/>
      <c r="S380" s="399">
        <v>158.36000000000001</v>
      </c>
      <c r="T380" s="399">
        <v>171.61</v>
      </c>
      <c r="U380" s="399"/>
      <c r="V380" s="399">
        <v>8306.664780000001</v>
      </c>
      <c r="W380" s="399">
        <v>8306.664780000001</v>
      </c>
      <c r="X380" s="399">
        <v>8504.7841599999992</v>
      </c>
      <c r="Y380" s="399">
        <v>0</v>
      </c>
      <c r="Z380" s="399">
        <v>0</v>
      </c>
      <c r="AA380" s="399">
        <v>0</v>
      </c>
      <c r="AB380" s="399">
        <v>0</v>
      </c>
      <c r="AC380" s="399">
        <v>0</v>
      </c>
      <c r="AD380" s="399">
        <v>1342.6802884929868</v>
      </c>
      <c r="AE380" s="399">
        <v>2230.7871185649842</v>
      </c>
      <c r="AF380" s="399">
        <v>4163.1308081633515</v>
      </c>
      <c r="AG380" s="399">
        <v>156.96887577460862</v>
      </c>
      <c r="AH380" s="399">
        <v>0</v>
      </c>
      <c r="AI380" s="399">
        <v>0</v>
      </c>
      <c r="AJ380" s="399">
        <v>0</v>
      </c>
      <c r="AK380" s="399">
        <v>0</v>
      </c>
      <c r="AL380" s="399">
        <v>0</v>
      </c>
      <c r="AM380" s="399"/>
      <c r="AN380" s="399">
        <v>9.9702041469228799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403.03354791483889</v>
      </c>
      <c r="BH380" s="399">
        <v>0</v>
      </c>
      <c r="BI380" s="399">
        <v>0</v>
      </c>
      <c r="BJ380" s="399">
        <v>0</v>
      </c>
      <c r="BK380" s="399">
        <v>689.93</v>
      </c>
      <c r="BL380" s="399">
        <v>37</v>
      </c>
      <c r="BM380" s="399"/>
      <c r="BN380" s="399"/>
      <c r="BO380" s="399"/>
      <c r="BP380" s="399"/>
      <c r="BQ380" s="399"/>
      <c r="BR380" s="399"/>
      <c r="BS380" s="399"/>
      <c r="BT380" s="399">
        <v>3402.0143600000001</v>
      </c>
      <c r="BU380" s="399"/>
      <c r="BV380" s="399">
        <v>4566.1643560781904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5101.9590000000007</v>
      </c>
      <c r="CJ380" s="399">
        <v>117.98048000000017</v>
      </c>
      <c r="CK380" s="399"/>
      <c r="CL380" s="399"/>
      <c r="CM380" s="399"/>
      <c r="CN380" s="399"/>
      <c r="CO380" s="399">
        <v>-368.54736000000037</v>
      </c>
      <c r="CP380" s="399">
        <v>566.66673999999978</v>
      </c>
      <c r="CQ380" s="399">
        <v>31</v>
      </c>
      <c r="CR380" s="399">
        <v>680.57732016262435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60.464418044187369</v>
      </c>
      <c r="DA380" s="399">
        <v>0</v>
      </c>
      <c r="DB380" s="399">
        <v>0</v>
      </c>
      <c r="DC380" s="399">
        <v>566.80133657832721</v>
      </c>
      <c r="DD380" s="399">
        <v>0</v>
      </c>
      <c r="DE380" s="399">
        <v>0</v>
      </c>
      <c r="DF380" s="399">
        <v>0</v>
      </c>
      <c r="DG380" s="399">
        <v>54.872153715682998</v>
      </c>
      <c r="DH380" s="399">
        <v>0</v>
      </c>
      <c r="DI380" s="399">
        <v>0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0</v>
      </c>
      <c r="DP380" s="399">
        <v>-1.5605881755732245</v>
      </c>
      <c r="DQ380" s="399">
        <v>0</v>
      </c>
      <c r="DR380" s="399">
        <v>0</v>
      </c>
      <c r="DS380" s="399"/>
      <c r="DT380" s="399"/>
      <c r="DU380" s="399"/>
      <c r="DV380" s="399">
        <v>2230.7871185649842</v>
      </c>
      <c r="DW380" s="399">
        <v>0</v>
      </c>
      <c r="DX380" s="399">
        <v>0</v>
      </c>
      <c r="DY380" s="399">
        <v>-368.54736000000048</v>
      </c>
      <c r="DZ380" s="399">
        <v>566.66673999999966</v>
      </c>
      <c r="EA380" s="399">
        <v>0</v>
      </c>
      <c r="EB380" s="399">
        <v>0</v>
      </c>
      <c r="EC380" s="399">
        <v>-482.28413863973969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215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384</v>
      </c>
      <c r="B381" s="399" t="s">
        <v>956</v>
      </c>
      <c r="C381" s="399" t="s">
        <v>2343</v>
      </c>
      <c r="D381" s="399" t="s">
        <v>1823</v>
      </c>
      <c r="E381" s="399" t="s">
        <v>889</v>
      </c>
      <c r="F381" s="399" t="s">
        <v>2349</v>
      </c>
      <c r="G381" s="399" t="s">
        <v>1239</v>
      </c>
      <c r="H381" s="399" t="s">
        <v>1239</v>
      </c>
      <c r="I381" s="399" t="s">
        <v>1239</v>
      </c>
      <c r="J381" s="399" t="s">
        <v>2344</v>
      </c>
      <c r="K381" s="791">
        <v>44682</v>
      </c>
      <c r="L381" s="399">
        <v>0</v>
      </c>
      <c r="M381" s="399">
        <v>0</v>
      </c>
      <c r="N381" s="399">
        <v>32.012999999999998</v>
      </c>
      <c r="O381" s="399">
        <v>32.012999999999998</v>
      </c>
      <c r="P381" s="399">
        <v>32.012999999999998</v>
      </c>
      <c r="Q381" s="399">
        <v>32.012999999999998</v>
      </c>
      <c r="R381" s="399"/>
      <c r="S381" s="399">
        <v>158.36000000000001</v>
      </c>
      <c r="T381" s="399">
        <v>171.61</v>
      </c>
      <c r="U381" s="399"/>
      <c r="V381" s="399">
        <v>10563.329610000001</v>
      </c>
      <c r="W381" s="399">
        <v>10563.329610000001</v>
      </c>
      <c r="X381" s="399">
        <v>10815.271919999999</v>
      </c>
      <c r="Y381" s="399">
        <v>0</v>
      </c>
      <c r="Z381" s="399">
        <v>0</v>
      </c>
      <c r="AA381" s="399">
        <v>0</v>
      </c>
      <c r="AB381" s="399">
        <v>0</v>
      </c>
      <c r="AC381" s="399">
        <v>0</v>
      </c>
      <c r="AD381" s="399">
        <v>1707.4451448131399</v>
      </c>
      <c r="AE381" s="399">
        <v>2836.8232313744675</v>
      </c>
      <c r="AF381" s="399">
        <v>5294.1251514154828</v>
      </c>
      <c r="AG381" s="399">
        <v>199.61248193265058</v>
      </c>
      <c r="AH381" s="399">
        <v>0</v>
      </c>
      <c r="AI381" s="399">
        <v>0</v>
      </c>
      <c r="AJ381" s="399">
        <v>0</v>
      </c>
      <c r="AK381" s="399">
        <v>0</v>
      </c>
      <c r="AL381" s="399">
        <v>0</v>
      </c>
      <c r="AM381" s="399"/>
      <c r="AN381" s="399">
        <v>12.678801356774535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512.52534239285524</v>
      </c>
      <c r="BH381" s="399">
        <v>0</v>
      </c>
      <c r="BI381" s="399">
        <v>0</v>
      </c>
      <c r="BJ381" s="399">
        <v>0</v>
      </c>
      <c r="BK381" s="399">
        <v>2343.3200000000002</v>
      </c>
      <c r="BL381" s="399">
        <v>139</v>
      </c>
      <c r="BM381" s="399"/>
      <c r="BN381" s="399"/>
      <c r="BO381" s="399"/>
      <c r="BP381" s="399"/>
      <c r="BQ381" s="399"/>
      <c r="BR381" s="399"/>
      <c r="BS381" s="399"/>
      <c r="BT381" s="399">
        <v>1081.39914</v>
      </c>
      <c r="BU381" s="399"/>
      <c r="BV381" s="399">
        <v>5806.6504938083381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9732.9605999999985</v>
      </c>
      <c r="CJ381" s="399">
        <v>226.02998999999727</v>
      </c>
      <c r="CK381" s="399"/>
      <c r="CL381" s="399"/>
      <c r="CM381" s="399"/>
      <c r="CN381" s="399"/>
      <c r="CO381" s="399">
        <v>-468.67032000000046</v>
      </c>
      <c r="CP381" s="399">
        <v>720.61262999999963</v>
      </c>
      <c r="CQ381" s="399">
        <v>31</v>
      </c>
      <c r="CR381" s="399">
        <v>865.46920435235006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76.89073706397744</v>
      </c>
      <c r="DA381" s="399">
        <v>0</v>
      </c>
      <c r="DB381" s="399">
        <v>0</v>
      </c>
      <c r="DC381" s="399">
        <v>720.78379232072712</v>
      </c>
      <c r="DD381" s="399">
        <v>0</v>
      </c>
      <c r="DE381" s="399">
        <v>0</v>
      </c>
      <c r="DF381" s="399">
        <v>0</v>
      </c>
      <c r="DG381" s="399">
        <v>69.779226857081085</v>
      </c>
      <c r="DH381" s="399">
        <v>0</v>
      </c>
      <c r="DI381" s="399">
        <v>0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0</v>
      </c>
      <c r="DP381" s="399">
        <v>-1.9845518894345595</v>
      </c>
      <c r="DQ381" s="399">
        <v>0</v>
      </c>
      <c r="DR381" s="399">
        <v>0</v>
      </c>
      <c r="DS381" s="399"/>
      <c r="DT381" s="399"/>
      <c r="DU381" s="399"/>
      <c r="DV381" s="399">
        <v>2836.8232313744675</v>
      </c>
      <c r="DW381" s="399">
        <v>0</v>
      </c>
      <c r="DX381" s="399">
        <v>0</v>
      </c>
      <c r="DY381" s="399">
        <v>-468.67032000000108</v>
      </c>
      <c r="DZ381" s="399">
        <v>720.61262999999963</v>
      </c>
      <c r="EA381" s="399">
        <v>0</v>
      </c>
      <c r="EB381" s="399">
        <v>0</v>
      </c>
      <c r="EC381" s="399">
        <v>-613.30587631182925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215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385</v>
      </c>
      <c r="B382" s="399" t="s">
        <v>956</v>
      </c>
      <c r="C382" s="399" t="s">
        <v>2343</v>
      </c>
      <c r="D382" s="399" t="s">
        <v>1823</v>
      </c>
      <c r="E382" s="399" t="s">
        <v>889</v>
      </c>
      <c r="F382" s="399" t="s">
        <v>2350</v>
      </c>
      <c r="G382" s="399" t="s">
        <v>1239</v>
      </c>
      <c r="H382" s="399" t="s">
        <v>1239</v>
      </c>
      <c r="I382" s="399" t="s">
        <v>1239</v>
      </c>
      <c r="J382" s="399" t="s">
        <v>2344</v>
      </c>
      <c r="K382" s="791">
        <v>44682</v>
      </c>
      <c r="L382" s="399">
        <v>0</v>
      </c>
      <c r="M382" s="399">
        <v>0</v>
      </c>
      <c r="N382" s="399">
        <v>29.353000000000002</v>
      </c>
      <c r="O382" s="399">
        <v>29.353000000000002</v>
      </c>
      <c r="P382" s="399">
        <v>29.353000000000002</v>
      </c>
      <c r="Q382" s="399">
        <v>29.353000000000002</v>
      </c>
      <c r="R382" s="399"/>
      <c r="S382" s="399">
        <v>158.36000000000001</v>
      </c>
      <c r="T382" s="399">
        <v>171.61</v>
      </c>
      <c r="U382" s="399"/>
      <c r="V382" s="399">
        <v>9685.6094100000009</v>
      </c>
      <c r="W382" s="399">
        <v>9685.6094100000009</v>
      </c>
      <c r="X382" s="399">
        <v>9916.6175199999998</v>
      </c>
      <c r="Y382" s="399">
        <v>0</v>
      </c>
      <c r="Z382" s="399">
        <v>0</v>
      </c>
      <c r="AA382" s="399">
        <v>0</v>
      </c>
      <c r="AB382" s="399">
        <v>0</v>
      </c>
      <c r="AC382" s="399">
        <v>0</v>
      </c>
      <c r="AD382" s="399">
        <v>1565.5714033580141</v>
      </c>
      <c r="AE382" s="399">
        <v>2601.1080595550166</v>
      </c>
      <c r="AF382" s="399">
        <v>4854.2297057288815</v>
      </c>
      <c r="AG382" s="399">
        <v>183.02643245459947</v>
      </c>
      <c r="AH382" s="399">
        <v>0</v>
      </c>
      <c r="AI382" s="399">
        <v>0</v>
      </c>
      <c r="AJ382" s="399">
        <v>0</v>
      </c>
      <c r="AK382" s="399">
        <v>0</v>
      </c>
      <c r="AL382" s="399">
        <v>0</v>
      </c>
      <c r="AM382" s="399"/>
      <c r="AN382" s="399">
        <v>11.625303977303064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469.93897401860124</v>
      </c>
      <c r="BH382" s="399">
        <v>0</v>
      </c>
      <c r="BI382" s="399">
        <v>0</v>
      </c>
      <c r="BJ382" s="399">
        <v>0</v>
      </c>
      <c r="BK382" s="399">
        <v>3304.64</v>
      </c>
      <c r="BL382" s="399">
        <v>193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5324.1686797474831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9915.6039999999994</v>
      </c>
      <c r="CJ382" s="399">
        <v>229.96458999999777</v>
      </c>
      <c r="CK382" s="399"/>
      <c r="CL382" s="399"/>
      <c r="CM382" s="399"/>
      <c r="CN382" s="399"/>
      <c r="CO382" s="399">
        <v>-429.72792000000044</v>
      </c>
      <c r="CP382" s="399">
        <v>660.7360299999998</v>
      </c>
      <c r="CQ382" s="399">
        <v>31</v>
      </c>
      <c r="CR382" s="399">
        <v>793.55629136146399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70.501790055256606</v>
      </c>
      <c r="DA382" s="399">
        <v>0</v>
      </c>
      <c r="DB382" s="399">
        <v>0</v>
      </c>
      <c r="DC382" s="399">
        <v>660.89297023054041</v>
      </c>
      <c r="DD382" s="399">
        <v>0</v>
      </c>
      <c r="DE382" s="399">
        <v>0</v>
      </c>
      <c r="DF382" s="399">
        <v>0</v>
      </c>
      <c r="DG382" s="399">
        <v>63.981184079464583</v>
      </c>
      <c r="DH382" s="399">
        <v>0</v>
      </c>
      <c r="DI382" s="399">
        <v>0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0</v>
      </c>
      <c r="DP382" s="399">
        <v>-1.8196530037976029</v>
      </c>
      <c r="DQ382" s="399">
        <v>0</v>
      </c>
      <c r="DR382" s="399">
        <v>0</v>
      </c>
      <c r="DS382" s="399"/>
      <c r="DT382" s="399"/>
      <c r="DU382" s="399"/>
      <c r="DV382" s="399">
        <v>2601.1080595550166</v>
      </c>
      <c r="DW382" s="399">
        <v>0</v>
      </c>
      <c r="DX382" s="399">
        <v>0</v>
      </c>
      <c r="DY382" s="399">
        <v>-429.72792000000118</v>
      </c>
      <c r="DZ382" s="399">
        <v>660.73603000000003</v>
      </c>
      <c r="EA382" s="399">
        <v>0</v>
      </c>
      <c r="EB382" s="399">
        <v>0</v>
      </c>
      <c r="EC382" s="399">
        <v>-562.34552798491609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0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215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386</v>
      </c>
      <c r="B383" s="399" t="s">
        <v>956</v>
      </c>
      <c r="C383" s="399" t="s">
        <v>2343</v>
      </c>
      <c r="D383" s="399" t="s">
        <v>1826</v>
      </c>
      <c r="E383" s="399" t="s">
        <v>890</v>
      </c>
      <c r="F383" s="399" t="s">
        <v>1239</v>
      </c>
      <c r="G383" s="399" t="s">
        <v>1239</v>
      </c>
      <c r="H383" s="399" t="s">
        <v>1239</v>
      </c>
      <c r="I383" s="399" t="s">
        <v>1239</v>
      </c>
      <c r="J383" s="399" t="s">
        <v>2344</v>
      </c>
      <c r="K383" s="791">
        <v>44682</v>
      </c>
      <c r="L383" s="399">
        <v>0</v>
      </c>
      <c r="M383" s="399">
        <v>0</v>
      </c>
      <c r="N383" s="399">
        <v>229.95599999999999</v>
      </c>
      <c r="O383" s="399">
        <v>229.95599999999999</v>
      </c>
      <c r="P383" s="399">
        <v>229.95599999999999</v>
      </c>
      <c r="Q383" s="399">
        <v>229.95599999999999</v>
      </c>
      <c r="R383" s="399"/>
      <c r="S383" s="399">
        <v>239.69</v>
      </c>
      <c r="T383" s="399">
        <v>171.61</v>
      </c>
      <c r="U383" s="399"/>
      <c r="V383" s="399">
        <v>94580.902799999996</v>
      </c>
      <c r="W383" s="399">
        <v>94580.902799999996</v>
      </c>
      <c r="X383" s="399">
        <v>94233.669239999988</v>
      </c>
      <c r="Y383" s="399">
        <v>0</v>
      </c>
      <c r="Z383" s="399">
        <v>13902.51872101178</v>
      </c>
      <c r="AA383" s="399">
        <v>0</v>
      </c>
      <c r="AB383" s="399">
        <v>0</v>
      </c>
      <c r="AC383" s="399">
        <v>0</v>
      </c>
      <c r="AD383" s="399">
        <v>12264.931612802624</v>
      </c>
      <c r="AE383" s="399">
        <v>20377.487989065285</v>
      </c>
      <c r="AF383" s="399">
        <v>38028.795905379025</v>
      </c>
      <c r="AG383" s="399">
        <v>1433.8577420205729</v>
      </c>
      <c r="AH383" s="399">
        <v>0</v>
      </c>
      <c r="AI383" s="399">
        <v>0</v>
      </c>
      <c r="AJ383" s="399">
        <v>0</v>
      </c>
      <c r="AK383" s="399">
        <v>0</v>
      </c>
      <c r="AL383" s="399">
        <v>2149.6541619302161</v>
      </c>
      <c r="AM383" s="399"/>
      <c r="AN383" s="399">
        <v>91.07445240366242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3681.57553604134</v>
      </c>
      <c r="BH383" s="399">
        <v>0</v>
      </c>
      <c r="BI383" s="399">
        <v>0</v>
      </c>
      <c r="BJ383" s="399">
        <v>0</v>
      </c>
      <c r="BK383" s="399">
        <v>31410.76</v>
      </c>
      <c r="BL383" s="399">
        <v>79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41710.371441420364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94235.308400000009</v>
      </c>
      <c r="CJ383" s="399">
        <v>-345.62439999998605</v>
      </c>
      <c r="CK383" s="399"/>
      <c r="CL383" s="399"/>
      <c r="CM383" s="399"/>
      <c r="CN383" s="399"/>
      <c r="CO383" s="399">
        <v>-5523.5431200000021</v>
      </c>
      <c r="CP383" s="399">
        <v>5176.3095599999979</v>
      </c>
      <c r="CQ383" s="399">
        <v>31</v>
      </c>
      <c r="CR383" s="399">
        <v>4059.5611572724738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552.32206704413875</v>
      </c>
      <c r="DA383" s="399">
        <v>0</v>
      </c>
      <c r="DB383" s="399">
        <v>0</v>
      </c>
      <c r="DC383" s="399">
        <v>5177.5390543499598</v>
      </c>
      <c r="DD383" s="399">
        <v>0</v>
      </c>
      <c r="DE383" s="399">
        <v>0</v>
      </c>
      <c r="DF383" s="399">
        <v>0</v>
      </c>
      <c r="DG383" s="399">
        <v>501.23861840961263</v>
      </c>
      <c r="DH383" s="399">
        <v>0</v>
      </c>
      <c r="DI383" s="399">
        <v>-1909.5492272435349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-247.7339086164518</v>
      </c>
      <c r="DP383" s="399">
        <v>-14.255446671252727</v>
      </c>
      <c r="DQ383" s="399">
        <v>0</v>
      </c>
      <c r="DR383" s="399">
        <v>0</v>
      </c>
      <c r="DS383" s="399"/>
      <c r="DT383" s="399"/>
      <c r="DU383" s="399"/>
      <c r="DV383" s="399">
        <v>20377.487989065285</v>
      </c>
      <c r="DW383" s="399">
        <v>0</v>
      </c>
      <c r="DX383" s="399">
        <v>0</v>
      </c>
      <c r="DY383" s="399">
        <v>-5523.5431200000021</v>
      </c>
      <c r="DZ383" s="399">
        <v>5176.3095600000015</v>
      </c>
      <c r="EA383" s="399">
        <v>0</v>
      </c>
      <c r="EB383" s="399">
        <v>0</v>
      </c>
      <c r="EC383" s="399">
        <v>-4405.5029548359398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2651.161941328427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215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387</v>
      </c>
      <c r="B384" s="399" t="s">
        <v>2346</v>
      </c>
      <c r="C384" s="399" t="s">
        <v>2343</v>
      </c>
      <c r="D384" s="399" t="s">
        <v>1826</v>
      </c>
      <c r="E384" s="399" t="s">
        <v>890</v>
      </c>
      <c r="F384" s="399" t="s">
        <v>1239</v>
      </c>
      <c r="G384" s="399" t="s">
        <v>1239</v>
      </c>
      <c r="H384" s="399" t="s">
        <v>1239</v>
      </c>
      <c r="I384" s="399" t="s">
        <v>1239</v>
      </c>
      <c r="J384" s="399" t="s">
        <v>2344</v>
      </c>
      <c r="K384" s="791">
        <v>44682</v>
      </c>
      <c r="L384" s="399">
        <v>0</v>
      </c>
      <c r="M384" s="399">
        <v>0</v>
      </c>
      <c r="N384" s="399">
        <v>6.4379999999999997</v>
      </c>
      <c r="O384" s="399">
        <v>6.4379999999999997</v>
      </c>
      <c r="P384" s="399">
        <v>6.4379999999999997</v>
      </c>
      <c r="Q384" s="399">
        <v>6.4379999999999997</v>
      </c>
      <c r="R384" s="399"/>
      <c r="S384" s="399">
        <v>239.69</v>
      </c>
      <c r="T384" s="399">
        <v>171.61</v>
      </c>
      <c r="U384" s="399"/>
      <c r="V384" s="399">
        <v>2647.9494</v>
      </c>
      <c r="W384" s="399">
        <v>2647.9494</v>
      </c>
      <c r="X384" s="399">
        <v>2638.2280199999996</v>
      </c>
      <c r="Y384" s="399">
        <v>0</v>
      </c>
      <c r="Z384" s="399">
        <v>389.2240929824568</v>
      </c>
      <c r="AA384" s="399">
        <v>0</v>
      </c>
      <c r="AB384" s="399">
        <v>0</v>
      </c>
      <c r="AC384" s="399">
        <v>0</v>
      </c>
      <c r="AD384" s="399">
        <v>343.37712311582777</v>
      </c>
      <c r="AE384" s="399">
        <v>570.50160758406957</v>
      </c>
      <c r="AF384" s="399">
        <v>1064.6792779437378</v>
      </c>
      <c r="AG384" s="399">
        <v>40.143228022441022</v>
      </c>
      <c r="AH384" s="399">
        <v>0</v>
      </c>
      <c r="AI384" s="399">
        <v>0</v>
      </c>
      <c r="AJ384" s="399">
        <v>0</v>
      </c>
      <c r="AK384" s="399">
        <v>0</v>
      </c>
      <c r="AL384" s="399">
        <v>60.183137184968992</v>
      </c>
      <c r="AM384" s="399"/>
      <c r="AN384" s="399">
        <v>2.5497804996380991</v>
      </c>
      <c r="AO384" s="399">
        <v>0</v>
      </c>
      <c r="AP384" s="399">
        <v>0</v>
      </c>
      <c r="AQ384" s="399">
        <v>0</v>
      </c>
      <c r="AR384" s="399">
        <v>0</v>
      </c>
      <c r="AS384" s="399">
        <v>0</v>
      </c>
      <c r="AT384" s="399">
        <v>0</v>
      </c>
      <c r="AU384" s="399">
        <v>0</v>
      </c>
      <c r="AV384" s="399">
        <v>0</v>
      </c>
      <c r="AW384" s="399">
        <v>0</v>
      </c>
      <c r="AX384" s="399">
        <v>0</v>
      </c>
      <c r="AY384" s="399">
        <v>0</v>
      </c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>
        <v>0</v>
      </c>
      <c r="BG384" s="399">
        <v>103.07181939603292</v>
      </c>
      <c r="BH384" s="399">
        <v>0</v>
      </c>
      <c r="BI384" s="399">
        <v>0</v>
      </c>
      <c r="BJ384" s="399">
        <v>0</v>
      </c>
      <c r="BK384" s="399">
        <v>930.84</v>
      </c>
      <c r="BL384" s="399">
        <v>5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1167.7510973397707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2639.0475999999999</v>
      </c>
      <c r="CJ384" s="399">
        <v>-8.9318000000002939</v>
      </c>
      <c r="CK384" s="399"/>
      <c r="CL384" s="399"/>
      <c r="CM384" s="399"/>
      <c r="CN384" s="399"/>
      <c r="CO384" s="399">
        <v>-154.64076000000006</v>
      </c>
      <c r="CP384" s="399">
        <v>144.91937999999993</v>
      </c>
      <c r="CQ384" s="399">
        <v>31</v>
      </c>
      <c r="CR384" s="399">
        <v>113.65415440571405</v>
      </c>
      <c r="CS384" s="399">
        <v>0</v>
      </c>
      <c r="CT384" s="399">
        <v>0</v>
      </c>
      <c r="CU384" s="399">
        <v>0</v>
      </c>
      <c r="CV384" s="399">
        <v>0</v>
      </c>
      <c r="CW384" s="399">
        <v>0</v>
      </c>
      <c r="CX384" s="399">
        <v>0</v>
      </c>
      <c r="CY384" s="399">
        <v>0</v>
      </c>
      <c r="CZ384" s="399">
        <v>15.463173248926637</v>
      </c>
      <c r="DA384" s="399">
        <v>0</v>
      </c>
      <c r="DB384" s="399">
        <v>0</v>
      </c>
      <c r="DC384" s="399">
        <v>144.95380173557123</v>
      </c>
      <c r="DD384" s="399">
        <v>0</v>
      </c>
      <c r="DE384" s="399">
        <v>0</v>
      </c>
      <c r="DF384" s="399">
        <v>0</v>
      </c>
      <c r="DG384" s="399">
        <v>14.033007294095782</v>
      </c>
      <c r="DH384" s="399">
        <v>0</v>
      </c>
      <c r="DI384" s="399">
        <v>-53.461000908842834</v>
      </c>
      <c r="DJ384" s="399"/>
      <c r="DK384" s="399">
        <v>0</v>
      </c>
      <c r="DL384" s="399">
        <v>0</v>
      </c>
      <c r="DM384" s="399">
        <v>0</v>
      </c>
      <c r="DN384" s="399">
        <v>0</v>
      </c>
      <c r="DO384" s="399">
        <v>-6.9357220671463864</v>
      </c>
      <c r="DP384" s="399">
        <v>-0.39910489689125361</v>
      </c>
      <c r="DQ384" s="399">
        <v>0</v>
      </c>
      <c r="DR384" s="399">
        <v>0</v>
      </c>
      <c r="DS384" s="399"/>
      <c r="DT384" s="399"/>
      <c r="DU384" s="399"/>
      <c r="DV384" s="399">
        <v>570.50160758406957</v>
      </c>
      <c r="DW384" s="399">
        <v>0</v>
      </c>
      <c r="DX384" s="399">
        <v>0</v>
      </c>
      <c r="DY384" s="399">
        <v>-154.64076</v>
      </c>
      <c r="DZ384" s="399">
        <v>144.91937999999982</v>
      </c>
      <c r="EA384" s="399">
        <v>0</v>
      </c>
      <c r="EB384" s="399">
        <v>0</v>
      </c>
      <c r="EC384" s="399">
        <v>-123.33936937167886</v>
      </c>
      <c r="ED384" s="399">
        <v>0</v>
      </c>
      <c r="EE384" s="399">
        <v>0</v>
      </c>
      <c r="EF384" s="399">
        <v>0</v>
      </c>
      <c r="EG384" s="399">
        <v>0</v>
      </c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>
        <v>0</v>
      </c>
      <c r="EN384" s="399">
        <v>0</v>
      </c>
      <c r="EO384" s="399">
        <v>0</v>
      </c>
      <c r="EP384" s="399">
        <v>74.223680087809896</v>
      </c>
      <c r="EQ384" s="399">
        <v>0</v>
      </c>
      <c r="ER384" s="399">
        <v>0</v>
      </c>
      <c r="ES384" s="399">
        <v>0</v>
      </c>
      <c r="ET384" s="399">
        <v>0</v>
      </c>
      <c r="EU384" s="399">
        <v>0</v>
      </c>
      <c r="EV384" s="399">
        <v>215</v>
      </c>
      <c r="EW384" s="399">
        <v>0</v>
      </c>
      <c r="EX384" s="399">
        <v>0</v>
      </c>
      <c r="EY384" s="399">
        <v>0</v>
      </c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388</v>
      </c>
      <c r="B385" s="399" t="s">
        <v>956</v>
      </c>
      <c r="C385" s="399" t="s">
        <v>2351</v>
      </c>
      <c r="D385" s="399" t="s">
        <v>533</v>
      </c>
      <c r="E385" s="399" t="s">
        <v>890</v>
      </c>
      <c r="F385" s="399" t="s">
        <v>1239</v>
      </c>
      <c r="G385" s="399" t="s">
        <v>1239</v>
      </c>
      <c r="H385" s="399" t="s">
        <v>1239</v>
      </c>
      <c r="I385" s="399" t="s">
        <v>893</v>
      </c>
      <c r="J385" s="399" t="s">
        <v>2344</v>
      </c>
      <c r="K385" s="791">
        <v>44682</v>
      </c>
      <c r="L385" s="399">
        <v>19124</v>
      </c>
      <c r="M385" s="399">
        <v>19124</v>
      </c>
      <c r="N385" s="399">
        <v>926.45600000000002</v>
      </c>
      <c r="O385" s="399">
        <v>926.45600000000002</v>
      </c>
      <c r="P385" s="399">
        <v>926.45600000000002</v>
      </c>
      <c r="Q385" s="399">
        <v>926.45600000000002</v>
      </c>
      <c r="R385" s="399">
        <v>37.64</v>
      </c>
      <c r="S385" s="399">
        <v>78.42</v>
      </c>
      <c r="T385" s="399">
        <v>171.61</v>
      </c>
      <c r="U385" s="399">
        <v>719827.36</v>
      </c>
      <c r="V385" s="399">
        <v>231641.79368000003</v>
      </c>
      <c r="W385" s="399">
        <v>951469.15367999999</v>
      </c>
      <c r="X385" s="399">
        <v>891365.37824000011</v>
      </c>
      <c r="Y385" s="399">
        <v>0</v>
      </c>
      <c r="Z385" s="399">
        <v>48729.594092993917</v>
      </c>
      <c r="AA385" s="399">
        <v>0</v>
      </c>
      <c r="AB385" s="399">
        <v>0</v>
      </c>
      <c r="AC385" s="399">
        <v>0</v>
      </c>
      <c r="AD385" s="399">
        <v>312564.86013105878</v>
      </c>
      <c r="AE385" s="399">
        <v>407197.37664211198</v>
      </c>
      <c r="AF385" s="399">
        <v>153211.94549963399</v>
      </c>
      <c r="AG385" s="399">
        <v>5776.7838553523798</v>
      </c>
      <c r="AH385" s="399">
        <v>0</v>
      </c>
      <c r="AI385" s="399">
        <v>0</v>
      </c>
      <c r="AJ385" s="399">
        <v>0</v>
      </c>
      <c r="AK385" s="399">
        <v>0</v>
      </c>
      <c r="AL385" s="399">
        <v>8660.6133183966504</v>
      </c>
      <c r="AM385" s="399"/>
      <c r="AN385" s="399">
        <v>244.64041130397891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>
        <v>0</v>
      </c>
      <c r="BG385" s="399">
        <v>5726.6920641746246</v>
      </c>
      <c r="BH385" s="399">
        <v>0</v>
      </c>
      <c r="BI385" s="399">
        <v>0</v>
      </c>
      <c r="BJ385" s="399">
        <v>0</v>
      </c>
      <c r="BK385" s="399">
        <v>0</v>
      </c>
      <c r="BL385" s="399">
        <v>0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158938.63756380862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891366.4384000001</v>
      </c>
      <c r="CJ385" s="399">
        <v>-60102.745279999916</v>
      </c>
      <c r="CK385" s="399"/>
      <c r="CL385" s="399"/>
      <c r="CM385" s="399"/>
      <c r="CN385" s="399"/>
      <c r="CO385" s="399">
        <v>-80958.299999999945</v>
      </c>
      <c r="CP385" s="399">
        <v>20854.524559999991</v>
      </c>
      <c r="CQ385" s="399">
        <v>31</v>
      </c>
      <c r="CR385" s="399">
        <v>27985.254338386934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14075.616161833459</v>
      </c>
      <c r="DA385" s="399">
        <v>0</v>
      </c>
      <c r="DB385" s="399">
        <v>0</v>
      </c>
      <c r="DC385" s="399">
        <v>20859.477996385569</v>
      </c>
      <c r="DD385" s="399">
        <v>0</v>
      </c>
      <c r="DE385" s="399">
        <v>0</v>
      </c>
      <c r="DF385" s="399">
        <v>0</v>
      </c>
      <c r="DG385" s="399">
        <v>779.67685036026705</v>
      </c>
      <c r="DH385" s="399">
        <v>0</v>
      </c>
      <c r="DI385" s="399">
        <v>-6693.1439267570968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-998.08035468160506</v>
      </c>
      <c r="DP385" s="399">
        <v>-38.292388753764186</v>
      </c>
      <c r="DQ385" s="399">
        <v>0</v>
      </c>
      <c r="DR385" s="399">
        <v>0</v>
      </c>
      <c r="DS385" s="399"/>
      <c r="DT385" s="399"/>
      <c r="DU385" s="399">
        <v>407197.37664211198</v>
      </c>
      <c r="DV385" s="399">
        <v>0</v>
      </c>
      <c r="DW385" s="399">
        <v>0</v>
      </c>
      <c r="DX385" s="399">
        <v>0</v>
      </c>
      <c r="DY385" s="399">
        <v>-80958.29999999993</v>
      </c>
      <c r="DZ385" s="399">
        <v>20854.524559999991</v>
      </c>
      <c r="EA385" s="399">
        <v>0</v>
      </c>
      <c r="EB385" s="399">
        <v>0</v>
      </c>
      <c r="EC385" s="399">
        <v>-88033.875763335789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9292.5640215448384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215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389</v>
      </c>
      <c r="B386" s="399" t="s">
        <v>2346</v>
      </c>
      <c r="C386" s="399" t="s">
        <v>2351</v>
      </c>
      <c r="D386" s="399" t="s">
        <v>533</v>
      </c>
      <c r="E386" s="399" t="s">
        <v>890</v>
      </c>
      <c r="F386" s="399" t="s">
        <v>1239</v>
      </c>
      <c r="G386" s="399" t="s">
        <v>1239</v>
      </c>
      <c r="H386" s="399" t="s">
        <v>1239</v>
      </c>
      <c r="I386" s="399" t="s">
        <v>893</v>
      </c>
      <c r="J386" s="399" t="s">
        <v>2344</v>
      </c>
      <c r="K386" s="791">
        <v>44682</v>
      </c>
      <c r="L386" s="399">
        <v>1635</v>
      </c>
      <c r="M386" s="399">
        <v>1635</v>
      </c>
      <c r="N386" s="399">
        <v>89.861999999999995</v>
      </c>
      <c r="O386" s="399">
        <v>89.861999999999995</v>
      </c>
      <c r="P386" s="399">
        <v>89.861999999999995</v>
      </c>
      <c r="Q386" s="399">
        <v>89.861999999999995</v>
      </c>
      <c r="R386" s="399">
        <v>37.64</v>
      </c>
      <c r="S386" s="399">
        <v>78.42</v>
      </c>
      <c r="T386" s="399">
        <v>171.61</v>
      </c>
      <c r="U386" s="399">
        <v>61541.4</v>
      </c>
      <c r="V386" s="399">
        <v>22468.19586</v>
      </c>
      <c r="W386" s="399">
        <v>84009.595860000001</v>
      </c>
      <c r="X386" s="399">
        <v>79030.974480000004</v>
      </c>
      <c r="Y386" s="399">
        <v>0</v>
      </c>
      <c r="Z386" s="399">
        <v>4726.5480329175034</v>
      </c>
      <c r="AA386" s="399">
        <v>0</v>
      </c>
      <c r="AB386" s="399">
        <v>0</v>
      </c>
      <c r="AC386" s="399">
        <v>0</v>
      </c>
      <c r="AD386" s="399">
        <v>26722.628441449546</v>
      </c>
      <c r="AE386" s="399">
        <v>34813.203869998593</v>
      </c>
      <c r="AF386" s="399">
        <v>14860.85884973286</v>
      </c>
      <c r="AG386" s="399">
        <v>560.32164593858272</v>
      </c>
      <c r="AH386" s="399">
        <v>0</v>
      </c>
      <c r="AI386" s="399">
        <v>0</v>
      </c>
      <c r="AJ386" s="399">
        <v>0</v>
      </c>
      <c r="AK386" s="399">
        <v>0</v>
      </c>
      <c r="AL386" s="399">
        <v>840.03993067966508</v>
      </c>
      <c r="AM386" s="399"/>
      <c r="AN386" s="399">
        <v>23.729002392556314</v>
      </c>
      <c r="AO386" s="399">
        <v>0</v>
      </c>
      <c r="AP386" s="399">
        <v>0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>
        <v>0</v>
      </c>
      <c r="BG386" s="399">
        <v>555.46297101088453</v>
      </c>
      <c r="BH386" s="399">
        <v>0</v>
      </c>
      <c r="BI386" s="399">
        <v>0</v>
      </c>
      <c r="BJ386" s="399">
        <v>0</v>
      </c>
      <c r="BK386" s="399">
        <v>0</v>
      </c>
      <c r="BL386" s="399">
        <v>0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>
        <v>15416.321820743744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79030.444400000008</v>
      </c>
      <c r="CJ386" s="399">
        <v>-4979.1814599999925</v>
      </c>
      <c r="CK386" s="399"/>
      <c r="CL386" s="399"/>
      <c r="CM386" s="399"/>
      <c r="CN386" s="399"/>
      <c r="CO386" s="399">
        <v>-7001.4149999999963</v>
      </c>
      <c r="CP386" s="399">
        <v>2022.793619999999</v>
      </c>
      <c r="CQ386" s="399">
        <v>31</v>
      </c>
      <c r="CR386" s="399">
        <v>2552.5614726227795</v>
      </c>
      <c r="CS386" s="399">
        <v>0</v>
      </c>
      <c r="CT386" s="399">
        <v>0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1203.3901079584648</v>
      </c>
      <c r="DA386" s="399">
        <v>0</v>
      </c>
      <c r="DB386" s="399">
        <v>0</v>
      </c>
      <c r="DC386" s="399">
        <v>2023.2740807023802</v>
      </c>
      <c r="DD386" s="399">
        <v>0</v>
      </c>
      <c r="DE386" s="399">
        <v>0</v>
      </c>
      <c r="DF386" s="399">
        <v>0</v>
      </c>
      <c r="DG386" s="399">
        <v>75.625092964020268</v>
      </c>
      <c r="DH386" s="399">
        <v>0</v>
      </c>
      <c r="DI386" s="399">
        <v>-649.20438698248518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-96.809235228006969</v>
      </c>
      <c r="DP386" s="399">
        <v>-3.7141867915915689</v>
      </c>
      <c r="DQ386" s="399">
        <v>0</v>
      </c>
      <c r="DR386" s="399">
        <v>0</v>
      </c>
      <c r="DS386" s="399"/>
      <c r="DT386" s="399"/>
      <c r="DU386" s="399">
        <v>34813.203869998593</v>
      </c>
      <c r="DV386" s="399">
        <v>0</v>
      </c>
      <c r="DW386" s="399">
        <v>0</v>
      </c>
      <c r="DX386" s="399">
        <v>0</v>
      </c>
      <c r="DY386" s="399">
        <v>-7001.4149999999936</v>
      </c>
      <c r="DZ386" s="399">
        <v>2022.7936199999986</v>
      </c>
      <c r="EA386" s="399">
        <v>0</v>
      </c>
      <c r="EB386" s="399">
        <v>0</v>
      </c>
      <c r="EC386" s="399">
        <v>-7526.4268392101039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901.33626216902064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215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390</v>
      </c>
      <c r="B387" s="399" t="s">
        <v>956</v>
      </c>
      <c r="C387" s="399" t="s">
        <v>2351</v>
      </c>
      <c r="D387" s="399" t="s">
        <v>533</v>
      </c>
      <c r="E387" s="399" t="s">
        <v>890</v>
      </c>
      <c r="F387" s="399" t="s">
        <v>1239</v>
      </c>
      <c r="G387" s="399" t="s">
        <v>1239</v>
      </c>
      <c r="H387" s="399" t="s">
        <v>1239</v>
      </c>
      <c r="I387" s="399" t="s">
        <v>2326</v>
      </c>
      <c r="J387" s="399" t="s">
        <v>2344</v>
      </c>
      <c r="K387" s="791">
        <v>44682</v>
      </c>
      <c r="L387" s="399">
        <v>21702</v>
      </c>
      <c r="M387" s="399">
        <v>21702</v>
      </c>
      <c r="N387" s="399">
        <v>8033.9219999999996</v>
      </c>
      <c r="O387" s="399">
        <v>8033.9219999999996</v>
      </c>
      <c r="P387" s="399">
        <v>8033.9219999999996</v>
      </c>
      <c r="Q387" s="399">
        <v>8033.9219999999996</v>
      </c>
      <c r="R387" s="399">
        <v>12.58</v>
      </c>
      <c r="S387" s="399">
        <v>78.42</v>
      </c>
      <c r="T387" s="399">
        <v>171.61</v>
      </c>
      <c r="U387" s="399">
        <v>273011.15999999997</v>
      </c>
      <c r="V387" s="399">
        <v>2008721.5176599999</v>
      </c>
      <c r="W387" s="399">
        <v>2281732.67766</v>
      </c>
      <c r="X387" s="399">
        <v>2380836.8668800001</v>
      </c>
      <c r="Y387" s="399">
        <v>0</v>
      </c>
      <c r="Z387" s="399">
        <v>422567.02750564931</v>
      </c>
      <c r="AA387" s="399">
        <v>0</v>
      </c>
      <c r="AB387" s="399">
        <v>0</v>
      </c>
      <c r="AC387" s="399">
        <v>0</v>
      </c>
      <c r="AD387" s="399">
        <v>143828.69034691097</v>
      </c>
      <c r="AE387" s="399">
        <v>129120.58526940897</v>
      </c>
      <c r="AF387" s="399">
        <v>1328603.6461659381</v>
      </c>
      <c r="AG387" s="399">
        <v>50094.371351429858</v>
      </c>
      <c r="AH387" s="399">
        <v>0</v>
      </c>
      <c r="AI387" s="399">
        <v>0</v>
      </c>
      <c r="AJ387" s="399">
        <v>0</v>
      </c>
      <c r="AK387" s="399">
        <v>0</v>
      </c>
      <c r="AL387" s="399">
        <v>75101.992833075565</v>
      </c>
      <c r="AM387" s="399"/>
      <c r="AN387" s="399">
        <v>2121.4412583696203</v>
      </c>
      <c r="AO387" s="399">
        <v>0</v>
      </c>
      <c r="AP387" s="399">
        <v>0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>
        <v>0</v>
      </c>
      <c r="BG387" s="399">
        <v>49659.991798420997</v>
      </c>
      <c r="BH387" s="399">
        <v>0</v>
      </c>
      <c r="BI387" s="399">
        <v>0</v>
      </c>
      <c r="BJ387" s="399">
        <v>0</v>
      </c>
      <c r="BK387" s="399">
        <v>0</v>
      </c>
      <c r="BL387" s="399">
        <v>0</v>
      </c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>
        <v>1378263.637964359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2380836.3368000002</v>
      </c>
      <c r="CJ387" s="399">
        <v>99103.629140000325</v>
      </c>
      <c r="CK387" s="399"/>
      <c r="CL387" s="399"/>
      <c r="CM387" s="399"/>
      <c r="CN387" s="399"/>
      <c r="CO387" s="399">
        <v>-81739.39499999999</v>
      </c>
      <c r="CP387" s="399">
        <v>180843.58421999993</v>
      </c>
      <c r="CQ387" s="399">
        <v>31</v>
      </c>
      <c r="CR387" s="399">
        <v>127096.79507084005</v>
      </c>
      <c r="CS387" s="399">
        <v>0</v>
      </c>
      <c r="CT387" s="399">
        <v>0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6476.9834892298968</v>
      </c>
      <c r="DA387" s="399">
        <v>0</v>
      </c>
      <c r="DB387" s="399">
        <v>0</v>
      </c>
      <c r="DC387" s="399">
        <v>180886.53879264439</v>
      </c>
      <c r="DD387" s="399">
        <v>0</v>
      </c>
      <c r="DE387" s="399">
        <v>0</v>
      </c>
      <c r="DF387" s="399">
        <v>0</v>
      </c>
      <c r="DG387" s="399">
        <v>6761.1014457244164</v>
      </c>
      <c r="DH387" s="399">
        <v>0</v>
      </c>
      <c r="DI387" s="399">
        <v>-58040.744776157953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-8655.0248681473895</v>
      </c>
      <c r="DP387" s="399">
        <v>-332.05901245328323</v>
      </c>
      <c r="DQ387" s="399">
        <v>0</v>
      </c>
      <c r="DR387" s="399">
        <v>0</v>
      </c>
      <c r="DS387" s="399"/>
      <c r="DT387" s="399"/>
      <c r="DU387" s="399">
        <v>129120.58526940897</v>
      </c>
      <c r="DV387" s="399">
        <v>0</v>
      </c>
      <c r="DW387" s="399">
        <v>0</v>
      </c>
      <c r="DX387" s="399">
        <v>0</v>
      </c>
      <c r="DY387" s="399">
        <v>-81739.395000000019</v>
      </c>
      <c r="DZ387" s="399">
        <v>180843.58422000008</v>
      </c>
      <c r="EA387" s="399">
        <v>0</v>
      </c>
      <c r="EB387" s="399">
        <v>0</v>
      </c>
      <c r="EC387" s="399">
        <v>-27915.173854587556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80582.061672758922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215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391</v>
      </c>
      <c r="B388" s="399" t="s">
        <v>2346</v>
      </c>
      <c r="C388" s="399" t="s">
        <v>2351</v>
      </c>
      <c r="D388" s="399" t="s">
        <v>533</v>
      </c>
      <c r="E388" s="399" t="s">
        <v>890</v>
      </c>
      <c r="F388" s="399" t="s">
        <v>1239</v>
      </c>
      <c r="G388" s="399" t="s">
        <v>1239</v>
      </c>
      <c r="H388" s="399" t="s">
        <v>1239</v>
      </c>
      <c r="I388" s="399" t="s">
        <v>2326</v>
      </c>
      <c r="J388" s="399" t="s">
        <v>2344</v>
      </c>
      <c r="K388" s="791">
        <v>44682</v>
      </c>
      <c r="L388" s="399">
        <v>2006</v>
      </c>
      <c r="M388" s="399">
        <v>2006</v>
      </c>
      <c r="N388" s="399">
        <v>748.79600000000005</v>
      </c>
      <c r="O388" s="399">
        <v>748.79600000000005</v>
      </c>
      <c r="P388" s="399">
        <v>748.79600000000005</v>
      </c>
      <c r="Q388" s="399">
        <v>748.79600000000005</v>
      </c>
      <c r="R388" s="399">
        <v>12.58</v>
      </c>
      <c r="S388" s="399">
        <v>78.42</v>
      </c>
      <c r="T388" s="399">
        <v>171.61</v>
      </c>
      <c r="U388" s="399">
        <v>25235.48</v>
      </c>
      <c r="V388" s="399">
        <v>187221.46388000002</v>
      </c>
      <c r="W388" s="399">
        <v>212456.94388000004</v>
      </c>
      <c r="X388" s="399">
        <v>221710.43184000003</v>
      </c>
      <c r="Y388" s="399">
        <v>0</v>
      </c>
      <c r="Z388" s="399">
        <v>39385.059990390771</v>
      </c>
      <c r="AA388" s="399">
        <v>0</v>
      </c>
      <c r="AB388" s="399">
        <v>0</v>
      </c>
      <c r="AC388" s="399">
        <v>0</v>
      </c>
      <c r="AD388" s="399">
        <v>13294.643481517989</v>
      </c>
      <c r="AE388" s="399">
        <v>11935.116304968869</v>
      </c>
      <c r="AF388" s="399">
        <v>123831.56020614463</v>
      </c>
      <c r="AG388" s="399">
        <v>4669.0103402130708</v>
      </c>
      <c r="AH388" s="399">
        <v>0</v>
      </c>
      <c r="AI388" s="399">
        <v>0</v>
      </c>
      <c r="AJ388" s="399">
        <v>0</v>
      </c>
      <c r="AK388" s="399">
        <v>0</v>
      </c>
      <c r="AL388" s="399">
        <v>6999.8279576818959</v>
      </c>
      <c r="AM388" s="399"/>
      <c r="AN388" s="399">
        <v>197.72742733899312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4628.5243021640554</v>
      </c>
      <c r="BH388" s="399">
        <v>0</v>
      </c>
      <c r="BI388" s="399">
        <v>0</v>
      </c>
      <c r="BJ388" s="399">
        <v>0</v>
      </c>
      <c r="BK388" s="399">
        <v>0</v>
      </c>
      <c r="BL388" s="399">
        <v>0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>
        <v>128460.08450830868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221711.49199999997</v>
      </c>
      <c r="CJ388" s="399">
        <v>9254.5181199999352</v>
      </c>
      <c r="CK388" s="399"/>
      <c r="CL388" s="399"/>
      <c r="CM388" s="399"/>
      <c r="CN388" s="399"/>
      <c r="CO388" s="399">
        <v>-7601.9100000000008</v>
      </c>
      <c r="CP388" s="399">
        <v>16855.397959999995</v>
      </c>
      <c r="CQ388" s="399">
        <v>31</v>
      </c>
      <c r="CR388" s="399">
        <v>11840.976655149512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598.69269557622101</v>
      </c>
      <c r="DA388" s="399">
        <v>0</v>
      </c>
      <c r="DB388" s="399">
        <v>0</v>
      </c>
      <c r="DC388" s="399">
        <v>16859.40151046736</v>
      </c>
      <c r="DD388" s="399">
        <v>0</v>
      </c>
      <c r="DE388" s="399">
        <v>0</v>
      </c>
      <c r="DF388" s="399">
        <v>0</v>
      </c>
      <c r="DG388" s="399">
        <v>630.1636632957925</v>
      </c>
      <c r="DH388" s="399">
        <v>0</v>
      </c>
      <c r="DI388" s="399">
        <v>-5409.6464373699346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-806.68545215764971</v>
      </c>
      <c r="DP388" s="399">
        <v>-30.949324662222097</v>
      </c>
      <c r="DQ388" s="399">
        <v>0</v>
      </c>
      <c r="DR388" s="399">
        <v>0</v>
      </c>
      <c r="DS388" s="399"/>
      <c r="DT388" s="399"/>
      <c r="DU388" s="399">
        <v>11935.116304968869</v>
      </c>
      <c r="DV388" s="399">
        <v>0</v>
      </c>
      <c r="DW388" s="399">
        <v>0</v>
      </c>
      <c r="DX388" s="399">
        <v>0</v>
      </c>
      <c r="DY388" s="399">
        <v>-7601.9100000000035</v>
      </c>
      <c r="DZ388" s="399">
        <v>16855.397959999988</v>
      </c>
      <c r="EA388" s="399">
        <v>0</v>
      </c>
      <c r="EB388" s="399">
        <v>0</v>
      </c>
      <c r="EC388" s="399">
        <v>-2580.3077482399149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7510.593885815073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215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392</v>
      </c>
      <c r="B389" s="399" t="s">
        <v>956</v>
      </c>
      <c r="C389" s="399" t="s">
        <v>2351</v>
      </c>
      <c r="D389" s="399" t="s">
        <v>533</v>
      </c>
      <c r="E389" s="399" t="s">
        <v>890</v>
      </c>
      <c r="F389" s="399" t="s">
        <v>1239</v>
      </c>
      <c r="G389" s="399" t="s">
        <v>1239</v>
      </c>
      <c r="H389" s="399" t="s">
        <v>1239</v>
      </c>
      <c r="I389" s="399" t="s">
        <v>1239</v>
      </c>
      <c r="J389" s="399" t="s">
        <v>2344</v>
      </c>
      <c r="K389" s="791">
        <v>44682</v>
      </c>
      <c r="L389" s="399">
        <v>0</v>
      </c>
      <c r="M389" s="399">
        <v>0</v>
      </c>
      <c r="N389" s="399">
        <v>0</v>
      </c>
      <c r="O389" s="399">
        <v>0</v>
      </c>
      <c r="P389" s="399">
        <v>0</v>
      </c>
      <c r="Q389" s="399">
        <v>0</v>
      </c>
      <c r="R389" s="399"/>
      <c r="S389" s="399"/>
      <c r="T389" s="399"/>
      <c r="U389" s="399"/>
      <c r="V389" s="399"/>
      <c r="W389" s="399"/>
      <c r="X389" s="399"/>
      <c r="Y389" s="399"/>
      <c r="Z389" s="399"/>
      <c r="AA389" s="399">
        <v>0</v>
      </c>
      <c r="AB389" s="399"/>
      <c r="AC389" s="399"/>
      <c r="AD389" s="399"/>
      <c r="AE389" s="399"/>
      <c r="AF389" s="399"/>
      <c r="AG389" s="399"/>
      <c r="AH389" s="399"/>
      <c r="AI389" s="399"/>
      <c r="AJ389" s="399"/>
      <c r="AK389" s="399"/>
      <c r="AL389" s="399"/>
      <c r="AM389" s="399"/>
      <c r="AN389" s="399"/>
      <c r="AO389" s="399"/>
      <c r="AP389" s="399"/>
      <c r="AQ389" s="399"/>
      <c r="AR389" s="399"/>
      <c r="AS389" s="399"/>
      <c r="AT389" s="399"/>
      <c r="AU389" s="399"/>
      <c r="AV389" s="399"/>
      <c r="AW389" s="399"/>
      <c r="AX389" s="399"/>
      <c r="AY389" s="399"/>
      <c r="AZ389" s="399">
        <v>0</v>
      </c>
      <c r="BA389" s="399"/>
      <c r="BB389" s="399"/>
      <c r="BC389" s="399"/>
      <c r="BD389" s="399"/>
      <c r="BE389" s="399"/>
      <c r="BF389" s="399"/>
      <c r="BG389" s="399"/>
      <c r="BH389" s="399"/>
      <c r="BI389" s="399">
        <v>0</v>
      </c>
      <c r="BJ389" s="399">
        <v>0</v>
      </c>
      <c r="BK389" s="399">
        <v>1080682.68</v>
      </c>
      <c r="BL389" s="399">
        <v>22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/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/>
      <c r="CJ389" s="399">
        <v>-0.03</v>
      </c>
      <c r="CK389" s="399"/>
      <c r="CL389" s="399"/>
      <c r="CM389" s="399"/>
      <c r="CN389" s="399"/>
      <c r="CO389" s="399">
        <v>0</v>
      </c>
      <c r="CP389" s="399">
        <v>0</v>
      </c>
      <c r="CQ389" s="399">
        <v>31</v>
      </c>
      <c r="CR389" s="399"/>
      <c r="CS389" s="399"/>
      <c r="CT389" s="399"/>
      <c r="CU389" s="399"/>
      <c r="CV389" s="399"/>
      <c r="CW389" s="399"/>
      <c r="CX389" s="399"/>
      <c r="CY389" s="399"/>
      <c r="CZ389" s="399"/>
      <c r="DA389" s="399"/>
      <c r="DB389" s="399"/>
      <c r="DC389" s="399"/>
      <c r="DD389" s="399"/>
      <c r="DE389" s="399"/>
      <c r="DF389" s="399"/>
      <c r="DG389" s="399"/>
      <c r="DH389" s="399"/>
      <c r="DI389" s="399"/>
      <c r="DJ389" s="399"/>
      <c r="DK389" s="399">
        <v>0</v>
      </c>
      <c r="DL389" s="399"/>
      <c r="DM389" s="399"/>
      <c r="DN389" s="399"/>
      <c r="DO389" s="399"/>
      <c r="DP389" s="399"/>
      <c r="DQ389" s="399"/>
      <c r="DR389" s="399"/>
      <c r="DS389" s="399"/>
      <c r="DT389" s="399"/>
      <c r="DU389" s="399"/>
      <c r="DV389" s="399"/>
      <c r="DW389" s="399"/>
      <c r="DX389" s="399"/>
      <c r="DY389" s="399"/>
      <c r="DZ389" s="399"/>
      <c r="EA389" s="399"/>
      <c r="EB389" s="399"/>
      <c r="EC389" s="399"/>
      <c r="ED389" s="399"/>
      <c r="EE389" s="399"/>
      <c r="EF389" s="399"/>
      <c r="EG389" s="399"/>
      <c r="EH389" s="399"/>
      <c r="EI389" s="399"/>
      <c r="EJ389" s="399"/>
      <c r="EK389" s="399"/>
      <c r="EL389" s="399"/>
      <c r="EM389" s="399"/>
      <c r="EN389" s="399"/>
      <c r="EO389" s="399"/>
      <c r="EP389" s="399"/>
      <c r="EQ389" s="399"/>
      <c r="ER389" s="399"/>
      <c r="ES389" s="399"/>
      <c r="ET389" s="399"/>
      <c r="EU389" s="399"/>
      <c r="EV389" s="399">
        <v>215</v>
      </c>
      <c r="EW389" s="399"/>
      <c r="EX389" s="399"/>
      <c r="EY389" s="399"/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393</v>
      </c>
      <c r="B390" s="399" t="s">
        <v>2346</v>
      </c>
      <c r="C390" s="399" t="s">
        <v>2351</v>
      </c>
      <c r="D390" s="399" t="s">
        <v>533</v>
      </c>
      <c r="E390" s="399" t="s">
        <v>890</v>
      </c>
      <c r="F390" s="399" t="s">
        <v>1239</v>
      </c>
      <c r="G390" s="399" t="s">
        <v>1239</v>
      </c>
      <c r="H390" s="399" t="s">
        <v>1239</v>
      </c>
      <c r="I390" s="399" t="s">
        <v>1239</v>
      </c>
      <c r="J390" s="399" t="s">
        <v>2344</v>
      </c>
      <c r="K390" s="791">
        <v>44682</v>
      </c>
      <c r="L390" s="399">
        <v>0</v>
      </c>
      <c r="M390" s="399">
        <v>0</v>
      </c>
      <c r="N390" s="399">
        <v>0</v>
      </c>
      <c r="O390" s="399">
        <v>0</v>
      </c>
      <c r="P390" s="399">
        <v>0</v>
      </c>
      <c r="Q390" s="399">
        <v>0</v>
      </c>
      <c r="R390" s="399"/>
      <c r="S390" s="399"/>
      <c r="T390" s="399"/>
      <c r="U390" s="399"/>
      <c r="V390" s="399"/>
      <c r="W390" s="399"/>
      <c r="X390" s="399"/>
      <c r="Y390" s="399"/>
      <c r="Z390" s="399"/>
      <c r="AA390" s="399">
        <v>0</v>
      </c>
      <c r="AB390" s="399"/>
      <c r="AC390" s="399"/>
      <c r="AD390" s="399"/>
      <c r="AE390" s="399"/>
      <c r="AF390" s="399"/>
      <c r="AG390" s="399"/>
      <c r="AH390" s="399"/>
      <c r="AI390" s="399"/>
      <c r="AJ390" s="399"/>
      <c r="AK390" s="399"/>
      <c r="AL390" s="399"/>
      <c r="AM390" s="399"/>
      <c r="AN390" s="399"/>
      <c r="AO390" s="399"/>
      <c r="AP390" s="399"/>
      <c r="AQ390" s="399"/>
      <c r="AR390" s="399"/>
      <c r="AS390" s="399"/>
      <c r="AT390" s="399"/>
      <c r="AU390" s="399"/>
      <c r="AV390" s="399"/>
      <c r="AW390" s="399"/>
      <c r="AX390" s="399"/>
      <c r="AY390" s="399"/>
      <c r="AZ390" s="399">
        <v>0</v>
      </c>
      <c r="BA390" s="399"/>
      <c r="BB390" s="399"/>
      <c r="BC390" s="399"/>
      <c r="BD390" s="399"/>
      <c r="BE390" s="399"/>
      <c r="BF390" s="399"/>
      <c r="BG390" s="399"/>
      <c r="BH390" s="399"/>
      <c r="BI390" s="399">
        <v>0</v>
      </c>
      <c r="BJ390" s="399">
        <v>0</v>
      </c>
      <c r="BK390" s="399">
        <v>101007.75</v>
      </c>
      <c r="BL390" s="399">
        <v>3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/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/>
      <c r="CJ390" s="399">
        <v>-0.03</v>
      </c>
      <c r="CK390" s="399"/>
      <c r="CL390" s="399"/>
      <c r="CM390" s="399"/>
      <c r="CN390" s="399"/>
      <c r="CO390" s="399">
        <v>0</v>
      </c>
      <c r="CP390" s="399">
        <v>0</v>
      </c>
      <c r="CQ390" s="399">
        <v>31</v>
      </c>
      <c r="CR390" s="399"/>
      <c r="CS390" s="399"/>
      <c r="CT390" s="399"/>
      <c r="CU390" s="399"/>
      <c r="CV390" s="399"/>
      <c r="CW390" s="399"/>
      <c r="CX390" s="399"/>
      <c r="CY390" s="399"/>
      <c r="CZ390" s="399"/>
      <c r="DA390" s="399"/>
      <c r="DB390" s="399"/>
      <c r="DC390" s="399"/>
      <c r="DD390" s="399"/>
      <c r="DE390" s="399"/>
      <c r="DF390" s="399"/>
      <c r="DG390" s="399"/>
      <c r="DH390" s="399"/>
      <c r="DI390" s="399"/>
      <c r="DJ390" s="399"/>
      <c r="DK390" s="399">
        <v>0</v>
      </c>
      <c r="DL390" s="399"/>
      <c r="DM390" s="399"/>
      <c r="DN390" s="399"/>
      <c r="DO390" s="399"/>
      <c r="DP390" s="399"/>
      <c r="DQ390" s="399"/>
      <c r="DR390" s="399"/>
      <c r="DS390" s="399"/>
      <c r="DT390" s="399"/>
      <c r="DU390" s="399"/>
      <c r="DV390" s="399"/>
      <c r="DW390" s="399"/>
      <c r="DX390" s="399"/>
      <c r="DY390" s="399"/>
      <c r="DZ390" s="399"/>
      <c r="EA390" s="399"/>
      <c r="EB390" s="399"/>
      <c r="EC390" s="399"/>
      <c r="ED390" s="399"/>
      <c r="EE390" s="399"/>
      <c r="EF390" s="399"/>
      <c r="EG390" s="399"/>
      <c r="EH390" s="399"/>
      <c r="EI390" s="399"/>
      <c r="EJ390" s="399"/>
      <c r="EK390" s="399"/>
      <c r="EL390" s="399"/>
      <c r="EM390" s="399"/>
      <c r="EN390" s="399"/>
      <c r="EO390" s="399"/>
      <c r="EP390" s="399"/>
      <c r="EQ390" s="399"/>
      <c r="ER390" s="399"/>
      <c r="ES390" s="399"/>
      <c r="ET390" s="399"/>
      <c r="EU390" s="399"/>
      <c r="EV390" s="399">
        <v>215</v>
      </c>
      <c r="EW390" s="399"/>
      <c r="EX390" s="399"/>
      <c r="EY390" s="399"/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394</v>
      </c>
      <c r="B391" s="399" t="s">
        <v>956</v>
      </c>
      <c r="C391" s="399" t="s">
        <v>2352</v>
      </c>
      <c r="D391" s="399" t="s">
        <v>533</v>
      </c>
      <c r="E391" s="399" t="s">
        <v>890</v>
      </c>
      <c r="F391" s="399" t="s">
        <v>1239</v>
      </c>
      <c r="G391" s="399" t="s">
        <v>1239</v>
      </c>
      <c r="H391" s="399" t="s">
        <v>1239</v>
      </c>
      <c r="I391" s="399" t="s">
        <v>893</v>
      </c>
      <c r="J391" s="399" t="s">
        <v>2344</v>
      </c>
      <c r="K391" s="791">
        <v>44682</v>
      </c>
      <c r="L391" s="399">
        <v>0</v>
      </c>
      <c r="M391" s="399">
        <v>0</v>
      </c>
      <c r="N391" s="399">
        <v>168.45500000000001</v>
      </c>
      <c r="O391" s="399">
        <v>168.45500000000001</v>
      </c>
      <c r="P391" s="399">
        <v>168.45500000000001</v>
      </c>
      <c r="Q391" s="399">
        <v>168.45500000000001</v>
      </c>
      <c r="R391" s="399"/>
      <c r="S391" s="399">
        <v>984.21</v>
      </c>
      <c r="T391" s="399">
        <v>171.61</v>
      </c>
      <c r="U391" s="399"/>
      <c r="V391" s="399">
        <v>194703.65810000003</v>
      </c>
      <c r="W391" s="399">
        <v>194703.65810000003</v>
      </c>
      <c r="X391" s="399">
        <v>181569.22175</v>
      </c>
      <c r="Y391" s="399">
        <v>0</v>
      </c>
      <c r="Z391" s="399">
        <v>8860.3708896432108</v>
      </c>
      <c r="AA391" s="399">
        <v>0</v>
      </c>
      <c r="AB391" s="399">
        <v>0</v>
      </c>
      <c r="AC391" s="399">
        <v>0</v>
      </c>
      <c r="AD391" s="399">
        <v>66322.193229931232</v>
      </c>
      <c r="AE391" s="399">
        <v>86262.793660724448</v>
      </c>
      <c r="AF391" s="399">
        <v>27858.115527494931</v>
      </c>
      <c r="AG391" s="399">
        <v>1050.3770544455272</v>
      </c>
      <c r="AH391" s="399">
        <v>0</v>
      </c>
      <c r="AI391" s="399">
        <v>0</v>
      </c>
      <c r="AJ391" s="399">
        <v>0</v>
      </c>
      <c r="AK391" s="399">
        <v>0</v>
      </c>
      <c r="AL391" s="399">
        <v>1574.7360010086911</v>
      </c>
      <c r="AM391" s="399"/>
      <c r="AN391" s="399">
        <v>44.482307293829145</v>
      </c>
      <c r="AO391" s="399">
        <v>0</v>
      </c>
      <c r="AP391" s="399">
        <v>0</v>
      </c>
      <c r="AQ391" s="399">
        <v>0</v>
      </c>
      <c r="AR391" s="399">
        <v>0</v>
      </c>
      <c r="AS391" s="399">
        <v>0</v>
      </c>
      <c r="AT391" s="399">
        <v>0</v>
      </c>
      <c r="AU391" s="399">
        <v>0</v>
      </c>
      <c r="AV391" s="399">
        <v>0</v>
      </c>
      <c r="AW391" s="399">
        <v>0</v>
      </c>
      <c r="AX391" s="399">
        <v>0</v>
      </c>
      <c r="AY391" s="399">
        <v>0</v>
      </c>
      <c r="AZ391" s="399">
        <v>0</v>
      </c>
      <c r="BA391" s="399"/>
      <c r="BB391" s="399">
        <v>0</v>
      </c>
      <c r="BC391" s="399">
        <v>0</v>
      </c>
      <c r="BD391" s="399">
        <v>0</v>
      </c>
      <c r="BE391" s="399">
        <v>0</v>
      </c>
      <c r="BF391" s="399">
        <v>0</v>
      </c>
      <c r="BG391" s="399">
        <v>1041.2689989276732</v>
      </c>
      <c r="BH391" s="399">
        <v>0</v>
      </c>
      <c r="BI391" s="399">
        <v>0</v>
      </c>
      <c r="BJ391" s="399">
        <v>0</v>
      </c>
      <c r="BK391" s="399">
        <v>0</v>
      </c>
      <c r="BL391" s="399">
        <v>0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>
        <v>28899.384526422604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181574.611</v>
      </c>
      <c r="CJ391" s="399">
        <v>-13129.077100000053</v>
      </c>
      <c r="CK391" s="399"/>
      <c r="CL391" s="399"/>
      <c r="CM391" s="399"/>
      <c r="CN391" s="399"/>
      <c r="CO391" s="399">
        <v>-16926.358400000005</v>
      </c>
      <c r="CP391" s="399">
        <v>3791.9220499999988</v>
      </c>
      <c r="CQ391" s="399">
        <v>31</v>
      </c>
      <c r="CR391" s="399">
        <v>5515.814520693224</v>
      </c>
      <c r="CS391" s="399">
        <v>0</v>
      </c>
      <c r="CT391" s="399">
        <v>0</v>
      </c>
      <c r="CU391" s="399">
        <v>0</v>
      </c>
      <c r="CV391" s="399">
        <v>0</v>
      </c>
      <c r="CW391" s="399">
        <v>0</v>
      </c>
      <c r="CX391" s="399">
        <v>0</v>
      </c>
      <c r="CY391" s="399">
        <v>0</v>
      </c>
      <c r="CZ391" s="399">
        <v>2986.6624627095734</v>
      </c>
      <c r="DA391" s="399">
        <v>0</v>
      </c>
      <c r="DB391" s="399">
        <v>0</v>
      </c>
      <c r="DC391" s="399">
        <v>3792.8227200008805</v>
      </c>
      <c r="DD391" s="399">
        <v>0</v>
      </c>
      <c r="DE391" s="399">
        <v>0</v>
      </c>
      <c r="DF391" s="399">
        <v>0</v>
      </c>
      <c r="DG391" s="399">
        <v>141.76654242342738</v>
      </c>
      <c r="DH391" s="399">
        <v>0</v>
      </c>
      <c r="DI391" s="399">
        <v>-1216.9963389323029</v>
      </c>
      <c r="DJ391" s="399"/>
      <c r="DK391" s="399">
        <v>0</v>
      </c>
      <c r="DL391" s="399">
        <v>0</v>
      </c>
      <c r="DM391" s="399">
        <v>0</v>
      </c>
      <c r="DN391" s="399">
        <v>0</v>
      </c>
      <c r="DO391" s="399">
        <v>-181.47826356339624</v>
      </c>
      <c r="DP391" s="399">
        <v>-6.9626019449551322</v>
      </c>
      <c r="DQ391" s="399">
        <v>0</v>
      </c>
      <c r="DR391" s="399">
        <v>0</v>
      </c>
      <c r="DS391" s="399"/>
      <c r="DT391" s="399"/>
      <c r="DU391" s="399"/>
      <c r="DV391" s="399">
        <v>86262.793660724448</v>
      </c>
      <c r="DW391" s="399">
        <v>0</v>
      </c>
      <c r="DX391" s="399">
        <v>0</v>
      </c>
      <c r="DY391" s="399">
        <v>-16926.358400000026</v>
      </c>
      <c r="DZ391" s="399">
        <v>3791.9220499999974</v>
      </c>
      <c r="EA391" s="399">
        <v>0</v>
      </c>
      <c r="EB391" s="399">
        <v>0</v>
      </c>
      <c r="EC391" s="399">
        <v>-18649.5505515033</v>
      </c>
      <c r="ED391" s="399">
        <v>0</v>
      </c>
      <c r="EE391" s="399">
        <v>0</v>
      </c>
      <c r="EF391" s="399">
        <v>0</v>
      </c>
      <c r="EG391" s="399">
        <v>0</v>
      </c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>
        <v>0</v>
      </c>
      <c r="EN391" s="399">
        <v>0</v>
      </c>
      <c r="EO391" s="399">
        <v>0</v>
      </c>
      <c r="EP391" s="399">
        <v>1689.6418958367542</v>
      </c>
      <c r="EQ391" s="399">
        <v>0</v>
      </c>
      <c r="ER391" s="399">
        <v>0</v>
      </c>
      <c r="ES391" s="399">
        <v>0</v>
      </c>
      <c r="ET391" s="399">
        <v>0</v>
      </c>
      <c r="EU391" s="399">
        <v>0</v>
      </c>
      <c r="EV391" s="399">
        <v>215</v>
      </c>
      <c r="EW391" s="399">
        <v>0</v>
      </c>
      <c r="EX391" s="399">
        <v>0</v>
      </c>
      <c r="EY391" s="399">
        <v>0</v>
      </c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395</v>
      </c>
      <c r="B392" s="399" t="s">
        <v>2346</v>
      </c>
      <c r="C392" s="399" t="s">
        <v>2352</v>
      </c>
      <c r="D392" s="399" t="s">
        <v>533</v>
      </c>
      <c r="E392" s="399" t="s">
        <v>890</v>
      </c>
      <c r="F392" s="399" t="s">
        <v>1239</v>
      </c>
      <c r="G392" s="399" t="s">
        <v>1239</v>
      </c>
      <c r="H392" s="399" t="s">
        <v>1239</v>
      </c>
      <c r="I392" s="399" t="s">
        <v>893</v>
      </c>
      <c r="J392" s="399" t="s">
        <v>2344</v>
      </c>
      <c r="K392" s="791">
        <v>44682</v>
      </c>
      <c r="L392" s="399">
        <v>0</v>
      </c>
      <c r="M392" s="399">
        <v>0</v>
      </c>
      <c r="N392" s="399">
        <v>1.2649999999999999</v>
      </c>
      <c r="O392" s="399">
        <v>1.2649999999999999</v>
      </c>
      <c r="P392" s="399">
        <v>1.2649999999999999</v>
      </c>
      <c r="Q392" s="399">
        <v>1.2649999999999999</v>
      </c>
      <c r="R392" s="399"/>
      <c r="S392" s="399">
        <v>984.21</v>
      </c>
      <c r="T392" s="399">
        <v>171.61</v>
      </c>
      <c r="U392" s="399"/>
      <c r="V392" s="399">
        <v>1462.1123</v>
      </c>
      <c r="W392" s="399">
        <v>1462.1123</v>
      </c>
      <c r="X392" s="399">
        <v>1363.4802499999998</v>
      </c>
      <c r="Y392" s="399">
        <v>0</v>
      </c>
      <c r="Z392" s="399">
        <v>66.536280759838888</v>
      </c>
      <c r="AA392" s="399">
        <v>0</v>
      </c>
      <c r="AB392" s="399">
        <v>0</v>
      </c>
      <c r="AC392" s="399">
        <v>0</v>
      </c>
      <c r="AD392" s="399">
        <v>498.04146173080642</v>
      </c>
      <c r="AE392" s="399">
        <v>647.78388282221601</v>
      </c>
      <c r="AF392" s="399">
        <v>209.19839804268844</v>
      </c>
      <c r="AG392" s="399">
        <v>7.8877265374942365</v>
      </c>
      <c r="AH392" s="399">
        <v>0</v>
      </c>
      <c r="AI392" s="399">
        <v>0</v>
      </c>
      <c r="AJ392" s="399">
        <v>0</v>
      </c>
      <c r="AK392" s="399">
        <v>0</v>
      </c>
      <c r="AL392" s="399">
        <v>11.82536013342432</v>
      </c>
      <c r="AM392" s="399"/>
      <c r="AN392" s="399">
        <v>0.3340365007075709</v>
      </c>
      <c r="AO392" s="399">
        <v>0</v>
      </c>
      <c r="AP392" s="399">
        <v>0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>
        <v>0</v>
      </c>
      <c r="BG392" s="399">
        <v>7.8193302878721704</v>
      </c>
      <c r="BH392" s="399">
        <v>0</v>
      </c>
      <c r="BI392" s="399">
        <v>0</v>
      </c>
      <c r="BJ392" s="399">
        <v>0</v>
      </c>
      <c r="BK392" s="399">
        <v>0</v>
      </c>
      <c r="BL392" s="399">
        <v>0</v>
      </c>
      <c r="BM392" s="399"/>
      <c r="BN392" s="399"/>
      <c r="BO392" s="399"/>
      <c r="BP392" s="399"/>
      <c r="BQ392" s="399"/>
      <c r="BR392" s="399"/>
      <c r="BS392" s="399"/>
      <c r="BT392" s="399"/>
      <c r="BU392" s="399"/>
      <c r="BV392" s="399">
        <v>217.0177283305606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1368.8695</v>
      </c>
      <c r="CJ392" s="399">
        <v>-93.272799999999961</v>
      </c>
      <c r="CK392" s="399"/>
      <c r="CL392" s="399"/>
      <c r="CM392" s="399"/>
      <c r="CN392" s="399"/>
      <c r="CO392" s="399">
        <v>-127.10720000000002</v>
      </c>
      <c r="CP392" s="399">
        <v>28.475149999999985</v>
      </c>
      <c r="CQ392" s="399">
        <v>31</v>
      </c>
      <c r="CR392" s="399">
        <v>41.420589288990755</v>
      </c>
      <c r="CS392" s="399">
        <v>0</v>
      </c>
      <c r="CT392" s="399">
        <v>0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22.428114424194064</v>
      </c>
      <c r="DA392" s="399">
        <v>0</v>
      </c>
      <c r="DB392" s="399">
        <v>0</v>
      </c>
      <c r="DC392" s="399">
        <v>28.481913512814174</v>
      </c>
      <c r="DD392" s="399">
        <v>0</v>
      </c>
      <c r="DE392" s="399">
        <v>0</v>
      </c>
      <c r="DF392" s="399">
        <v>0</v>
      </c>
      <c r="DG392" s="399">
        <v>1.0645850593074444</v>
      </c>
      <c r="DH392" s="399">
        <v>0</v>
      </c>
      <c r="DI392" s="399">
        <v>-9.1389413715791363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-1.362797206421277</v>
      </c>
      <c r="DP392" s="399">
        <v>-5.2285129324556923E-2</v>
      </c>
      <c r="DQ392" s="399">
        <v>0</v>
      </c>
      <c r="DR392" s="399">
        <v>0</v>
      </c>
      <c r="DS392" s="399"/>
      <c r="DT392" s="399"/>
      <c r="DU392" s="399"/>
      <c r="DV392" s="399">
        <v>647.78388282221601</v>
      </c>
      <c r="DW392" s="399">
        <v>0</v>
      </c>
      <c r="DX392" s="399">
        <v>0</v>
      </c>
      <c r="DY392" s="399">
        <v>-127.10720000000015</v>
      </c>
      <c r="DZ392" s="399">
        <v>28.475149999999985</v>
      </c>
      <c r="EA392" s="399">
        <v>0</v>
      </c>
      <c r="EB392" s="399">
        <v>0</v>
      </c>
      <c r="EC392" s="399">
        <v>-140.04738029534093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12.688237204199897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215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396</v>
      </c>
      <c r="B393" s="399" t="s">
        <v>956</v>
      </c>
      <c r="C393" s="399" t="s">
        <v>2352</v>
      </c>
      <c r="D393" s="399" t="s">
        <v>533</v>
      </c>
      <c r="E393" s="399" t="s">
        <v>890</v>
      </c>
      <c r="F393" s="399" t="s">
        <v>1239</v>
      </c>
      <c r="G393" s="399" t="s">
        <v>1239</v>
      </c>
      <c r="H393" s="399" t="s">
        <v>1239</v>
      </c>
      <c r="I393" s="399" t="s">
        <v>2326</v>
      </c>
      <c r="J393" s="399" t="s">
        <v>2344</v>
      </c>
      <c r="K393" s="791">
        <v>44682</v>
      </c>
      <c r="L393" s="399">
        <v>0</v>
      </c>
      <c r="M393" s="399">
        <v>0</v>
      </c>
      <c r="N393" s="399">
        <v>2003.8409999999999</v>
      </c>
      <c r="O393" s="399">
        <v>2003.8409999999999</v>
      </c>
      <c r="P393" s="399">
        <v>2003.8409999999999</v>
      </c>
      <c r="Q393" s="399">
        <v>2003.8409999999999</v>
      </c>
      <c r="R393" s="399"/>
      <c r="S393" s="399">
        <v>78.42</v>
      </c>
      <c r="T393" s="399">
        <v>171.61</v>
      </c>
      <c r="U393" s="399"/>
      <c r="V393" s="399">
        <v>501020.36523</v>
      </c>
      <c r="W393" s="399">
        <v>501020.36523</v>
      </c>
      <c r="X393" s="399">
        <v>531098.01863999991</v>
      </c>
      <c r="Y393" s="399">
        <v>0</v>
      </c>
      <c r="Z393" s="399">
        <v>105397.72914946744</v>
      </c>
      <c r="AA393" s="399">
        <v>0</v>
      </c>
      <c r="AB393" s="399">
        <v>0</v>
      </c>
      <c r="AC393" s="399">
        <v>0</v>
      </c>
      <c r="AD393" s="399">
        <v>0</v>
      </c>
      <c r="AE393" s="399">
        <v>0</v>
      </c>
      <c r="AF393" s="399">
        <v>331383.65781206236</v>
      </c>
      <c r="AG393" s="399">
        <v>12494.663899303549</v>
      </c>
      <c r="AH393" s="399">
        <v>0</v>
      </c>
      <c r="AI393" s="399">
        <v>0</v>
      </c>
      <c r="AJ393" s="399">
        <v>0</v>
      </c>
      <c r="AK393" s="399">
        <v>0</v>
      </c>
      <c r="AL393" s="399">
        <v>18732.127648317095</v>
      </c>
      <c r="AM393" s="399"/>
      <c r="AN393" s="399">
        <v>529.13520601925654</v>
      </c>
      <c r="AO393" s="399">
        <v>0</v>
      </c>
      <c r="AP393" s="399">
        <v>0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>
        <v>0</v>
      </c>
      <c r="BG393" s="399">
        <v>12386.319860379492</v>
      </c>
      <c r="BH393" s="399">
        <v>0</v>
      </c>
      <c r="BI393" s="399">
        <v>0</v>
      </c>
      <c r="BJ393" s="399">
        <v>0</v>
      </c>
      <c r="BK393" s="399">
        <v>0</v>
      </c>
      <c r="BL393" s="399">
        <v>0</v>
      </c>
      <c r="BM393" s="399"/>
      <c r="BN393" s="399"/>
      <c r="BO393" s="399"/>
      <c r="BP393" s="399"/>
      <c r="BQ393" s="399"/>
      <c r="BR393" s="399"/>
      <c r="BS393" s="399"/>
      <c r="BT393" s="399"/>
      <c r="BU393" s="399"/>
      <c r="BV393" s="399">
        <v>343769.97767244186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531097.75360000005</v>
      </c>
      <c r="CJ393" s="399">
        <v>30077.358370000031</v>
      </c>
      <c r="CK393" s="399"/>
      <c r="CL393" s="399"/>
      <c r="CM393" s="399"/>
      <c r="CN393" s="399"/>
      <c r="CO393" s="399">
        <v>-15028.807499999999</v>
      </c>
      <c r="CP393" s="399">
        <v>45106.46090999998</v>
      </c>
      <c r="CQ393" s="399">
        <v>31</v>
      </c>
      <c r="CR393" s="399">
        <v>30085.296304781747</v>
      </c>
      <c r="CS393" s="399">
        <v>0</v>
      </c>
      <c r="CT393" s="399">
        <v>0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0</v>
      </c>
      <c r="DA393" s="399">
        <v>0</v>
      </c>
      <c r="DB393" s="399">
        <v>0</v>
      </c>
      <c r="DC393" s="399">
        <v>45117.174747376353</v>
      </c>
      <c r="DD393" s="399">
        <v>0</v>
      </c>
      <c r="DE393" s="399">
        <v>0</v>
      </c>
      <c r="DF393" s="399">
        <v>0</v>
      </c>
      <c r="DG393" s="399">
        <v>1686.3709010495568</v>
      </c>
      <c r="DH393" s="399">
        <v>0</v>
      </c>
      <c r="DI393" s="399">
        <v>-14476.668313807517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-2158.7580370849173</v>
      </c>
      <c r="DP393" s="399">
        <v>-82.822992751659626</v>
      </c>
      <c r="DQ393" s="399">
        <v>0</v>
      </c>
      <c r="DR393" s="399">
        <v>0</v>
      </c>
      <c r="DS393" s="399"/>
      <c r="DT393" s="399"/>
      <c r="DU393" s="399"/>
      <c r="DV393" s="399">
        <v>0</v>
      </c>
      <c r="DW393" s="399">
        <v>0</v>
      </c>
      <c r="DX393" s="399">
        <v>0</v>
      </c>
      <c r="DY393" s="399">
        <v>-15028.807499999995</v>
      </c>
      <c r="DZ393" s="399">
        <v>45106.460909999965</v>
      </c>
      <c r="EA393" s="399">
        <v>0</v>
      </c>
      <c r="EB393" s="399">
        <v>0</v>
      </c>
      <c r="EC393" s="399">
        <v>0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20098.980179842787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215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397</v>
      </c>
      <c r="B394" s="399" t="s">
        <v>2346</v>
      </c>
      <c r="C394" s="399" t="s">
        <v>2352</v>
      </c>
      <c r="D394" s="399" t="s">
        <v>533</v>
      </c>
      <c r="E394" s="399" t="s">
        <v>890</v>
      </c>
      <c r="F394" s="399" t="s">
        <v>1239</v>
      </c>
      <c r="G394" s="399" t="s">
        <v>1239</v>
      </c>
      <c r="H394" s="399" t="s">
        <v>1239</v>
      </c>
      <c r="I394" s="399" t="s">
        <v>2326</v>
      </c>
      <c r="J394" s="399" t="s">
        <v>2344</v>
      </c>
      <c r="K394" s="791">
        <v>44682</v>
      </c>
      <c r="L394" s="399">
        <v>0</v>
      </c>
      <c r="M394" s="399">
        <v>0</v>
      </c>
      <c r="N394" s="399">
        <v>10.419</v>
      </c>
      <c r="O394" s="399">
        <v>10.419</v>
      </c>
      <c r="P394" s="399">
        <v>10.419</v>
      </c>
      <c r="Q394" s="399">
        <v>10.419</v>
      </c>
      <c r="R394" s="399"/>
      <c r="S394" s="399">
        <v>78.42</v>
      </c>
      <c r="T394" s="399">
        <v>171.61</v>
      </c>
      <c r="U394" s="399"/>
      <c r="V394" s="399">
        <v>2605.0625700000001</v>
      </c>
      <c r="W394" s="399">
        <v>2605.0625700000001</v>
      </c>
      <c r="X394" s="399">
        <v>2761.4517599999999</v>
      </c>
      <c r="Y394" s="399">
        <v>0</v>
      </c>
      <c r="Z394" s="399">
        <v>548.0170033492185</v>
      </c>
      <c r="AA394" s="399">
        <v>0</v>
      </c>
      <c r="AB394" s="399">
        <v>0</v>
      </c>
      <c r="AC394" s="399">
        <v>0</v>
      </c>
      <c r="AD394" s="399">
        <v>0</v>
      </c>
      <c r="AE394" s="399">
        <v>0</v>
      </c>
      <c r="AF394" s="399">
        <v>1723.0340784243251</v>
      </c>
      <c r="AG394" s="399">
        <v>64.966184026997993</v>
      </c>
      <c r="AH394" s="399">
        <v>0</v>
      </c>
      <c r="AI394" s="399">
        <v>0</v>
      </c>
      <c r="AJ394" s="399">
        <v>0</v>
      </c>
      <c r="AK394" s="399">
        <v>0</v>
      </c>
      <c r="AL394" s="399">
        <v>97.397966189840318</v>
      </c>
      <c r="AM394" s="399"/>
      <c r="AN394" s="399">
        <v>2.7512460876459932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64.402847643747151</v>
      </c>
      <c r="BH394" s="399">
        <v>0</v>
      </c>
      <c r="BI394" s="399">
        <v>0</v>
      </c>
      <c r="BJ394" s="399">
        <v>0</v>
      </c>
      <c r="BK394" s="399">
        <v>0</v>
      </c>
      <c r="BL394" s="399">
        <v>0</v>
      </c>
      <c r="BM394" s="399"/>
      <c r="BN394" s="399"/>
      <c r="BO394" s="399"/>
      <c r="BP394" s="399"/>
      <c r="BQ394" s="399"/>
      <c r="BR394" s="399"/>
      <c r="BS394" s="399"/>
      <c r="BT394" s="399"/>
      <c r="BU394" s="399"/>
      <c r="BV394" s="399">
        <v>1787.4369260680724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2761.7168000000001</v>
      </c>
      <c r="CJ394" s="399">
        <v>156.62422999999944</v>
      </c>
      <c r="CK394" s="399"/>
      <c r="CL394" s="399"/>
      <c r="CM394" s="399"/>
      <c r="CN394" s="399"/>
      <c r="CO394" s="399">
        <v>-78.142499999999998</v>
      </c>
      <c r="CP394" s="399">
        <v>234.53168999999991</v>
      </c>
      <c r="CQ394" s="399">
        <v>31</v>
      </c>
      <c r="CR394" s="399">
        <v>156.42892934096153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0</v>
      </c>
      <c r="DA394" s="399">
        <v>0</v>
      </c>
      <c r="DB394" s="399">
        <v>0</v>
      </c>
      <c r="DC394" s="399">
        <v>234.58739675099673</v>
      </c>
      <c r="DD394" s="399">
        <v>0</v>
      </c>
      <c r="DE394" s="399">
        <v>0</v>
      </c>
      <c r="DF394" s="399">
        <v>0</v>
      </c>
      <c r="DG394" s="399">
        <v>8.7683096702958636</v>
      </c>
      <c r="DH394" s="399">
        <v>0</v>
      </c>
      <c r="DI394" s="399">
        <v>-75.271644387733602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-11.224493354706155</v>
      </c>
      <c r="DP394" s="399">
        <v>-0.43063933789135067</v>
      </c>
      <c r="DQ394" s="399">
        <v>0</v>
      </c>
      <c r="DR394" s="399">
        <v>0</v>
      </c>
      <c r="DS394" s="399"/>
      <c r="DT394" s="399"/>
      <c r="DU394" s="399"/>
      <c r="DV394" s="399">
        <v>0</v>
      </c>
      <c r="DW394" s="399">
        <v>0</v>
      </c>
      <c r="DX394" s="399">
        <v>0</v>
      </c>
      <c r="DY394" s="399">
        <v>-78.142500000000041</v>
      </c>
      <c r="DZ394" s="399">
        <v>234.5316899999998</v>
      </c>
      <c r="EA394" s="399">
        <v>0</v>
      </c>
      <c r="EB394" s="399">
        <v>0</v>
      </c>
      <c r="EC394" s="399">
        <v>0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104.50493551822825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215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398</v>
      </c>
      <c r="B395" s="399" t="s">
        <v>956</v>
      </c>
      <c r="C395" s="399" t="s">
        <v>2352</v>
      </c>
      <c r="D395" s="399" t="s">
        <v>533</v>
      </c>
      <c r="E395" s="399" t="s">
        <v>890</v>
      </c>
      <c r="F395" s="399" t="s">
        <v>1239</v>
      </c>
      <c r="G395" s="399" t="s">
        <v>1239</v>
      </c>
      <c r="H395" s="399" t="s">
        <v>1239</v>
      </c>
      <c r="I395" s="399" t="s">
        <v>1239</v>
      </c>
      <c r="J395" s="399" t="s">
        <v>2344</v>
      </c>
      <c r="K395" s="791">
        <v>44682</v>
      </c>
      <c r="L395" s="399">
        <v>10019</v>
      </c>
      <c r="M395" s="399">
        <v>10019</v>
      </c>
      <c r="N395" s="399">
        <v>0</v>
      </c>
      <c r="O395" s="399">
        <v>0</v>
      </c>
      <c r="P395" s="399">
        <v>0</v>
      </c>
      <c r="Q395" s="399">
        <v>0</v>
      </c>
      <c r="R395" s="399">
        <v>12.58</v>
      </c>
      <c r="S395" s="399"/>
      <c r="T395" s="399"/>
      <c r="U395" s="399">
        <v>126039.02</v>
      </c>
      <c r="V395" s="399"/>
      <c r="W395" s="399">
        <v>126039.02</v>
      </c>
      <c r="X395" s="399">
        <v>116120.20999999999</v>
      </c>
      <c r="Y395" s="399">
        <v>0</v>
      </c>
      <c r="Z395" s="399">
        <v>0</v>
      </c>
      <c r="AA395" s="399">
        <v>0</v>
      </c>
      <c r="AB395" s="399">
        <v>0</v>
      </c>
      <c r="AC395" s="399">
        <v>0</v>
      </c>
      <c r="AD395" s="399">
        <v>66400.315573942542</v>
      </c>
      <c r="AE395" s="399">
        <v>59610.134725564858</v>
      </c>
      <c r="AF395" s="399"/>
      <c r="AG395" s="399"/>
      <c r="AH395" s="399"/>
      <c r="AI395" s="399">
        <v>0</v>
      </c>
      <c r="AJ395" s="399">
        <v>0</v>
      </c>
      <c r="AK395" s="399">
        <v>0</v>
      </c>
      <c r="AL395" s="399">
        <v>0</v>
      </c>
      <c r="AM395" s="399"/>
      <c r="AN395" s="399">
        <v>0</v>
      </c>
      <c r="AO395" s="399">
        <v>0</v>
      </c>
      <c r="AP395" s="399">
        <v>0</v>
      </c>
      <c r="AQ395" s="399">
        <v>0</v>
      </c>
      <c r="AR395" s="399">
        <v>0</v>
      </c>
      <c r="AS395" s="399"/>
      <c r="AT395" s="399"/>
      <c r="AU395" s="399">
        <v>0</v>
      </c>
      <c r="AV395" s="399">
        <v>0</v>
      </c>
      <c r="AW395" s="399">
        <v>0</v>
      </c>
      <c r="AX395" s="399"/>
      <c r="AY395" s="399"/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/>
      <c r="BG395" s="399">
        <v>0</v>
      </c>
      <c r="BH395" s="399">
        <v>0</v>
      </c>
      <c r="BI395" s="399">
        <v>0</v>
      </c>
      <c r="BJ395" s="399">
        <v>0</v>
      </c>
      <c r="BK395" s="399">
        <v>276706.26</v>
      </c>
      <c r="BL395" s="399">
        <v>52</v>
      </c>
      <c r="BM395" s="399"/>
      <c r="BN395" s="399"/>
      <c r="BO395" s="399"/>
      <c r="BP395" s="399"/>
      <c r="BQ395" s="399"/>
      <c r="BR395" s="399"/>
      <c r="BS395" s="399"/>
      <c r="BT395" s="399"/>
      <c r="BU395" s="399"/>
      <c r="BV395" s="399">
        <v>0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116120.20999999999</v>
      </c>
      <c r="CJ395" s="399">
        <v>-9918.8399999999965</v>
      </c>
      <c r="CK395" s="399"/>
      <c r="CL395" s="399"/>
      <c r="CM395" s="399"/>
      <c r="CN395" s="399"/>
      <c r="CO395" s="399">
        <v>-9918.8100000000013</v>
      </c>
      <c r="CP395" s="399">
        <v>0</v>
      </c>
      <c r="CQ395" s="399">
        <v>31</v>
      </c>
      <c r="CR395" s="399">
        <v>2990.1805169382569</v>
      </c>
      <c r="CS395" s="399">
        <v>0</v>
      </c>
      <c r="CT395" s="399">
        <v>0</v>
      </c>
      <c r="CU395" s="399">
        <v>0</v>
      </c>
      <c r="CV395" s="399">
        <v>0</v>
      </c>
      <c r="CW395" s="399"/>
      <c r="CX395" s="399"/>
      <c r="CY395" s="399"/>
      <c r="CZ395" s="399">
        <v>2990.1805169382569</v>
      </c>
      <c r="DA395" s="399">
        <v>0</v>
      </c>
      <c r="DB395" s="399">
        <v>0</v>
      </c>
      <c r="DC395" s="399"/>
      <c r="DD395" s="399"/>
      <c r="DE395" s="399">
        <v>0</v>
      </c>
      <c r="DF395" s="399">
        <v>0</v>
      </c>
      <c r="DG395" s="399">
        <v>0</v>
      </c>
      <c r="DH395" s="399">
        <v>0</v>
      </c>
      <c r="DI395" s="399">
        <v>0</v>
      </c>
      <c r="DJ395" s="399"/>
      <c r="DK395" s="399">
        <v>0</v>
      </c>
      <c r="DL395" s="399">
        <v>0</v>
      </c>
      <c r="DM395" s="399"/>
      <c r="DN395" s="399">
        <v>0</v>
      </c>
      <c r="DO395" s="399">
        <v>0</v>
      </c>
      <c r="DP395" s="399">
        <v>0</v>
      </c>
      <c r="DQ395" s="399">
        <v>0</v>
      </c>
      <c r="DR395" s="399">
        <v>0</v>
      </c>
      <c r="DS395" s="399"/>
      <c r="DT395" s="399"/>
      <c r="DU395" s="399">
        <v>59610.134725564858</v>
      </c>
      <c r="DV395" s="399"/>
      <c r="DW395" s="399">
        <v>0</v>
      </c>
      <c r="DX395" s="399">
        <v>0</v>
      </c>
      <c r="DY395" s="399">
        <v>-9918.8100000000122</v>
      </c>
      <c r="DZ395" s="399"/>
      <c r="EA395" s="399">
        <v>0</v>
      </c>
      <c r="EB395" s="399"/>
      <c r="EC395" s="399">
        <v>-12887.389496318901</v>
      </c>
      <c r="ED395" s="399"/>
      <c r="EE395" s="399">
        <v>0</v>
      </c>
      <c r="EF395" s="399">
        <v>0</v>
      </c>
      <c r="EG395" s="399"/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/>
      <c r="EN395" s="399"/>
      <c r="EO395" s="399">
        <v>0</v>
      </c>
      <c r="EP395" s="399">
        <v>0</v>
      </c>
      <c r="EQ395" s="399"/>
      <c r="ER395" s="399">
        <v>0</v>
      </c>
      <c r="ES395" s="399"/>
      <c r="ET395" s="399">
        <v>0</v>
      </c>
      <c r="EU395" s="399"/>
      <c r="EV395" s="399">
        <v>215</v>
      </c>
      <c r="EW395" s="399"/>
      <c r="EX395" s="399"/>
      <c r="EY395" s="399"/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399</v>
      </c>
      <c r="B396" s="399" t="s">
        <v>2346</v>
      </c>
      <c r="C396" s="399" t="s">
        <v>2352</v>
      </c>
      <c r="D396" s="399" t="s">
        <v>533</v>
      </c>
      <c r="E396" s="399" t="s">
        <v>890</v>
      </c>
      <c r="F396" s="399" t="s">
        <v>1239</v>
      </c>
      <c r="G396" s="399" t="s">
        <v>1239</v>
      </c>
      <c r="H396" s="399" t="s">
        <v>1239</v>
      </c>
      <c r="I396" s="399" t="s">
        <v>1239</v>
      </c>
      <c r="J396" s="399" t="s">
        <v>2344</v>
      </c>
      <c r="K396" s="791">
        <v>44682</v>
      </c>
      <c r="L396" s="399">
        <v>821</v>
      </c>
      <c r="M396" s="399">
        <v>821</v>
      </c>
      <c r="N396" s="399">
        <v>0</v>
      </c>
      <c r="O396" s="399">
        <v>0</v>
      </c>
      <c r="P396" s="399">
        <v>0</v>
      </c>
      <c r="Q396" s="399">
        <v>0</v>
      </c>
      <c r="R396" s="399">
        <v>12.58</v>
      </c>
      <c r="S396" s="399"/>
      <c r="T396" s="399"/>
      <c r="U396" s="399">
        <v>10328.18</v>
      </c>
      <c r="V396" s="399"/>
      <c r="W396" s="399">
        <v>10328.18</v>
      </c>
      <c r="X396" s="399">
        <v>9515.39</v>
      </c>
      <c r="Y396" s="399">
        <v>0</v>
      </c>
      <c r="Z396" s="399">
        <v>0</v>
      </c>
      <c r="AA396" s="399">
        <v>0</v>
      </c>
      <c r="AB396" s="399">
        <v>0</v>
      </c>
      <c r="AC396" s="399">
        <v>0</v>
      </c>
      <c r="AD396" s="399">
        <v>5441.1277658655381</v>
      </c>
      <c r="AE396" s="399">
        <v>4884.7111098601408</v>
      </c>
      <c r="AF396" s="399"/>
      <c r="AG396" s="399"/>
      <c r="AH396" s="399"/>
      <c r="AI396" s="399">
        <v>0</v>
      </c>
      <c r="AJ396" s="399">
        <v>0</v>
      </c>
      <c r="AK396" s="399">
        <v>0</v>
      </c>
      <c r="AL396" s="399">
        <v>0</v>
      </c>
      <c r="AM396" s="399"/>
      <c r="AN396" s="399">
        <v>0</v>
      </c>
      <c r="AO396" s="399">
        <v>0</v>
      </c>
      <c r="AP396" s="399">
        <v>0</v>
      </c>
      <c r="AQ396" s="399">
        <v>0</v>
      </c>
      <c r="AR396" s="399">
        <v>0</v>
      </c>
      <c r="AS396" s="399"/>
      <c r="AT396" s="399"/>
      <c r="AU396" s="399">
        <v>0</v>
      </c>
      <c r="AV396" s="399">
        <v>0</v>
      </c>
      <c r="AW396" s="399">
        <v>0</v>
      </c>
      <c r="AX396" s="399"/>
      <c r="AY396" s="399"/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/>
      <c r="BG396" s="399">
        <v>0</v>
      </c>
      <c r="BH396" s="399">
        <v>0</v>
      </c>
      <c r="BI396" s="399">
        <v>0</v>
      </c>
      <c r="BJ396" s="399">
        <v>0</v>
      </c>
      <c r="BK396" s="399">
        <v>9640.91</v>
      </c>
      <c r="BL396" s="399">
        <v>3</v>
      </c>
      <c r="BM396" s="399"/>
      <c r="BN396" s="399"/>
      <c r="BO396" s="399"/>
      <c r="BP396" s="399"/>
      <c r="BQ396" s="399"/>
      <c r="BR396" s="399"/>
      <c r="BS396" s="399"/>
      <c r="BT396" s="399"/>
      <c r="BU396" s="399"/>
      <c r="BV396" s="399">
        <v>0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9515.39</v>
      </c>
      <c r="CJ396" s="399">
        <v>-812.82000000000153</v>
      </c>
      <c r="CK396" s="399"/>
      <c r="CL396" s="399"/>
      <c r="CM396" s="399"/>
      <c r="CN396" s="399"/>
      <c r="CO396" s="399">
        <v>-812.79000000000019</v>
      </c>
      <c r="CP396" s="399">
        <v>0</v>
      </c>
      <c r="CQ396" s="399">
        <v>31</v>
      </c>
      <c r="CR396" s="399">
        <v>245.02826673383697</v>
      </c>
      <c r="CS396" s="399">
        <v>0</v>
      </c>
      <c r="CT396" s="399">
        <v>0</v>
      </c>
      <c r="CU396" s="399">
        <v>0</v>
      </c>
      <c r="CV396" s="399">
        <v>0</v>
      </c>
      <c r="CW396" s="399"/>
      <c r="CX396" s="399"/>
      <c r="CY396" s="399"/>
      <c r="CZ396" s="399">
        <v>245.02826673383697</v>
      </c>
      <c r="DA396" s="399">
        <v>0</v>
      </c>
      <c r="DB396" s="399">
        <v>0</v>
      </c>
      <c r="DC396" s="399"/>
      <c r="DD396" s="399"/>
      <c r="DE396" s="399">
        <v>0</v>
      </c>
      <c r="DF396" s="399">
        <v>0</v>
      </c>
      <c r="DG396" s="399">
        <v>0</v>
      </c>
      <c r="DH396" s="399">
        <v>0</v>
      </c>
      <c r="DI396" s="399">
        <v>0</v>
      </c>
      <c r="DJ396" s="399"/>
      <c r="DK396" s="399">
        <v>0</v>
      </c>
      <c r="DL396" s="399">
        <v>0</v>
      </c>
      <c r="DM396" s="399"/>
      <c r="DN396" s="399">
        <v>0</v>
      </c>
      <c r="DO396" s="399">
        <v>0</v>
      </c>
      <c r="DP396" s="399">
        <v>0</v>
      </c>
      <c r="DQ396" s="399">
        <v>0</v>
      </c>
      <c r="DR396" s="399">
        <v>0</v>
      </c>
      <c r="DS396" s="399"/>
      <c r="DT396" s="399"/>
      <c r="DU396" s="399">
        <v>4884.7111098601408</v>
      </c>
      <c r="DV396" s="399"/>
      <c r="DW396" s="399">
        <v>0</v>
      </c>
      <c r="DX396" s="399">
        <v>0</v>
      </c>
      <c r="DY396" s="399">
        <v>-812.79000000000087</v>
      </c>
      <c r="DZ396" s="399"/>
      <c r="EA396" s="399">
        <v>0</v>
      </c>
      <c r="EB396" s="399"/>
      <c r="EC396" s="399">
        <v>-1056.0481860942032</v>
      </c>
      <c r="ED396" s="399"/>
      <c r="EE396" s="399">
        <v>0</v>
      </c>
      <c r="EF396" s="399">
        <v>0</v>
      </c>
      <c r="EG396" s="399"/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/>
      <c r="EN396" s="399"/>
      <c r="EO396" s="399">
        <v>0</v>
      </c>
      <c r="EP396" s="399">
        <v>0</v>
      </c>
      <c r="EQ396" s="399"/>
      <c r="ER396" s="399">
        <v>0</v>
      </c>
      <c r="ES396" s="399"/>
      <c r="ET396" s="399">
        <v>0</v>
      </c>
      <c r="EU396" s="399"/>
      <c r="EV396" s="399">
        <v>215</v>
      </c>
      <c r="EW396" s="399"/>
      <c r="EX396" s="399"/>
      <c r="EY396" s="399"/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400</v>
      </c>
      <c r="B397" s="399" t="s">
        <v>956</v>
      </c>
      <c r="C397" s="399" t="s">
        <v>2343</v>
      </c>
      <c r="D397" s="399" t="s">
        <v>1826</v>
      </c>
      <c r="E397" s="399" t="s">
        <v>918</v>
      </c>
      <c r="F397" s="399" t="s">
        <v>1239</v>
      </c>
      <c r="G397" s="399" t="s">
        <v>1239</v>
      </c>
      <c r="H397" s="399" t="s">
        <v>1239</v>
      </c>
      <c r="I397" s="399" t="s">
        <v>1239</v>
      </c>
      <c r="J397" s="399" t="s">
        <v>2344</v>
      </c>
      <c r="K397" s="791">
        <v>44682</v>
      </c>
      <c r="L397" s="399">
        <v>0</v>
      </c>
      <c r="M397" s="399">
        <v>0</v>
      </c>
      <c r="N397" s="399">
        <v>482.63299999999998</v>
      </c>
      <c r="O397" s="399">
        <v>482.63299999999998</v>
      </c>
      <c r="P397" s="399">
        <v>482.63299999999998</v>
      </c>
      <c r="Q397" s="399">
        <v>482.63299999999998</v>
      </c>
      <c r="R397" s="399"/>
      <c r="S397" s="399">
        <v>239.69</v>
      </c>
      <c r="T397" s="399">
        <v>171.61</v>
      </c>
      <c r="U397" s="399"/>
      <c r="V397" s="399">
        <v>198506.9529</v>
      </c>
      <c r="W397" s="399">
        <v>198506.9529</v>
      </c>
      <c r="X397" s="399">
        <v>197778.17706999998</v>
      </c>
      <c r="Y397" s="399">
        <v>0</v>
      </c>
      <c r="Z397" s="399">
        <v>29178.687739733159</v>
      </c>
      <c r="AA397" s="399">
        <v>0</v>
      </c>
      <c r="AB397" s="399">
        <v>0</v>
      </c>
      <c r="AC397" s="399">
        <v>0</v>
      </c>
      <c r="AD397" s="399">
        <v>25741.710323199957</v>
      </c>
      <c r="AE397" s="399">
        <v>42768.391173209428</v>
      </c>
      <c r="AF397" s="399">
        <v>79815.059638369057</v>
      </c>
      <c r="AG397" s="399">
        <v>3009.3890292256569</v>
      </c>
      <c r="AH397" s="399">
        <v>0</v>
      </c>
      <c r="AI397" s="399">
        <v>0</v>
      </c>
      <c r="AJ397" s="399">
        <v>0</v>
      </c>
      <c r="AK397" s="399">
        <v>0</v>
      </c>
      <c r="AL397" s="399">
        <v>4511.7067488339762</v>
      </c>
      <c r="AM397" s="399"/>
      <c r="AN397" s="399">
        <v>191.14759426558476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7726.9123035982539</v>
      </c>
      <c r="BH397" s="399">
        <v>0</v>
      </c>
      <c r="BI397" s="399">
        <v>0</v>
      </c>
      <c r="BJ397" s="399">
        <v>0</v>
      </c>
      <c r="BK397" s="399">
        <v>65858.740000000005</v>
      </c>
      <c r="BL397" s="399">
        <v>565</v>
      </c>
      <c r="BM397" s="399"/>
      <c r="BN397" s="399"/>
      <c r="BO397" s="399"/>
      <c r="BP397" s="399"/>
      <c r="BQ397" s="399"/>
      <c r="BR397" s="399"/>
      <c r="BS397" s="399"/>
      <c r="BT397" s="399"/>
      <c r="BU397" s="399"/>
      <c r="BV397" s="399">
        <v>87541.971941967306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197776.94769999999</v>
      </c>
      <c r="CJ397" s="399">
        <v>-730.03520000001299</v>
      </c>
      <c r="CK397" s="399"/>
      <c r="CL397" s="399"/>
      <c r="CM397" s="399"/>
      <c r="CN397" s="399"/>
      <c r="CO397" s="399">
        <v>-11592.844660000004</v>
      </c>
      <c r="CP397" s="399">
        <v>10864.068829999995</v>
      </c>
      <c r="CQ397" s="399">
        <v>31</v>
      </c>
      <c r="CR397" s="399">
        <v>8520.2307398714765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1159.2167900977292</v>
      </c>
      <c r="DA397" s="399">
        <v>0</v>
      </c>
      <c r="DB397" s="399">
        <v>0</v>
      </c>
      <c r="DC397" s="399">
        <v>10866.649299944693</v>
      </c>
      <c r="DD397" s="399">
        <v>0</v>
      </c>
      <c r="DE397" s="399">
        <v>0</v>
      </c>
      <c r="DF397" s="399">
        <v>0</v>
      </c>
      <c r="DG397" s="399">
        <v>1052.0025488305891</v>
      </c>
      <c r="DH397" s="399">
        <v>0</v>
      </c>
      <c r="DI397" s="399">
        <v>-4007.7731052559138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-519.94537875630022</v>
      </c>
      <c r="DP397" s="399">
        <v>-29.919414989331528</v>
      </c>
      <c r="DQ397" s="399">
        <v>0</v>
      </c>
      <c r="DR397" s="399">
        <v>0</v>
      </c>
      <c r="DS397" s="399"/>
      <c r="DT397" s="399"/>
      <c r="DU397" s="399"/>
      <c r="DV397" s="399">
        <v>42768.391173209428</v>
      </c>
      <c r="DW397" s="399">
        <v>0</v>
      </c>
      <c r="DX397" s="399">
        <v>0</v>
      </c>
      <c r="DY397" s="399">
        <v>-11592.844660000002</v>
      </c>
      <c r="DZ397" s="399">
        <v>10864.068829999989</v>
      </c>
      <c r="EA397" s="399">
        <v>0</v>
      </c>
      <c r="EB397" s="399">
        <v>0</v>
      </c>
      <c r="EC397" s="399">
        <v>-9246.2954113018786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5564.2742143243177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215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401</v>
      </c>
      <c r="B398" s="399" t="s">
        <v>2346</v>
      </c>
      <c r="C398" s="399" t="s">
        <v>2343</v>
      </c>
      <c r="D398" s="399" t="s">
        <v>1826</v>
      </c>
      <c r="E398" s="399" t="s">
        <v>918</v>
      </c>
      <c r="F398" s="399" t="s">
        <v>1239</v>
      </c>
      <c r="G398" s="399" t="s">
        <v>1239</v>
      </c>
      <c r="H398" s="399" t="s">
        <v>1239</v>
      </c>
      <c r="I398" s="399" t="s">
        <v>1239</v>
      </c>
      <c r="J398" s="399" t="s">
        <v>2344</v>
      </c>
      <c r="K398" s="791">
        <v>44682</v>
      </c>
      <c r="L398" s="399">
        <v>0</v>
      </c>
      <c r="M398" s="399">
        <v>0</v>
      </c>
      <c r="N398" s="399">
        <v>10.907</v>
      </c>
      <c r="O398" s="399">
        <v>10.907</v>
      </c>
      <c r="P398" s="399">
        <v>10.907</v>
      </c>
      <c r="Q398" s="399">
        <v>10.907</v>
      </c>
      <c r="R398" s="399"/>
      <c r="S398" s="399">
        <v>239.69</v>
      </c>
      <c r="T398" s="399">
        <v>171.61</v>
      </c>
      <c r="U398" s="399"/>
      <c r="V398" s="399">
        <v>4486.0491000000002</v>
      </c>
      <c r="W398" s="399">
        <v>4486.0491000000002</v>
      </c>
      <c r="X398" s="399">
        <v>4469.57953</v>
      </c>
      <c r="Y398" s="399">
        <v>0</v>
      </c>
      <c r="Z398" s="399">
        <v>659.40776361597648</v>
      </c>
      <c r="AA398" s="399">
        <v>0</v>
      </c>
      <c r="AB398" s="399">
        <v>0</v>
      </c>
      <c r="AC398" s="399">
        <v>0</v>
      </c>
      <c r="AD398" s="399">
        <v>581.73567595904535</v>
      </c>
      <c r="AE398" s="399">
        <v>966.52081918599686</v>
      </c>
      <c r="AF398" s="399">
        <v>1803.7367015427692</v>
      </c>
      <c r="AG398" s="399">
        <v>68.009038216956242</v>
      </c>
      <c r="AH398" s="399">
        <v>0</v>
      </c>
      <c r="AI398" s="399">
        <v>0</v>
      </c>
      <c r="AJ398" s="399">
        <v>0</v>
      </c>
      <c r="AK398" s="399">
        <v>0</v>
      </c>
      <c r="AL398" s="399">
        <v>101.95984424921666</v>
      </c>
      <c r="AM398" s="399"/>
      <c r="AN398" s="399">
        <v>4.3197353074794576</v>
      </c>
      <c r="AO398" s="399">
        <v>0</v>
      </c>
      <c r="AP398" s="399">
        <v>0</v>
      </c>
      <c r="AQ398" s="399">
        <v>0</v>
      </c>
      <c r="AR398" s="399">
        <v>0</v>
      </c>
      <c r="AS398" s="399">
        <v>0</v>
      </c>
      <c r="AT398" s="399">
        <v>0</v>
      </c>
      <c r="AU398" s="399">
        <v>0</v>
      </c>
      <c r="AV398" s="399">
        <v>0</v>
      </c>
      <c r="AW398" s="399">
        <v>0</v>
      </c>
      <c r="AX398" s="399">
        <v>0</v>
      </c>
      <c r="AY398" s="399">
        <v>0</v>
      </c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>
        <v>0</v>
      </c>
      <c r="BG398" s="399">
        <v>174.62012024736427</v>
      </c>
      <c r="BH398" s="399">
        <v>0</v>
      </c>
      <c r="BI398" s="399">
        <v>0</v>
      </c>
      <c r="BJ398" s="399">
        <v>0</v>
      </c>
      <c r="BK398" s="399">
        <v>2524.33</v>
      </c>
      <c r="BL398" s="399">
        <v>10</v>
      </c>
      <c r="BM398" s="399"/>
      <c r="BN398" s="399"/>
      <c r="BO398" s="399"/>
      <c r="BP398" s="399"/>
      <c r="BQ398" s="399"/>
      <c r="BR398" s="399"/>
      <c r="BS398" s="399"/>
      <c r="BT398" s="399"/>
      <c r="BU398" s="399"/>
      <c r="BV398" s="399">
        <v>1978.3568217901334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4470.8089</v>
      </c>
      <c r="CJ398" s="399">
        <v>-15.270200000000841</v>
      </c>
      <c r="CK398" s="399"/>
      <c r="CL398" s="399"/>
      <c r="CM398" s="399"/>
      <c r="CN398" s="399"/>
      <c r="CO398" s="399">
        <v>-261.98614000000009</v>
      </c>
      <c r="CP398" s="399">
        <v>245.51656999999989</v>
      </c>
      <c r="CQ398" s="399">
        <v>31</v>
      </c>
      <c r="CR398" s="399">
        <v>192.54828550840602</v>
      </c>
      <c r="CS398" s="399">
        <v>0</v>
      </c>
      <c r="CT398" s="399">
        <v>0</v>
      </c>
      <c r="CU398" s="399">
        <v>0</v>
      </c>
      <c r="CV398" s="399">
        <v>0</v>
      </c>
      <c r="CW398" s="399">
        <v>0</v>
      </c>
      <c r="CX398" s="399">
        <v>0</v>
      </c>
      <c r="CY398" s="399">
        <v>0</v>
      </c>
      <c r="CZ398" s="399">
        <v>26.19708459553317</v>
      </c>
      <c r="DA398" s="399">
        <v>0</v>
      </c>
      <c r="DB398" s="399">
        <v>0</v>
      </c>
      <c r="DC398" s="399">
        <v>245.57488591641436</v>
      </c>
      <c r="DD398" s="399">
        <v>0</v>
      </c>
      <c r="DE398" s="399">
        <v>0</v>
      </c>
      <c r="DF398" s="399">
        <v>0</v>
      </c>
      <c r="DG398" s="399">
        <v>23.774155103557405</v>
      </c>
      <c r="DH398" s="399">
        <v>0</v>
      </c>
      <c r="DI398" s="399">
        <v>-90.571472027454092</v>
      </c>
      <c r="DJ398" s="399"/>
      <c r="DK398" s="399">
        <v>0</v>
      </c>
      <c r="DL398" s="399">
        <v>0</v>
      </c>
      <c r="DM398" s="399">
        <v>0</v>
      </c>
      <c r="DN398" s="399">
        <v>0</v>
      </c>
      <c r="DO398" s="399">
        <v>-11.750220656471839</v>
      </c>
      <c r="DP398" s="399">
        <v>-0.67614742317379672</v>
      </c>
      <c r="DQ398" s="399">
        <v>0</v>
      </c>
      <c r="DR398" s="399">
        <v>0</v>
      </c>
      <c r="DS398" s="399"/>
      <c r="DT398" s="399"/>
      <c r="DU398" s="399"/>
      <c r="DV398" s="399">
        <v>966.52081918599686</v>
      </c>
      <c r="DW398" s="399">
        <v>0</v>
      </c>
      <c r="DX398" s="399">
        <v>0</v>
      </c>
      <c r="DY398" s="399">
        <v>-261.98614000000043</v>
      </c>
      <c r="DZ398" s="399">
        <v>245.51657</v>
      </c>
      <c r="EA398" s="399">
        <v>0</v>
      </c>
      <c r="EB398" s="399">
        <v>0</v>
      </c>
      <c r="EC398" s="399">
        <v>-208.95658616603009</v>
      </c>
      <c r="ED398" s="399">
        <v>0</v>
      </c>
      <c r="EE398" s="399">
        <v>0</v>
      </c>
      <c r="EF398" s="399">
        <v>0</v>
      </c>
      <c r="EG398" s="399">
        <v>0</v>
      </c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>
        <v>0</v>
      </c>
      <c r="EN398" s="399">
        <v>0</v>
      </c>
      <c r="EO398" s="399">
        <v>0</v>
      </c>
      <c r="EP398" s="399">
        <v>125.74676587725111</v>
      </c>
      <c r="EQ398" s="399">
        <v>0</v>
      </c>
      <c r="ER398" s="399">
        <v>0</v>
      </c>
      <c r="ES398" s="399">
        <v>0</v>
      </c>
      <c r="ET398" s="399">
        <v>0</v>
      </c>
      <c r="EU398" s="399">
        <v>0</v>
      </c>
      <c r="EV398" s="399">
        <v>215</v>
      </c>
      <c r="EW398" s="399">
        <v>0</v>
      </c>
      <c r="EX398" s="399">
        <v>0</v>
      </c>
      <c r="EY398" s="399">
        <v>0</v>
      </c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402</v>
      </c>
      <c r="B399" s="399" t="s">
        <v>956</v>
      </c>
      <c r="C399" s="399" t="s">
        <v>2352</v>
      </c>
      <c r="D399" s="399" t="s">
        <v>533</v>
      </c>
      <c r="E399" s="399" t="s">
        <v>918</v>
      </c>
      <c r="F399" s="399" t="s">
        <v>1239</v>
      </c>
      <c r="G399" s="399" t="s">
        <v>1239</v>
      </c>
      <c r="H399" s="399" t="s">
        <v>1239</v>
      </c>
      <c r="I399" s="399" t="s">
        <v>893</v>
      </c>
      <c r="J399" s="399" t="s">
        <v>2344</v>
      </c>
      <c r="K399" s="791">
        <v>44682</v>
      </c>
      <c r="L399" s="399">
        <v>0</v>
      </c>
      <c r="M399" s="399">
        <v>0</v>
      </c>
      <c r="N399" s="399">
        <v>9.2159999999999993</v>
      </c>
      <c r="O399" s="399">
        <v>9.2159999999999993</v>
      </c>
      <c r="P399" s="399">
        <v>9.2159999999999993</v>
      </c>
      <c r="Q399" s="399">
        <v>9.2159999999999993</v>
      </c>
      <c r="R399" s="399"/>
      <c r="S399" s="399">
        <v>984.21</v>
      </c>
      <c r="T399" s="399">
        <v>171.61</v>
      </c>
      <c r="U399" s="399"/>
      <c r="V399" s="399">
        <v>10652.037119999999</v>
      </c>
      <c r="W399" s="399">
        <v>10652.037119999999</v>
      </c>
      <c r="X399" s="399">
        <v>9933.4655999999995</v>
      </c>
      <c r="Y399" s="399">
        <v>0</v>
      </c>
      <c r="Z399" s="399">
        <v>484.74178931436774</v>
      </c>
      <c r="AA399" s="399">
        <v>0</v>
      </c>
      <c r="AB399" s="399">
        <v>0</v>
      </c>
      <c r="AC399" s="399">
        <v>0</v>
      </c>
      <c r="AD399" s="399">
        <v>3628.4190603249899</v>
      </c>
      <c r="AE399" s="399">
        <v>4719.3488253672276</v>
      </c>
      <c r="AF399" s="399">
        <v>1524.0888824991437</v>
      </c>
      <c r="AG399" s="399">
        <v>57.46504962019516</v>
      </c>
      <c r="AH399" s="399">
        <v>0</v>
      </c>
      <c r="AI399" s="399">
        <v>0</v>
      </c>
      <c r="AJ399" s="399">
        <v>0</v>
      </c>
      <c r="AK399" s="399">
        <v>0</v>
      </c>
      <c r="AL399" s="399">
        <v>86.152188924615444</v>
      </c>
      <c r="AM399" s="399"/>
      <c r="AN399" s="399">
        <v>2.4335813363802163</v>
      </c>
      <c r="AO399" s="399">
        <v>0</v>
      </c>
      <c r="AP399" s="399">
        <v>0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56.966757259312189</v>
      </c>
      <c r="BH399" s="399">
        <v>0</v>
      </c>
      <c r="BI399" s="399">
        <v>0</v>
      </c>
      <c r="BJ399" s="399">
        <v>0</v>
      </c>
      <c r="BK399" s="399">
        <v>0</v>
      </c>
      <c r="BL399" s="399">
        <v>0</v>
      </c>
      <c r="BM399" s="399"/>
      <c r="BN399" s="399"/>
      <c r="BO399" s="399"/>
      <c r="BP399" s="399"/>
      <c r="BQ399" s="399"/>
      <c r="BR399" s="399"/>
      <c r="BS399" s="399"/>
      <c r="BT399" s="399"/>
      <c r="BU399" s="399"/>
      <c r="BV399" s="399">
        <v>1581.0556397584558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9937.7770000000019</v>
      </c>
      <c r="CJ399" s="399">
        <v>-714.29011999999784</v>
      </c>
      <c r="CK399" s="399"/>
      <c r="CL399" s="399"/>
      <c r="CM399" s="399"/>
      <c r="CN399" s="399"/>
      <c r="CO399" s="399">
        <v>-926.02368000000013</v>
      </c>
      <c r="CP399" s="399">
        <v>207.45215999999991</v>
      </c>
      <c r="CQ399" s="399">
        <v>31</v>
      </c>
      <c r="CR399" s="399">
        <v>301.76454615599778</v>
      </c>
      <c r="CS399" s="399">
        <v>0</v>
      </c>
      <c r="CT399" s="399">
        <v>0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163.3972352042465</v>
      </c>
      <c r="DA399" s="399">
        <v>0</v>
      </c>
      <c r="DB399" s="399">
        <v>0</v>
      </c>
      <c r="DC399" s="399">
        <v>207.50143473051025</v>
      </c>
      <c r="DD399" s="399">
        <v>0</v>
      </c>
      <c r="DE399" s="399">
        <v>0</v>
      </c>
      <c r="DF399" s="399">
        <v>0</v>
      </c>
      <c r="DG399" s="399">
        <v>7.7559019024327398</v>
      </c>
      <c r="DH399" s="399">
        <v>0</v>
      </c>
      <c r="DI399" s="399">
        <v>-66.580619510255588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-9.9284893710501905</v>
      </c>
      <c r="DP399" s="399">
        <v>-0.38091679988546767</v>
      </c>
      <c r="DQ399" s="399">
        <v>0</v>
      </c>
      <c r="DR399" s="399">
        <v>0</v>
      </c>
      <c r="DS399" s="399"/>
      <c r="DT399" s="399"/>
      <c r="DU399" s="399"/>
      <c r="DV399" s="399">
        <v>4719.3488253672276</v>
      </c>
      <c r="DW399" s="399">
        <v>0</v>
      </c>
      <c r="DX399" s="399">
        <v>0</v>
      </c>
      <c r="DY399" s="399">
        <v>-926.02368000000024</v>
      </c>
      <c r="DZ399" s="399">
        <v>207.45216000000005</v>
      </c>
      <c r="EA399" s="399">
        <v>0</v>
      </c>
      <c r="EB399" s="399">
        <v>0</v>
      </c>
      <c r="EC399" s="399">
        <v>-1020.297752412539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92.438572390439717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215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403</v>
      </c>
      <c r="B400" s="399" t="s">
        <v>956</v>
      </c>
      <c r="C400" s="399" t="s">
        <v>2352</v>
      </c>
      <c r="D400" s="399" t="s">
        <v>533</v>
      </c>
      <c r="E400" s="399" t="s">
        <v>918</v>
      </c>
      <c r="F400" s="399" t="s">
        <v>1239</v>
      </c>
      <c r="G400" s="399" t="s">
        <v>1239</v>
      </c>
      <c r="H400" s="399" t="s">
        <v>1239</v>
      </c>
      <c r="I400" s="399" t="s">
        <v>2326</v>
      </c>
      <c r="J400" s="399" t="s">
        <v>2344</v>
      </c>
      <c r="K400" s="791">
        <v>44682</v>
      </c>
      <c r="L400" s="399">
        <v>0</v>
      </c>
      <c r="M400" s="399">
        <v>0</v>
      </c>
      <c r="N400" s="399">
        <v>101.47499999999999</v>
      </c>
      <c r="O400" s="399">
        <v>101.47499999999999</v>
      </c>
      <c r="P400" s="399">
        <v>101.47499999999999</v>
      </c>
      <c r="Q400" s="399">
        <v>101.47499999999999</v>
      </c>
      <c r="R400" s="399"/>
      <c r="S400" s="399">
        <v>78.42</v>
      </c>
      <c r="T400" s="399">
        <v>171.61</v>
      </c>
      <c r="U400" s="399"/>
      <c r="V400" s="399">
        <v>25371.794249999999</v>
      </c>
      <c r="W400" s="399">
        <v>25371.794249999999</v>
      </c>
      <c r="X400" s="399">
        <v>26894.934000000001</v>
      </c>
      <c r="Y400" s="399">
        <v>0</v>
      </c>
      <c r="Z400" s="399">
        <v>5337.3668696479454</v>
      </c>
      <c r="AA400" s="399">
        <v>0</v>
      </c>
      <c r="AB400" s="399">
        <v>0</v>
      </c>
      <c r="AC400" s="399">
        <v>0</v>
      </c>
      <c r="AD400" s="399">
        <v>0</v>
      </c>
      <c r="AE400" s="399">
        <v>0</v>
      </c>
      <c r="AF400" s="399">
        <v>16781.349756033051</v>
      </c>
      <c r="AG400" s="399">
        <v>632.7328461598637</v>
      </c>
      <c r="AH400" s="399">
        <v>0</v>
      </c>
      <c r="AI400" s="399">
        <v>0</v>
      </c>
      <c r="AJ400" s="399">
        <v>0</v>
      </c>
      <c r="AK400" s="399">
        <v>0</v>
      </c>
      <c r="AL400" s="399">
        <v>948.59954113773358</v>
      </c>
      <c r="AM400" s="399"/>
      <c r="AN400" s="399">
        <v>26.795536687194275</v>
      </c>
      <c r="AO400" s="399">
        <v>0</v>
      </c>
      <c r="AP400" s="399">
        <v>0</v>
      </c>
      <c r="AQ400" s="399">
        <v>0</v>
      </c>
      <c r="AR400" s="399">
        <v>0</v>
      </c>
      <c r="AS400" s="399">
        <v>0</v>
      </c>
      <c r="AT400" s="399">
        <v>0</v>
      </c>
      <c r="AU400" s="399">
        <v>0</v>
      </c>
      <c r="AV400" s="399">
        <v>0</v>
      </c>
      <c r="AW400" s="399">
        <v>0</v>
      </c>
      <c r="AX400" s="399">
        <v>0</v>
      </c>
      <c r="AY400" s="399">
        <v>0</v>
      </c>
      <c r="AZ400" s="399">
        <v>0</v>
      </c>
      <c r="BA400" s="399"/>
      <c r="BB400" s="399">
        <v>0</v>
      </c>
      <c r="BC400" s="399">
        <v>0</v>
      </c>
      <c r="BD400" s="399">
        <v>0</v>
      </c>
      <c r="BE400" s="399">
        <v>0</v>
      </c>
      <c r="BF400" s="399">
        <v>0</v>
      </c>
      <c r="BG400" s="399">
        <v>627.24627744018062</v>
      </c>
      <c r="BH400" s="399">
        <v>0</v>
      </c>
      <c r="BI400" s="399">
        <v>0</v>
      </c>
      <c r="BJ400" s="399">
        <v>0</v>
      </c>
      <c r="BK400" s="399">
        <v>0</v>
      </c>
      <c r="BL400" s="399">
        <v>0</v>
      </c>
      <c r="BM400" s="399"/>
      <c r="BN400" s="399"/>
      <c r="BO400" s="399"/>
      <c r="BP400" s="399"/>
      <c r="BQ400" s="399"/>
      <c r="BR400" s="399"/>
      <c r="BS400" s="399"/>
      <c r="BT400" s="399"/>
      <c r="BU400" s="399"/>
      <c r="BV400" s="399">
        <v>17408.59603347323</v>
      </c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>
        <v>26896.2592</v>
      </c>
      <c r="CJ400" s="399">
        <v>1524.4349500000026</v>
      </c>
      <c r="CK400" s="399"/>
      <c r="CL400" s="399"/>
      <c r="CM400" s="399"/>
      <c r="CN400" s="399"/>
      <c r="CO400" s="399">
        <v>-761.0625</v>
      </c>
      <c r="CP400" s="399">
        <v>2284.2022499999989</v>
      </c>
      <c r="CQ400" s="399">
        <v>31</v>
      </c>
      <c r="CR400" s="399">
        <v>1523.5267880673928</v>
      </c>
      <c r="CS400" s="399">
        <v>0</v>
      </c>
      <c r="CT400" s="399">
        <v>0</v>
      </c>
      <c r="CU400" s="399">
        <v>0</v>
      </c>
      <c r="CV400" s="399">
        <v>0</v>
      </c>
      <c r="CW400" s="399">
        <v>0</v>
      </c>
      <c r="CX400" s="399">
        <v>0</v>
      </c>
      <c r="CY400" s="399">
        <v>0</v>
      </c>
      <c r="CZ400" s="399">
        <v>0</v>
      </c>
      <c r="DA400" s="399">
        <v>0</v>
      </c>
      <c r="DB400" s="399">
        <v>0</v>
      </c>
      <c r="DC400" s="399">
        <v>2284.7448013540088</v>
      </c>
      <c r="DD400" s="399">
        <v>0</v>
      </c>
      <c r="DE400" s="399">
        <v>0</v>
      </c>
      <c r="DF400" s="399">
        <v>0</v>
      </c>
      <c r="DG400" s="399">
        <v>85.398236279227604</v>
      </c>
      <c r="DH400" s="399">
        <v>0</v>
      </c>
      <c r="DI400" s="399">
        <v>-733.10203611145607</v>
      </c>
      <c r="DJ400" s="399"/>
      <c r="DK400" s="399">
        <v>0</v>
      </c>
      <c r="DL400" s="399">
        <v>0</v>
      </c>
      <c r="DM400" s="399">
        <v>0</v>
      </c>
      <c r="DN400" s="399">
        <v>0</v>
      </c>
      <c r="DO400" s="399">
        <v>-109.32003677596765</v>
      </c>
      <c r="DP400" s="399">
        <v>-4.1941766784264125</v>
      </c>
      <c r="DQ400" s="399">
        <v>0</v>
      </c>
      <c r="DR400" s="399">
        <v>0</v>
      </c>
      <c r="DS400" s="399"/>
      <c r="DT400" s="399"/>
      <c r="DU400" s="399"/>
      <c r="DV400" s="399">
        <v>0</v>
      </c>
      <c r="DW400" s="399">
        <v>0</v>
      </c>
      <c r="DX400" s="399">
        <v>0</v>
      </c>
      <c r="DY400" s="399">
        <v>-761.0625</v>
      </c>
      <c r="DZ400" s="399">
        <v>2284.2022500000021</v>
      </c>
      <c r="EA400" s="399">
        <v>0</v>
      </c>
      <c r="EB400" s="399">
        <v>0</v>
      </c>
      <c r="EC400" s="399">
        <v>0</v>
      </c>
      <c r="ED400" s="399">
        <v>0</v>
      </c>
      <c r="EE400" s="399">
        <v>0</v>
      </c>
      <c r="EF400" s="399">
        <v>0</v>
      </c>
      <c r="EG400" s="399">
        <v>0</v>
      </c>
      <c r="EH400" s="399">
        <v>0</v>
      </c>
      <c r="EI400" s="399">
        <v>0</v>
      </c>
      <c r="EJ400" s="399">
        <v>0</v>
      </c>
      <c r="EK400" s="399">
        <v>0</v>
      </c>
      <c r="EL400" s="399">
        <v>0</v>
      </c>
      <c r="EM400" s="399">
        <v>0</v>
      </c>
      <c r="EN400" s="399">
        <v>0</v>
      </c>
      <c r="EO400" s="399">
        <v>0</v>
      </c>
      <c r="EP400" s="399">
        <v>1017.8172887716873</v>
      </c>
      <c r="EQ400" s="399">
        <v>0</v>
      </c>
      <c r="ER400" s="399">
        <v>0</v>
      </c>
      <c r="ES400" s="399">
        <v>0</v>
      </c>
      <c r="ET400" s="399">
        <v>0</v>
      </c>
      <c r="EU400" s="399">
        <v>0</v>
      </c>
      <c r="EV400" s="399">
        <v>215</v>
      </c>
      <c r="EW400" s="399">
        <v>0</v>
      </c>
      <c r="EX400" s="399">
        <v>0</v>
      </c>
      <c r="EY400" s="399">
        <v>0</v>
      </c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404</v>
      </c>
      <c r="B401" s="399" t="s">
        <v>956</v>
      </c>
      <c r="C401" s="399" t="s">
        <v>2352</v>
      </c>
      <c r="D401" s="399" t="s">
        <v>533</v>
      </c>
      <c r="E401" s="399" t="s">
        <v>918</v>
      </c>
      <c r="F401" s="399" t="s">
        <v>1239</v>
      </c>
      <c r="G401" s="399" t="s">
        <v>1239</v>
      </c>
      <c r="H401" s="399" t="s">
        <v>1239</v>
      </c>
      <c r="I401" s="399" t="s">
        <v>1239</v>
      </c>
      <c r="J401" s="399" t="s">
        <v>2344</v>
      </c>
      <c r="K401" s="791">
        <v>44682</v>
      </c>
      <c r="L401" s="399">
        <v>540</v>
      </c>
      <c r="M401" s="399">
        <v>540</v>
      </c>
      <c r="N401" s="399">
        <v>0</v>
      </c>
      <c r="O401" s="399">
        <v>0</v>
      </c>
      <c r="P401" s="399">
        <v>0</v>
      </c>
      <c r="Q401" s="399">
        <v>0</v>
      </c>
      <c r="R401" s="399">
        <v>12.58</v>
      </c>
      <c r="S401" s="399"/>
      <c r="T401" s="399"/>
      <c r="U401" s="399">
        <v>6793.2</v>
      </c>
      <c r="V401" s="399"/>
      <c r="W401" s="399">
        <v>6793.2</v>
      </c>
      <c r="X401" s="399">
        <v>6258.6</v>
      </c>
      <c r="Y401" s="399">
        <v>0</v>
      </c>
      <c r="Z401" s="399">
        <v>0</v>
      </c>
      <c r="AA401" s="399">
        <v>0</v>
      </c>
      <c r="AB401" s="399">
        <v>0</v>
      </c>
      <c r="AC401" s="399">
        <v>0</v>
      </c>
      <c r="AD401" s="399">
        <v>3578.8172881454207</v>
      </c>
      <c r="AE401" s="399">
        <v>3212.8428737204335</v>
      </c>
      <c r="AF401" s="399"/>
      <c r="AG401" s="399"/>
      <c r="AH401" s="399"/>
      <c r="AI401" s="399">
        <v>0</v>
      </c>
      <c r="AJ401" s="399">
        <v>0</v>
      </c>
      <c r="AK401" s="399">
        <v>0</v>
      </c>
      <c r="AL401" s="399">
        <v>0</v>
      </c>
      <c r="AM401" s="399"/>
      <c r="AN401" s="399">
        <v>0</v>
      </c>
      <c r="AO401" s="399">
        <v>0</v>
      </c>
      <c r="AP401" s="399">
        <v>0</v>
      </c>
      <c r="AQ401" s="399">
        <v>0</v>
      </c>
      <c r="AR401" s="399">
        <v>0</v>
      </c>
      <c r="AS401" s="399"/>
      <c r="AT401" s="399"/>
      <c r="AU401" s="399">
        <v>0</v>
      </c>
      <c r="AV401" s="399">
        <v>0</v>
      </c>
      <c r="AW401" s="399">
        <v>0</v>
      </c>
      <c r="AX401" s="399"/>
      <c r="AY401" s="399"/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/>
      <c r="BG401" s="399">
        <v>0</v>
      </c>
      <c r="BH401" s="399">
        <v>0</v>
      </c>
      <c r="BI401" s="399">
        <v>0</v>
      </c>
      <c r="BJ401" s="399">
        <v>0</v>
      </c>
      <c r="BK401" s="399">
        <v>14698.4</v>
      </c>
      <c r="BL401" s="399">
        <v>5</v>
      </c>
      <c r="BM401" s="399"/>
      <c r="BN401" s="399"/>
      <c r="BO401" s="399"/>
      <c r="BP401" s="399"/>
      <c r="BQ401" s="399"/>
      <c r="BR401" s="399"/>
      <c r="BS401" s="399"/>
      <c r="BT401" s="399"/>
      <c r="BU401" s="399"/>
      <c r="BV401" s="399">
        <v>0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6258.6</v>
      </c>
      <c r="CJ401" s="399">
        <v>-534.63000000000011</v>
      </c>
      <c r="CK401" s="399"/>
      <c r="CL401" s="399"/>
      <c r="CM401" s="399"/>
      <c r="CN401" s="399"/>
      <c r="CO401" s="399">
        <v>-534.60000000000014</v>
      </c>
      <c r="CP401" s="399">
        <v>0</v>
      </c>
      <c r="CQ401" s="399">
        <v>31</v>
      </c>
      <c r="CR401" s="399">
        <v>161.16353719399785</v>
      </c>
      <c r="CS401" s="399">
        <v>0</v>
      </c>
      <c r="CT401" s="399">
        <v>0</v>
      </c>
      <c r="CU401" s="399">
        <v>0</v>
      </c>
      <c r="CV401" s="399">
        <v>0</v>
      </c>
      <c r="CW401" s="399"/>
      <c r="CX401" s="399"/>
      <c r="CY401" s="399"/>
      <c r="CZ401" s="399">
        <v>161.16353719399785</v>
      </c>
      <c r="DA401" s="399">
        <v>0</v>
      </c>
      <c r="DB401" s="399">
        <v>0</v>
      </c>
      <c r="DC401" s="399"/>
      <c r="DD401" s="399"/>
      <c r="DE401" s="399">
        <v>0</v>
      </c>
      <c r="DF401" s="399">
        <v>0</v>
      </c>
      <c r="DG401" s="399">
        <v>0</v>
      </c>
      <c r="DH401" s="399">
        <v>0</v>
      </c>
      <c r="DI401" s="399">
        <v>0</v>
      </c>
      <c r="DJ401" s="399"/>
      <c r="DK401" s="399">
        <v>0</v>
      </c>
      <c r="DL401" s="399">
        <v>0</v>
      </c>
      <c r="DM401" s="399"/>
      <c r="DN401" s="399">
        <v>0</v>
      </c>
      <c r="DO401" s="399">
        <v>0</v>
      </c>
      <c r="DP401" s="399">
        <v>0</v>
      </c>
      <c r="DQ401" s="399">
        <v>0</v>
      </c>
      <c r="DR401" s="399">
        <v>0</v>
      </c>
      <c r="DS401" s="399"/>
      <c r="DT401" s="399"/>
      <c r="DU401" s="399">
        <v>3212.8428737204335</v>
      </c>
      <c r="DV401" s="399"/>
      <c r="DW401" s="399">
        <v>0</v>
      </c>
      <c r="DX401" s="399">
        <v>0</v>
      </c>
      <c r="DY401" s="399">
        <v>-534.59999999999945</v>
      </c>
      <c r="DZ401" s="399"/>
      <c r="EA401" s="399">
        <v>0</v>
      </c>
      <c r="EB401" s="399"/>
      <c r="EC401" s="399">
        <v>-694.59929414235012</v>
      </c>
      <c r="ED401" s="399"/>
      <c r="EE401" s="399">
        <v>0</v>
      </c>
      <c r="EF401" s="399">
        <v>0</v>
      </c>
      <c r="EG401" s="399"/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/>
      <c r="EN401" s="399"/>
      <c r="EO401" s="399">
        <v>0</v>
      </c>
      <c r="EP401" s="399">
        <v>0</v>
      </c>
      <c r="EQ401" s="399"/>
      <c r="ER401" s="399">
        <v>0</v>
      </c>
      <c r="ES401" s="399"/>
      <c r="ET401" s="399">
        <v>0</v>
      </c>
      <c r="EU401" s="399"/>
      <c r="EV401" s="399">
        <v>215</v>
      </c>
      <c r="EW401" s="399"/>
      <c r="EX401" s="399"/>
      <c r="EY401" s="399"/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405</v>
      </c>
      <c r="B402" s="399" t="s">
        <v>956</v>
      </c>
      <c r="C402" s="399" t="s">
        <v>2343</v>
      </c>
      <c r="D402" s="399" t="s">
        <v>2353</v>
      </c>
      <c r="E402" s="399" t="s">
        <v>894</v>
      </c>
      <c r="F402" s="399" t="s">
        <v>1239</v>
      </c>
      <c r="G402" s="399" t="s">
        <v>1239</v>
      </c>
      <c r="H402" s="399" t="s">
        <v>1239</v>
      </c>
      <c r="I402" s="399" t="s">
        <v>1239</v>
      </c>
      <c r="J402" s="399" t="s">
        <v>2344</v>
      </c>
      <c r="K402" s="791">
        <v>44682</v>
      </c>
      <c r="L402" s="399">
        <v>0</v>
      </c>
      <c r="M402" s="399">
        <v>0</v>
      </c>
      <c r="N402" s="399">
        <v>493.839</v>
      </c>
      <c r="O402" s="399">
        <v>493.839</v>
      </c>
      <c r="P402" s="399">
        <v>493.839</v>
      </c>
      <c r="Q402" s="399">
        <v>493.839</v>
      </c>
      <c r="R402" s="399"/>
      <c r="S402" s="399">
        <v>239.69</v>
      </c>
      <c r="T402" s="399">
        <v>171.61</v>
      </c>
      <c r="U402" s="399"/>
      <c r="V402" s="399">
        <v>203115.98070000001</v>
      </c>
      <c r="W402" s="399">
        <v>203115.98070000001</v>
      </c>
      <c r="X402" s="399">
        <v>202370.28380999999</v>
      </c>
      <c r="Y402" s="399">
        <v>0</v>
      </c>
      <c r="Z402" s="399">
        <v>29856.172235843973</v>
      </c>
      <c r="AA402" s="399">
        <v>0</v>
      </c>
      <c r="AB402" s="399">
        <v>0</v>
      </c>
      <c r="AC402" s="399">
        <v>0</v>
      </c>
      <c r="AD402" s="399">
        <v>26339.393461074447</v>
      </c>
      <c r="AE402" s="399">
        <v>43761.40779554355</v>
      </c>
      <c r="AF402" s="399">
        <v>81668.243233994639</v>
      </c>
      <c r="AG402" s="399">
        <v>3079.2624391696572</v>
      </c>
      <c r="AH402" s="399">
        <v>0</v>
      </c>
      <c r="AI402" s="399">
        <v>0</v>
      </c>
      <c r="AJ402" s="399">
        <v>0</v>
      </c>
      <c r="AK402" s="399">
        <v>0</v>
      </c>
      <c r="AL402" s="399">
        <v>4616.4616782056391</v>
      </c>
      <c r="AM402" s="399"/>
      <c r="AN402" s="399">
        <v>195.58574901534314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7906.3193878094917</v>
      </c>
      <c r="BH402" s="399">
        <v>0</v>
      </c>
      <c r="BI402" s="399">
        <v>0</v>
      </c>
      <c r="BJ402" s="399">
        <v>0</v>
      </c>
      <c r="BK402" s="399">
        <v>47454.58</v>
      </c>
      <c r="BL402" s="399">
        <v>711</v>
      </c>
      <c r="BM402" s="399"/>
      <c r="BN402" s="399"/>
      <c r="BO402" s="399"/>
      <c r="BP402" s="399"/>
      <c r="BQ402" s="399"/>
      <c r="BR402" s="399">
        <v>24282.063629999993</v>
      </c>
      <c r="BS402" s="399"/>
      <c r="BT402" s="399"/>
      <c r="BU402" s="399"/>
      <c r="BV402" s="399">
        <v>89574.562621804129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178088.5808</v>
      </c>
      <c r="CJ402" s="399">
        <v>-656.4752500000177</v>
      </c>
      <c r="CK402" s="399"/>
      <c r="CL402" s="399"/>
      <c r="CM402" s="399"/>
      <c r="CN402" s="399"/>
      <c r="CO402" s="399">
        <v>-11862.012780000005</v>
      </c>
      <c r="CP402" s="399">
        <v>11116.315889999996</v>
      </c>
      <c r="CQ402" s="399">
        <v>31</v>
      </c>
      <c r="CR402" s="399">
        <v>8718.0574646727182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1186.1320307667993</v>
      </c>
      <c r="DA402" s="399">
        <v>0</v>
      </c>
      <c r="DB402" s="399">
        <v>0</v>
      </c>
      <c r="DC402" s="399">
        <v>11118.956274509605</v>
      </c>
      <c r="DD402" s="399">
        <v>0</v>
      </c>
      <c r="DE402" s="399">
        <v>0</v>
      </c>
      <c r="DF402" s="399">
        <v>0</v>
      </c>
      <c r="DG402" s="399">
        <v>1076.4284388177948</v>
      </c>
      <c r="DH402" s="399">
        <v>0</v>
      </c>
      <c r="DI402" s="399">
        <v>-4100.8274662662407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-532.01771511610832</v>
      </c>
      <c r="DP402" s="399">
        <v>-30.614098039123917</v>
      </c>
      <c r="DQ402" s="399">
        <v>0</v>
      </c>
      <c r="DR402" s="399">
        <v>0</v>
      </c>
      <c r="DS402" s="399"/>
      <c r="DT402" s="399"/>
      <c r="DU402" s="399"/>
      <c r="DV402" s="399">
        <v>43761.40779554355</v>
      </c>
      <c r="DW402" s="399">
        <v>0</v>
      </c>
      <c r="DX402" s="399">
        <v>0</v>
      </c>
      <c r="DY402" s="399">
        <v>-11862.012780000005</v>
      </c>
      <c r="DZ402" s="399">
        <v>11116.315889999983</v>
      </c>
      <c r="EA402" s="399">
        <v>0</v>
      </c>
      <c r="EB402" s="399">
        <v>0</v>
      </c>
      <c r="EC402" s="399">
        <v>-9460.980247148269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5693.4681501839004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215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406</v>
      </c>
      <c r="B403" s="399" t="s">
        <v>2346</v>
      </c>
      <c r="C403" s="399" t="s">
        <v>2343</v>
      </c>
      <c r="D403" s="399" t="s">
        <v>2353</v>
      </c>
      <c r="E403" s="399" t="s">
        <v>894</v>
      </c>
      <c r="F403" s="399" t="s">
        <v>1239</v>
      </c>
      <c r="G403" s="399" t="s">
        <v>1239</v>
      </c>
      <c r="H403" s="399" t="s">
        <v>1239</v>
      </c>
      <c r="I403" s="399" t="s">
        <v>1239</v>
      </c>
      <c r="J403" s="399" t="s">
        <v>2344</v>
      </c>
      <c r="K403" s="791">
        <v>44682</v>
      </c>
      <c r="L403" s="399">
        <v>0</v>
      </c>
      <c r="M403" s="399">
        <v>0</v>
      </c>
      <c r="N403" s="399">
        <v>7.83</v>
      </c>
      <c r="O403" s="399">
        <v>7.83</v>
      </c>
      <c r="P403" s="399">
        <v>7.83</v>
      </c>
      <c r="Q403" s="399">
        <v>7.83</v>
      </c>
      <c r="R403" s="399"/>
      <c r="S403" s="399">
        <v>239.69</v>
      </c>
      <c r="T403" s="399">
        <v>171.61</v>
      </c>
      <c r="U403" s="399"/>
      <c r="V403" s="399">
        <v>3220.4790000000003</v>
      </c>
      <c r="W403" s="399">
        <v>3220.4790000000003</v>
      </c>
      <c r="X403" s="399">
        <v>3208.6557000000003</v>
      </c>
      <c r="Y403" s="399">
        <v>0</v>
      </c>
      <c r="Z403" s="399">
        <v>473.38065362731237</v>
      </c>
      <c r="AA403" s="399">
        <v>0</v>
      </c>
      <c r="AB403" s="399">
        <v>0</v>
      </c>
      <c r="AC403" s="399">
        <v>0</v>
      </c>
      <c r="AD403" s="399">
        <v>417.62082541114194</v>
      </c>
      <c r="AE403" s="399">
        <v>693.85330652116579</v>
      </c>
      <c r="AF403" s="399">
        <v>1294.880202904546</v>
      </c>
      <c r="AG403" s="399">
        <v>48.822844892158002</v>
      </c>
      <c r="AH403" s="399">
        <v>0</v>
      </c>
      <c r="AI403" s="399">
        <v>0</v>
      </c>
      <c r="AJ403" s="399">
        <v>0</v>
      </c>
      <c r="AK403" s="399">
        <v>0</v>
      </c>
      <c r="AL403" s="399">
        <v>73.195707387124457</v>
      </c>
      <c r="AM403" s="399"/>
      <c r="AN403" s="399">
        <v>3.1010843914517423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125.35761818436437</v>
      </c>
      <c r="BH403" s="399">
        <v>0</v>
      </c>
      <c r="BI403" s="399">
        <v>0</v>
      </c>
      <c r="BJ403" s="399">
        <v>0</v>
      </c>
      <c r="BK403" s="399">
        <v>3027.88</v>
      </c>
      <c r="BL403" s="399">
        <v>15</v>
      </c>
      <c r="BM403" s="399"/>
      <c r="BN403" s="399"/>
      <c r="BO403" s="399"/>
      <c r="BP403" s="399"/>
      <c r="BQ403" s="399"/>
      <c r="BR403" s="399">
        <v>385.00109999999995</v>
      </c>
      <c r="BS403" s="399"/>
      <c r="BT403" s="399"/>
      <c r="BU403" s="399"/>
      <c r="BV403" s="399">
        <v>1420.2378210889103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2823.6545999999998</v>
      </c>
      <c r="CJ403" s="399">
        <v>-10.443900000000667</v>
      </c>
      <c r="CK403" s="399"/>
      <c r="CL403" s="399"/>
      <c r="CM403" s="399"/>
      <c r="CN403" s="399"/>
      <c r="CO403" s="399">
        <v>-188.07660000000007</v>
      </c>
      <c r="CP403" s="399">
        <v>176.25329999999994</v>
      </c>
      <c r="CQ403" s="399">
        <v>31</v>
      </c>
      <c r="CR403" s="399">
        <v>138.22802562856987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18.806562059505325</v>
      </c>
      <c r="DA403" s="399">
        <v>0</v>
      </c>
      <c r="DB403" s="399">
        <v>0</v>
      </c>
      <c r="DC403" s="399">
        <v>176.29516427299222</v>
      </c>
      <c r="DD403" s="399">
        <v>0</v>
      </c>
      <c r="DE403" s="399">
        <v>0</v>
      </c>
      <c r="DF403" s="399">
        <v>0</v>
      </c>
      <c r="DG403" s="399">
        <v>17.067171033359742</v>
      </c>
      <c r="DH403" s="399">
        <v>0</v>
      </c>
      <c r="DI403" s="399">
        <v>-65.02013624048459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-8.4353376492320962</v>
      </c>
      <c r="DP403" s="399">
        <v>-0.48539784757044391</v>
      </c>
      <c r="DQ403" s="399">
        <v>0</v>
      </c>
      <c r="DR403" s="399">
        <v>0</v>
      </c>
      <c r="DS403" s="399"/>
      <c r="DT403" s="399"/>
      <c r="DU403" s="399"/>
      <c r="DV403" s="399">
        <v>693.85330652116579</v>
      </c>
      <c r="DW403" s="399">
        <v>0</v>
      </c>
      <c r="DX403" s="399">
        <v>0</v>
      </c>
      <c r="DY403" s="399">
        <v>-188.0766000000001</v>
      </c>
      <c r="DZ403" s="399">
        <v>176.25330000000008</v>
      </c>
      <c r="EA403" s="399">
        <v>0</v>
      </c>
      <c r="EB403" s="399">
        <v>0</v>
      </c>
      <c r="EC403" s="399">
        <v>-150.00734112771761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90.27204335003907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215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407</v>
      </c>
      <c r="B404" s="399" t="s">
        <v>956</v>
      </c>
      <c r="C404" s="399" t="s">
        <v>2352</v>
      </c>
      <c r="D404" s="399" t="s">
        <v>533</v>
      </c>
      <c r="E404" s="399" t="s">
        <v>894</v>
      </c>
      <c r="F404" s="399" t="s">
        <v>1239</v>
      </c>
      <c r="G404" s="399" t="s">
        <v>1239</v>
      </c>
      <c r="H404" s="399" t="s">
        <v>1239</v>
      </c>
      <c r="I404" s="399" t="s">
        <v>893</v>
      </c>
      <c r="J404" s="399" t="s">
        <v>2344</v>
      </c>
      <c r="K404" s="791">
        <v>44682</v>
      </c>
      <c r="L404" s="399">
        <v>0</v>
      </c>
      <c r="M404" s="399">
        <v>0</v>
      </c>
      <c r="N404" s="399">
        <v>9.0660000000000007</v>
      </c>
      <c r="O404" s="399">
        <v>8.70336</v>
      </c>
      <c r="P404" s="399">
        <v>9.0660000000000007</v>
      </c>
      <c r="Q404" s="399">
        <v>8.70336</v>
      </c>
      <c r="R404" s="399"/>
      <c r="S404" s="399">
        <v>984.21</v>
      </c>
      <c r="T404" s="399">
        <v>171.61</v>
      </c>
      <c r="U404" s="399"/>
      <c r="V404" s="399">
        <v>10478.664120000001</v>
      </c>
      <c r="W404" s="399">
        <v>10478.664120000001</v>
      </c>
      <c r="X404" s="399">
        <v>9771.7881000000016</v>
      </c>
      <c r="Y404" s="399">
        <v>0</v>
      </c>
      <c r="Z404" s="399">
        <v>476.8521117539126</v>
      </c>
      <c r="AA404" s="399">
        <v>0</v>
      </c>
      <c r="AB404" s="399">
        <v>0</v>
      </c>
      <c r="AC404" s="399">
        <v>0</v>
      </c>
      <c r="AD404" s="399">
        <v>3569.3627605150132</v>
      </c>
      <c r="AE404" s="399">
        <v>4642.5365072460172</v>
      </c>
      <c r="AF404" s="399">
        <v>1499.2827483438844</v>
      </c>
      <c r="AG404" s="399">
        <v>56.529746078199807</v>
      </c>
      <c r="AH404" s="399">
        <v>0</v>
      </c>
      <c r="AI404" s="399">
        <v>0</v>
      </c>
      <c r="AJ404" s="399">
        <v>0</v>
      </c>
      <c r="AK404" s="399">
        <v>0</v>
      </c>
      <c r="AL404" s="399">
        <v>84.749972308003876</v>
      </c>
      <c r="AM404" s="399"/>
      <c r="AN404" s="399">
        <v>2.3939722651500697</v>
      </c>
      <c r="AO404" s="399">
        <v>0</v>
      </c>
      <c r="AP404" s="399">
        <v>0</v>
      </c>
      <c r="AQ404" s="399">
        <v>0</v>
      </c>
      <c r="AR404" s="399">
        <v>0</v>
      </c>
      <c r="AS404" s="399">
        <v>0</v>
      </c>
      <c r="AT404" s="399">
        <v>0</v>
      </c>
      <c r="AU404" s="399">
        <v>0</v>
      </c>
      <c r="AV404" s="399">
        <v>0</v>
      </c>
      <c r="AW404" s="399">
        <v>0</v>
      </c>
      <c r="AX404" s="399">
        <v>0</v>
      </c>
      <c r="AY404" s="399">
        <v>0</v>
      </c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>
        <v>0</v>
      </c>
      <c r="BG404" s="399">
        <v>56.039563944544746</v>
      </c>
      <c r="BH404" s="399">
        <v>0</v>
      </c>
      <c r="BI404" s="399">
        <v>0</v>
      </c>
      <c r="BJ404" s="399">
        <v>0</v>
      </c>
      <c r="BK404" s="399">
        <v>0</v>
      </c>
      <c r="BL404" s="399">
        <v>0</v>
      </c>
      <c r="BM404" s="399"/>
      <c r="BN404" s="399"/>
      <c r="BO404" s="399"/>
      <c r="BP404" s="399"/>
      <c r="BQ404" s="399"/>
      <c r="BR404" s="399">
        <v>390.87152400000082</v>
      </c>
      <c r="BS404" s="399"/>
      <c r="BT404" s="399"/>
      <c r="BU404" s="399"/>
      <c r="BV404" s="399">
        <v>1555.3223122884292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9377.2949999999983</v>
      </c>
      <c r="CJ404" s="399">
        <v>-682.25255520000246</v>
      </c>
      <c r="CK404" s="399"/>
      <c r="CL404" s="399"/>
      <c r="CM404" s="399"/>
      <c r="CN404" s="399"/>
      <c r="CO404" s="399">
        <v>-910.95168000000024</v>
      </c>
      <c r="CP404" s="399">
        <v>204.07565999999994</v>
      </c>
      <c r="CQ404" s="399">
        <v>31</v>
      </c>
      <c r="CR404" s="399">
        <v>296.8530138292399</v>
      </c>
      <c r="CS404" s="399">
        <v>0</v>
      </c>
      <c r="CT404" s="399">
        <v>0</v>
      </c>
      <c r="CU404" s="399">
        <v>0</v>
      </c>
      <c r="CV404" s="399">
        <v>0</v>
      </c>
      <c r="CW404" s="399">
        <v>0</v>
      </c>
      <c r="CX404" s="399">
        <v>0</v>
      </c>
      <c r="CY404" s="399">
        <v>0</v>
      </c>
      <c r="CZ404" s="399">
        <v>160.73777499584412</v>
      </c>
      <c r="DA404" s="399">
        <v>0</v>
      </c>
      <c r="DB404" s="399">
        <v>0</v>
      </c>
      <c r="DC404" s="399">
        <v>204.12413273294328</v>
      </c>
      <c r="DD404" s="399">
        <v>0</v>
      </c>
      <c r="DE404" s="399">
        <v>0</v>
      </c>
      <c r="DF404" s="399">
        <v>0</v>
      </c>
      <c r="DG404" s="399">
        <v>7.6296665199061593</v>
      </c>
      <c r="DH404" s="399">
        <v>0</v>
      </c>
      <c r="DI404" s="399">
        <v>-65.496950572914159</v>
      </c>
      <c r="DJ404" s="399"/>
      <c r="DK404" s="399">
        <v>0</v>
      </c>
      <c r="DL404" s="399">
        <v>0</v>
      </c>
      <c r="DM404" s="399">
        <v>0</v>
      </c>
      <c r="DN404" s="399">
        <v>0</v>
      </c>
      <c r="DO404" s="399">
        <v>-9.7668928643599173</v>
      </c>
      <c r="DP404" s="399">
        <v>-0.3747169821789984</v>
      </c>
      <c r="DQ404" s="399">
        <v>0</v>
      </c>
      <c r="DR404" s="399">
        <v>0</v>
      </c>
      <c r="DS404" s="399"/>
      <c r="DT404" s="399"/>
      <c r="DU404" s="399"/>
      <c r="DV404" s="399">
        <v>4642.5365072460172</v>
      </c>
      <c r="DW404" s="399">
        <v>0</v>
      </c>
      <c r="DX404" s="399">
        <v>0</v>
      </c>
      <c r="DY404" s="399">
        <v>-910.95168000000103</v>
      </c>
      <c r="DZ404" s="399">
        <v>204.07565999999997</v>
      </c>
      <c r="EA404" s="399">
        <v>0</v>
      </c>
      <c r="EB404" s="399">
        <v>0</v>
      </c>
      <c r="EC404" s="399">
        <v>-1003.6913436818668</v>
      </c>
      <c r="ED404" s="399">
        <v>0</v>
      </c>
      <c r="EE404" s="399">
        <v>0</v>
      </c>
      <c r="EF404" s="399">
        <v>0</v>
      </c>
      <c r="EG404" s="399">
        <v>0</v>
      </c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>
        <v>0</v>
      </c>
      <c r="EN404" s="399">
        <v>0</v>
      </c>
      <c r="EO404" s="399">
        <v>0</v>
      </c>
      <c r="EP404" s="399">
        <v>90.934038334605759</v>
      </c>
      <c r="EQ404" s="399">
        <v>0</v>
      </c>
      <c r="ER404" s="399">
        <v>0</v>
      </c>
      <c r="ES404" s="399">
        <v>0</v>
      </c>
      <c r="ET404" s="399">
        <v>0</v>
      </c>
      <c r="EU404" s="399">
        <v>0</v>
      </c>
      <c r="EV404" s="399">
        <v>215</v>
      </c>
      <c r="EW404" s="399">
        <v>0</v>
      </c>
      <c r="EX404" s="399">
        <v>0</v>
      </c>
      <c r="EY404" s="399">
        <v>0</v>
      </c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408</v>
      </c>
      <c r="B405" s="399" t="s">
        <v>956</v>
      </c>
      <c r="C405" s="399" t="s">
        <v>2352</v>
      </c>
      <c r="D405" s="399" t="s">
        <v>533</v>
      </c>
      <c r="E405" s="399" t="s">
        <v>894</v>
      </c>
      <c r="F405" s="399" t="s">
        <v>1239</v>
      </c>
      <c r="G405" s="399" t="s">
        <v>1239</v>
      </c>
      <c r="H405" s="399" t="s">
        <v>1239</v>
      </c>
      <c r="I405" s="399" t="s">
        <v>2326</v>
      </c>
      <c r="J405" s="399" t="s">
        <v>2344</v>
      </c>
      <c r="K405" s="791">
        <v>44682</v>
      </c>
      <c r="L405" s="399">
        <v>0</v>
      </c>
      <c r="M405" s="399">
        <v>0</v>
      </c>
      <c r="N405" s="399">
        <v>144.43799999999999</v>
      </c>
      <c r="O405" s="399">
        <v>138.66048000000001</v>
      </c>
      <c r="P405" s="399">
        <v>144.43799999999999</v>
      </c>
      <c r="Q405" s="399">
        <v>138.66048000000001</v>
      </c>
      <c r="R405" s="399"/>
      <c r="S405" s="399">
        <v>78.42</v>
      </c>
      <c r="T405" s="399">
        <v>171.61</v>
      </c>
      <c r="U405" s="399"/>
      <c r="V405" s="399">
        <v>36113.833140000002</v>
      </c>
      <c r="W405" s="399">
        <v>36113.833140000002</v>
      </c>
      <c r="X405" s="399">
        <v>38281.847519999996</v>
      </c>
      <c r="Y405" s="399">
        <v>0</v>
      </c>
      <c r="Z405" s="399">
        <v>7597.1283165135255</v>
      </c>
      <c r="AA405" s="399">
        <v>0</v>
      </c>
      <c r="AB405" s="399">
        <v>0</v>
      </c>
      <c r="AC405" s="399">
        <v>0</v>
      </c>
      <c r="AD405" s="399">
        <v>0</v>
      </c>
      <c r="AE405" s="399">
        <v>0</v>
      </c>
      <c r="AF405" s="399">
        <v>23886.322700782475</v>
      </c>
      <c r="AG405" s="399">
        <v>900.62248665817583</v>
      </c>
      <c r="AH405" s="399">
        <v>0</v>
      </c>
      <c r="AI405" s="399">
        <v>0</v>
      </c>
      <c r="AJ405" s="399">
        <v>0</v>
      </c>
      <c r="AK405" s="399">
        <v>0</v>
      </c>
      <c r="AL405" s="399">
        <v>1350.2224244676222</v>
      </c>
      <c r="AM405" s="399"/>
      <c r="AN405" s="399">
        <v>38.140366868932908</v>
      </c>
      <c r="AO405" s="399">
        <v>0</v>
      </c>
      <c r="AP405" s="399">
        <v>0</v>
      </c>
      <c r="AQ405" s="399">
        <v>0</v>
      </c>
      <c r="AR405" s="399">
        <v>0</v>
      </c>
      <c r="AS405" s="399">
        <v>0</v>
      </c>
      <c r="AT405" s="399">
        <v>0</v>
      </c>
      <c r="AU405" s="399">
        <v>0</v>
      </c>
      <c r="AV405" s="399">
        <v>0</v>
      </c>
      <c r="AW405" s="399">
        <v>0</v>
      </c>
      <c r="AX405" s="399">
        <v>0</v>
      </c>
      <c r="AY405" s="399">
        <v>0</v>
      </c>
      <c r="AZ405" s="399">
        <v>0</v>
      </c>
      <c r="BA405" s="399"/>
      <c r="BB405" s="399">
        <v>0</v>
      </c>
      <c r="BC405" s="399">
        <v>0</v>
      </c>
      <c r="BD405" s="399">
        <v>0</v>
      </c>
      <c r="BE405" s="399">
        <v>0</v>
      </c>
      <c r="BF405" s="399">
        <v>0</v>
      </c>
      <c r="BG405" s="399">
        <v>892.81298665587394</v>
      </c>
      <c r="BH405" s="399">
        <v>0</v>
      </c>
      <c r="BI405" s="399">
        <v>0</v>
      </c>
      <c r="BJ405" s="399">
        <v>0</v>
      </c>
      <c r="BK405" s="399">
        <v>0</v>
      </c>
      <c r="BL405" s="399">
        <v>0</v>
      </c>
      <c r="BM405" s="399"/>
      <c r="BN405" s="399"/>
      <c r="BO405" s="399"/>
      <c r="BP405" s="399"/>
      <c r="BQ405" s="399"/>
      <c r="BR405" s="399">
        <v>1531.2739007999951</v>
      </c>
      <c r="BS405" s="399"/>
      <c r="BT405" s="399"/>
      <c r="BU405" s="399"/>
      <c r="BV405" s="399">
        <v>24779.135687438349</v>
      </c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>
        <v>36750.446400000001</v>
      </c>
      <c r="CJ405" s="399">
        <v>2081.1365855999975</v>
      </c>
      <c r="CK405" s="399"/>
      <c r="CL405" s="399"/>
      <c r="CM405" s="399"/>
      <c r="CN405" s="399"/>
      <c r="CO405" s="399">
        <v>-1083.2849999999999</v>
      </c>
      <c r="CP405" s="399">
        <v>3251.2993799999986</v>
      </c>
      <c r="CQ405" s="399">
        <v>31</v>
      </c>
      <c r="CR405" s="399">
        <v>2168.5652842067211</v>
      </c>
      <c r="CS405" s="399">
        <v>0</v>
      </c>
      <c r="CT405" s="399">
        <v>0</v>
      </c>
      <c r="CU405" s="399">
        <v>0</v>
      </c>
      <c r="CV405" s="399">
        <v>0</v>
      </c>
      <c r="CW405" s="399">
        <v>0</v>
      </c>
      <c r="CX405" s="399">
        <v>0</v>
      </c>
      <c r="CY405" s="399">
        <v>0</v>
      </c>
      <c r="CZ405" s="399">
        <v>0</v>
      </c>
      <c r="DA405" s="399">
        <v>0</v>
      </c>
      <c r="DB405" s="399">
        <v>0</v>
      </c>
      <c r="DC405" s="399">
        <v>3252.0716394971205</v>
      </c>
      <c r="DD405" s="399">
        <v>0</v>
      </c>
      <c r="DE405" s="399">
        <v>0</v>
      </c>
      <c r="DF405" s="399">
        <v>0</v>
      </c>
      <c r="DG405" s="399">
        <v>121.55457454248904</v>
      </c>
      <c r="DH405" s="399">
        <v>0</v>
      </c>
      <c r="DI405" s="399">
        <v>-1043.486493144781</v>
      </c>
      <c r="DJ405" s="399"/>
      <c r="DK405" s="399">
        <v>0</v>
      </c>
      <c r="DL405" s="399">
        <v>0</v>
      </c>
      <c r="DM405" s="399">
        <v>0</v>
      </c>
      <c r="DN405" s="399">
        <v>0</v>
      </c>
      <c r="DO405" s="399">
        <v>-155.60450822219491</v>
      </c>
      <c r="DP405" s="399">
        <v>-5.9699284659133269</v>
      </c>
      <c r="DQ405" s="399">
        <v>0</v>
      </c>
      <c r="DR405" s="399">
        <v>0</v>
      </c>
      <c r="DS405" s="399"/>
      <c r="DT405" s="399"/>
      <c r="DU405" s="399"/>
      <c r="DV405" s="399">
        <v>0</v>
      </c>
      <c r="DW405" s="399">
        <v>0</v>
      </c>
      <c r="DX405" s="399">
        <v>0</v>
      </c>
      <c r="DY405" s="399">
        <v>-1083.2849999999999</v>
      </c>
      <c r="DZ405" s="399">
        <v>3251.2993799999967</v>
      </c>
      <c r="EA405" s="399">
        <v>0</v>
      </c>
      <c r="EB405" s="399">
        <v>0</v>
      </c>
      <c r="EC405" s="399">
        <v>0</v>
      </c>
      <c r="ED405" s="399">
        <v>0</v>
      </c>
      <c r="EE405" s="399">
        <v>0</v>
      </c>
      <c r="EF405" s="399">
        <v>0</v>
      </c>
      <c r="EG405" s="399">
        <v>0</v>
      </c>
      <c r="EH405" s="399">
        <v>0</v>
      </c>
      <c r="EI405" s="399">
        <v>0</v>
      </c>
      <c r="EJ405" s="399">
        <v>0</v>
      </c>
      <c r="EK405" s="399">
        <v>0</v>
      </c>
      <c r="EL405" s="399">
        <v>0</v>
      </c>
      <c r="EM405" s="399">
        <v>0</v>
      </c>
      <c r="EN405" s="399">
        <v>0</v>
      </c>
      <c r="EO405" s="399">
        <v>0</v>
      </c>
      <c r="EP405" s="399">
        <v>1448.7459330436559</v>
      </c>
      <c r="EQ405" s="399">
        <v>0</v>
      </c>
      <c r="ER405" s="399">
        <v>0</v>
      </c>
      <c r="ES405" s="399">
        <v>0</v>
      </c>
      <c r="ET405" s="399">
        <v>0</v>
      </c>
      <c r="EU405" s="399">
        <v>0</v>
      </c>
      <c r="EV405" s="399">
        <v>215</v>
      </c>
      <c r="EW405" s="399">
        <v>0</v>
      </c>
      <c r="EX405" s="399">
        <v>0</v>
      </c>
      <c r="EY405" s="399">
        <v>0</v>
      </c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409</v>
      </c>
      <c r="B406" s="399" t="s">
        <v>956</v>
      </c>
      <c r="C406" s="399" t="s">
        <v>2352</v>
      </c>
      <c r="D406" s="399" t="s">
        <v>533</v>
      </c>
      <c r="E406" s="399" t="s">
        <v>894</v>
      </c>
      <c r="F406" s="399" t="s">
        <v>1239</v>
      </c>
      <c r="G406" s="399" t="s">
        <v>1239</v>
      </c>
      <c r="H406" s="399" t="s">
        <v>1239</v>
      </c>
      <c r="I406" s="399" t="s">
        <v>1239</v>
      </c>
      <c r="J406" s="399" t="s">
        <v>2344</v>
      </c>
      <c r="K406" s="791">
        <v>44682</v>
      </c>
      <c r="L406" s="399">
        <v>967</v>
      </c>
      <c r="M406" s="399">
        <v>928.32</v>
      </c>
      <c r="N406" s="399">
        <v>0</v>
      </c>
      <c r="O406" s="399">
        <v>0</v>
      </c>
      <c r="P406" s="399">
        <v>0</v>
      </c>
      <c r="Q406" s="399">
        <v>0</v>
      </c>
      <c r="R406" s="399">
        <v>12.58</v>
      </c>
      <c r="S406" s="399"/>
      <c r="T406" s="399"/>
      <c r="U406" s="399">
        <v>12164.86</v>
      </c>
      <c r="V406" s="399"/>
      <c r="W406" s="399">
        <v>12164.86</v>
      </c>
      <c r="X406" s="399">
        <v>11207.53</v>
      </c>
      <c r="Y406" s="399">
        <v>0</v>
      </c>
      <c r="Z406" s="399">
        <v>0</v>
      </c>
      <c r="AA406" s="399">
        <v>0</v>
      </c>
      <c r="AB406" s="399">
        <v>0</v>
      </c>
      <c r="AC406" s="399">
        <v>0</v>
      </c>
      <c r="AD406" s="399">
        <v>6408.7339215492993</v>
      </c>
      <c r="AE406" s="399">
        <v>5753.3686275697391</v>
      </c>
      <c r="AF406" s="399"/>
      <c r="AG406" s="399"/>
      <c r="AH406" s="399"/>
      <c r="AI406" s="399">
        <v>0</v>
      </c>
      <c r="AJ406" s="399">
        <v>0</v>
      </c>
      <c r="AK406" s="399">
        <v>0</v>
      </c>
      <c r="AL406" s="399">
        <v>0</v>
      </c>
      <c r="AM406" s="399"/>
      <c r="AN406" s="399">
        <v>0</v>
      </c>
      <c r="AO406" s="399">
        <v>0</v>
      </c>
      <c r="AP406" s="399">
        <v>0</v>
      </c>
      <c r="AQ406" s="399">
        <v>0</v>
      </c>
      <c r="AR406" s="399">
        <v>0</v>
      </c>
      <c r="AS406" s="399"/>
      <c r="AT406" s="399"/>
      <c r="AU406" s="399">
        <v>0</v>
      </c>
      <c r="AV406" s="399">
        <v>0</v>
      </c>
      <c r="AW406" s="399">
        <v>0</v>
      </c>
      <c r="AX406" s="399"/>
      <c r="AY406" s="399"/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/>
      <c r="BG406" s="399">
        <v>0</v>
      </c>
      <c r="BH406" s="399">
        <v>0</v>
      </c>
      <c r="BI406" s="399">
        <v>0</v>
      </c>
      <c r="BJ406" s="399">
        <v>0</v>
      </c>
      <c r="BK406" s="399">
        <v>19551.48</v>
      </c>
      <c r="BL406" s="399">
        <v>11</v>
      </c>
      <c r="BM406" s="399"/>
      <c r="BN406" s="399"/>
      <c r="BO406" s="399"/>
      <c r="BP406" s="399"/>
      <c r="BQ406" s="399"/>
      <c r="BR406" s="399">
        <v>448.30119999999943</v>
      </c>
      <c r="BS406" s="399"/>
      <c r="BT406" s="399"/>
      <c r="BU406" s="399"/>
      <c r="BV406" s="399">
        <v>0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10759.228800000001</v>
      </c>
      <c r="CJ406" s="399">
        <v>-919.06680000000051</v>
      </c>
      <c r="CK406" s="399"/>
      <c r="CL406" s="399"/>
      <c r="CM406" s="399"/>
      <c r="CN406" s="399"/>
      <c r="CO406" s="399">
        <v>-957.33000000000015</v>
      </c>
      <c r="CP406" s="399">
        <v>0</v>
      </c>
      <c r="CQ406" s="399">
        <v>31</v>
      </c>
      <c r="CR406" s="399">
        <v>288.60211197517765</v>
      </c>
      <c r="CS406" s="399">
        <v>0</v>
      </c>
      <c r="CT406" s="399">
        <v>0</v>
      </c>
      <c r="CU406" s="399">
        <v>0</v>
      </c>
      <c r="CV406" s="399">
        <v>0</v>
      </c>
      <c r="CW406" s="399"/>
      <c r="CX406" s="399"/>
      <c r="CY406" s="399"/>
      <c r="CZ406" s="399">
        <v>288.60211197517765</v>
      </c>
      <c r="DA406" s="399">
        <v>0</v>
      </c>
      <c r="DB406" s="399">
        <v>0</v>
      </c>
      <c r="DC406" s="399"/>
      <c r="DD406" s="399"/>
      <c r="DE406" s="399">
        <v>0</v>
      </c>
      <c r="DF406" s="399">
        <v>0</v>
      </c>
      <c r="DG406" s="399">
        <v>0</v>
      </c>
      <c r="DH406" s="399">
        <v>0</v>
      </c>
      <c r="DI406" s="399">
        <v>0</v>
      </c>
      <c r="DJ406" s="399"/>
      <c r="DK406" s="399">
        <v>0</v>
      </c>
      <c r="DL406" s="399">
        <v>0</v>
      </c>
      <c r="DM406" s="399"/>
      <c r="DN406" s="399">
        <v>0</v>
      </c>
      <c r="DO406" s="399">
        <v>0</v>
      </c>
      <c r="DP406" s="399">
        <v>0</v>
      </c>
      <c r="DQ406" s="399">
        <v>0</v>
      </c>
      <c r="DR406" s="399">
        <v>0</v>
      </c>
      <c r="DS406" s="399"/>
      <c r="DT406" s="399"/>
      <c r="DU406" s="399">
        <v>5753.3686275697391</v>
      </c>
      <c r="DV406" s="399"/>
      <c r="DW406" s="399">
        <v>0</v>
      </c>
      <c r="DX406" s="399">
        <v>0</v>
      </c>
      <c r="DY406" s="399">
        <v>-957.32999999999993</v>
      </c>
      <c r="DZ406" s="399"/>
      <c r="EA406" s="399">
        <v>0</v>
      </c>
      <c r="EB406" s="399"/>
      <c r="EC406" s="399">
        <v>-1243.8472545104678</v>
      </c>
      <c r="ED406" s="399"/>
      <c r="EE406" s="399">
        <v>0</v>
      </c>
      <c r="EF406" s="399">
        <v>0</v>
      </c>
      <c r="EG406" s="399"/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/>
      <c r="EN406" s="399"/>
      <c r="EO406" s="399">
        <v>0</v>
      </c>
      <c r="EP406" s="399">
        <v>0</v>
      </c>
      <c r="EQ406" s="399"/>
      <c r="ER406" s="399">
        <v>0</v>
      </c>
      <c r="ES406" s="399"/>
      <c r="ET406" s="399">
        <v>0</v>
      </c>
      <c r="EU406" s="399"/>
      <c r="EV406" s="399">
        <v>215</v>
      </c>
      <c r="EW406" s="399"/>
      <c r="EX406" s="399"/>
      <c r="EY406" s="399"/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410</v>
      </c>
      <c r="B407" s="399" t="s">
        <v>956</v>
      </c>
      <c r="C407" s="399" t="s">
        <v>2343</v>
      </c>
      <c r="D407" s="399" t="s">
        <v>1826</v>
      </c>
      <c r="E407" s="399" t="s">
        <v>2354</v>
      </c>
      <c r="F407" s="399" t="s">
        <v>1239</v>
      </c>
      <c r="G407" s="399" t="s">
        <v>1239</v>
      </c>
      <c r="H407" s="399" t="s">
        <v>1239</v>
      </c>
      <c r="I407" s="399" t="s">
        <v>1239</v>
      </c>
      <c r="J407" s="399" t="s">
        <v>2344</v>
      </c>
      <c r="K407" s="791">
        <v>44682</v>
      </c>
      <c r="L407" s="399">
        <v>0</v>
      </c>
      <c r="M407" s="399">
        <v>0</v>
      </c>
      <c r="N407" s="399">
        <v>37.456000000000003</v>
      </c>
      <c r="O407" s="399">
        <v>37.456000000000003</v>
      </c>
      <c r="P407" s="399">
        <v>37.456000000000003</v>
      </c>
      <c r="Q407" s="399">
        <v>37.456000000000003</v>
      </c>
      <c r="R407" s="399"/>
      <c r="S407" s="399">
        <v>239.69</v>
      </c>
      <c r="T407" s="399">
        <v>171.61</v>
      </c>
      <c r="U407" s="399"/>
      <c r="V407" s="399">
        <v>15405.652800000003</v>
      </c>
      <c r="W407" s="399">
        <v>15405.652800000003</v>
      </c>
      <c r="X407" s="399">
        <v>15349.09424</v>
      </c>
      <c r="Y407" s="399">
        <v>0</v>
      </c>
      <c r="Z407" s="399">
        <v>2264.4886030989292</v>
      </c>
      <c r="AA407" s="399">
        <v>0</v>
      </c>
      <c r="AB407" s="399">
        <v>0</v>
      </c>
      <c r="AC407" s="399">
        <v>0</v>
      </c>
      <c r="AD407" s="399">
        <v>1997.7529548658663</v>
      </c>
      <c r="AE407" s="399">
        <v>3319.1531863418631</v>
      </c>
      <c r="AF407" s="399">
        <v>6194.2570727959992</v>
      </c>
      <c r="AG407" s="399">
        <v>233.55152979318905</v>
      </c>
      <c r="AH407" s="399">
        <v>0</v>
      </c>
      <c r="AI407" s="399">
        <v>0</v>
      </c>
      <c r="AJ407" s="399">
        <v>0</v>
      </c>
      <c r="AK407" s="399">
        <v>0</v>
      </c>
      <c r="AL407" s="399">
        <v>350.14283727868889</v>
      </c>
      <c r="AM407" s="399"/>
      <c r="AN407" s="399">
        <v>14.834510468226879</v>
      </c>
      <c r="AO407" s="399">
        <v>0</v>
      </c>
      <c r="AP407" s="399">
        <v>0</v>
      </c>
      <c r="AQ407" s="399">
        <v>0</v>
      </c>
      <c r="AR407" s="399">
        <v>0</v>
      </c>
      <c r="AS407" s="399">
        <v>0</v>
      </c>
      <c r="AT407" s="399">
        <v>0</v>
      </c>
      <c r="AU407" s="399">
        <v>0</v>
      </c>
      <c r="AV407" s="399">
        <v>0</v>
      </c>
      <c r="AW407" s="399">
        <v>0</v>
      </c>
      <c r="AX407" s="399">
        <v>0</v>
      </c>
      <c r="AY407" s="399">
        <v>0</v>
      </c>
      <c r="AZ407" s="399">
        <v>0</v>
      </c>
      <c r="BA407" s="399"/>
      <c r="BB407" s="399">
        <v>0</v>
      </c>
      <c r="BC407" s="399">
        <v>0</v>
      </c>
      <c r="BD407" s="399">
        <v>0</v>
      </c>
      <c r="BE407" s="399">
        <v>0</v>
      </c>
      <c r="BF407" s="399">
        <v>0</v>
      </c>
      <c r="BG407" s="399">
        <v>599.66729843084966</v>
      </c>
      <c r="BH407" s="399">
        <v>0</v>
      </c>
      <c r="BI407" s="399">
        <v>0</v>
      </c>
      <c r="BJ407" s="399">
        <v>0</v>
      </c>
      <c r="BK407" s="399">
        <v>4721.6400000000003</v>
      </c>
      <c r="BL407" s="399">
        <v>45</v>
      </c>
      <c r="BM407" s="399"/>
      <c r="BN407" s="399"/>
      <c r="BO407" s="399"/>
      <c r="BP407" s="399"/>
      <c r="BQ407" s="399"/>
      <c r="BR407" s="399"/>
      <c r="BS407" s="399"/>
      <c r="BT407" s="399"/>
      <c r="BU407" s="399"/>
      <c r="BV407" s="399">
        <v>6793.924371226849</v>
      </c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>
        <v>15350.733400000001</v>
      </c>
      <c r="CJ407" s="399">
        <v>-54.949400000003152</v>
      </c>
      <c r="CK407" s="399"/>
      <c r="CL407" s="399"/>
      <c r="CM407" s="399"/>
      <c r="CN407" s="399"/>
      <c r="CO407" s="399">
        <v>-899.69312000000048</v>
      </c>
      <c r="CP407" s="399">
        <v>843.13455999999974</v>
      </c>
      <c r="CQ407" s="399">
        <v>31</v>
      </c>
      <c r="CR407" s="399">
        <v>661.23485669779438</v>
      </c>
      <c r="CS407" s="399">
        <v>0</v>
      </c>
      <c r="CT407" s="399">
        <v>0</v>
      </c>
      <c r="CU407" s="399">
        <v>0</v>
      </c>
      <c r="CV407" s="399">
        <v>0</v>
      </c>
      <c r="CW407" s="399">
        <v>0</v>
      </c>
      <c r="CX407" s="399">
        <v>0</v>
      </c>
      <c r="CY407" s="399">
        <v>0</v>
      </c>
      <c r="CZ407" s="399">
        <v>89.964059834077943</v>
      </c>
      <c r="DA407" s="399">
        <v>0</v>
      </c>
      <c r="DB407" s="399">
        <v>0</v>
      </c>
      <c r="DC407" s="399">
        <v>843.33482413910588</v>
      </c>
      <c r="DD407" s="399">
        <v>0</v>
      </c>
      <c r="DE407" s="399">
        <v>0</v>
      </c>
      <c r="DF407" s="399">
        <v>0</v>
      </c>
      <c r="DG407" s="399">
        <v>81.643417397895519</v>
      </c>
      <c r="DH407" s="399">
        <v>0</v>
      </c>
      <c r="DI407" s="399">
        <v>-311.03374495831326</v>
      </c>
      <c r="DJ407" s="399"/>
      <c r="DK407" s="399">
        <v>0</v>
      </c>
      <c r="DL407" s="399">
        <v>0</v>
      </c>
      <c r="DM407" s="399">
        <v>0</v>
      </c>
      <c r="DN407" s="399">
        <v>0</v>
      </c>
      <c r="DO407" s="399">
        <v>-40.351725030605053</v>
      </c>
      <c r="DP407" s="399">
        <v>-2.3219746843676301</v>
      </c>
      <c r="DQ407" s="399">
        <v>0</v>
      </c>
      <c r="DR407" s="399">
        <v>0</v>
      </c>
      <c r="DS407" s="399"/>
      <c r="DT407" s="399"/>
      <c r="DU407" s="399"/>
      <c r="DV407" s="399">
        <v>3319.1531863418631</v>
      </c>
      <c r="DW407" s="399">
        <v>0</v>
      </c>
      <c r="DX407" s="399">
        <v>0</v>
      </c>
      <c r="DY407" s="399">
        <v>-899.69312000000173</v>
      </c>
      <c r="DZ407" s="399">
        <v>843.13455999999951</v>
      </c>
      <c r="EA407" s="399">
        <v>0</v>
      </c>
      <c r="EB407" s="399">
        <v>0</v>
      </c>
      <c r="EC407" s="399">
        <v>-717.58301012513266</v>
      </c>
      <c r="ED407" s="399">
        <v>0</v>
      </c>
      <c r="EE407" s="399">
        <v>0</v>
      </c>
      <c r="EF407" s="399">
        <v>0</v>
      </c>
      <c r="EG407" s="399">
        <v>0</v>
      </c>
      <c r="EH407" s="399">
        <v>0</v>
      </c>
      <c r="EI407" s="399">
        <v>0</v>
      </c>
      <c r="EJ407" s="399">
        <v>0</v>
      </c>
      <c r="EK407" s="399">
        <v>0</v>
      </c>
      <c r="EL407" s="399">
        <v>0</v>
      </c>
      <c r="EM407" s="399">
        <v>0</v>
      </c>
      <c r="EN407" s="399">
        <v>0</v>
      </c>
      <c r="EO407" s="399">
        <v>0</v>
      </c>
      <c r="EP407" s="399">
        <v>431.83009651584467</v>
      </c>
      <c r="EQ407" s="399">
        <v>0</v>
      </c>
      <c r="ER407" s="399">
        <v>0</v>
      </c>
      <c r="ES407" s="399">
        <v>0</v>
      </c>
      <c r="ET407" s="399">
        <v>0</v>
      </c>
      <c r="EU407" s="399">
        <v>0</v>
      </c>
      <c r="EV407" s="399">
        <v>215</v>
      </c>
      <c r="EW407" s="399">
        <v>0</v>
      </c>
      <c r="EX407" s="399">
        <v>0</v>
      </c>
      <c r="EY407" s="399">
        <v>0</v>
      </c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411</v>
      </c>
      <c r="B408" s="399" t="s">
        <v>956</v>
      </c>
      <c r="C408" s="399" t="s">
        <v>2352</v>
      </c>
      <c r="D408" s="399" t="s">
        <v>533</v>
      </c>
      <c r="E408" s="399" t="s">
        <v>2354</v>
      </c>
      <c r="F408" s="399" t="s">
        <v>1239</v>
      </c>
      <c r="G408" s="399" t="s">
        <v>1239</v>
      </c>
      <c r="H408" s="399" t="s">
        <v>1239</v>
      </c>
      <c r="I408" s="399" t="s">
        <v>893</v>
      </c>
      <c r="J408" s="399" t="s">
        <v>2344</v>
      </c>
      <c r="K408" s="791">
        <v>44682</v>
      </c>
      <c r="L408" s="399">
        <v>0</v>
      </c>
      <c r="M408" s="399">
        <v>0</v>
      </c>
      <c r="N408" s="399">
        <v>0.81</v>
      </c>
      <c r="O408" s="399">
        <v>0.81</v>
      </c>
      <c r="P408" s="399">
        <v>0.81</v>
      </c>
      <c r="Q408" s="399">
        <v>0.81</v>
      </c>
      <c r="R408" s="399"/>
      <c r="S408" s="399">
        <v>984.21</v>
      </c>
      <c r="T408" s="399">
        <v>171.61</v>
      </c>
      <c r="U408" s="399"/>
      <c r="V408" s="399">
        <v>936.21420000000012</v>
      </c>
      <c r="W408" s="399">
        <v>936.21420000000012</v>
      </c>
      <c r="X408" s="399">
        <v>873.05850000000009</v>
      </c>
      <c r="Y408" s="399">
        <v>0</v>
      </c>
      <c r="Z408" s="399">
        <v>42.604258826458107</v>
      </c>
      <c r="AA408" s="399">
        <v>0</v>
      </c>
      <c r="AB408" s="399">
        <v>0</v>
      </c>
      <c r="AC408" s="399">
        <v>0</v>
      </c>
      <c r="AD408" s="399">
        <v>318.90401897387608</v>
      </c>
      <c r="AE408" s="399">
        <v>414.78651785454156</v>
      </c>
      <c r="AF408" s="399">
        <v>133.95312443840132</v>
      </c>
      <c r="AG408" s="399">
        <v>5.050639126774966</v>
      </c>
      <c r="AH408" s="399">
        <v>0</v>
      </c>
      <c r="AI408" s="399">
        <v>0</v>
      </c>
      <c r="AJ408" s="399">
        <v>0</v>
      </c>
      <c r="AK408" s="399">
        <v>0</v>
      </c>
      <c r="AL408" s="399">
        <v>7.5719697297025306</v>
      </c>
      <c r="AM408" s="399"/>
      <c r="AN408" s="399">
        <v>0.21388898464279246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5.0068438997442364</v>
      </c>
      <c r="BH408" s="399">
        <v>0</v>
      </c>
      <c r="BI408" s="399">
        <v>0</v>
      </c>
      <c r="BJ408" s="399">
        <v>0</v>
      </c>
      <c r="BK408" s="399">
        <v>0</v>
      </c>
      <c r="BL408" s="399">
        <v>0</v>
      </c>
      <c r="BM408" s="399"/>
      <c r="BN408" s="399"/>
      <c r="BO408" s="399"/>
      <c r="BP408" s="399"/>
      <c r="BQ408" s="399"/>
      <c r="BR408" s="399"/>
      <c r="BS408" s="399"/>
      <c r="BT408" s="399"/>
      <c r="BU408" s="399"/>
      <c r="BV408" s="399">
        <v>138.95996833814556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873.05850000000009</v>
      </c>
      <c r="CJ408" s="399">
        <v>-63.185699999999997</v>
      </c>
      <c r="CK408" s="399"/>
      <c r="CL408" s="399"/>
      <c r="CM408" s="399"/>
      <c r="CN408" s="399"/>
      <c r="CO408" s="399">
        <v>-81.388800000000018</v>
      </c>
      <c r="CP408" s="399">
        <v>18.233099999999993</v>
      </c>
      <c r="CQ408" s="399">
        <v>31</v>
      </c>
      <c r="CR408" s="399">
        <v>26.522274564492136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14.361085125373279</v>
      </c>
      <c r="DA408" s="399">
        <v>0</v>
      </c>
      <c r="DB408" s="399">
        <v>0</v>
      </c>
      <c r="DC408" s="399">
        <v>18.237430786861239</v>
      </c>
      <c r="DD408" s="399">
        <v>0</v>
      </c>
      <c r="DE408" s="399">
        <v>0</v>
      </c>
      <c r="DF408" s="399">
        <v>0</v>
      </c>
      <c r="DG408" s="399">
        <v>0.68167106564350188</v>
      </c>
      <c r="DH408" s="399">
        <v>0</v>
      </c>
      <c r="DI408" s="399">
        <v>-5.8518122616435591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-0.87262113612745829</v>
      </c>
      <c r="DP408" s="399">
        <v>-3.3479015614933688E-2</v>
      </c>
      <c r="DQ408" s="399">
        <v>0</v>
      </c>
      <c r="DR408" s="399">
        <v>0</v>
      </c>
      <c r="DS408" s="399"/>
      <c r="DT408" s="399"/>
      <c r="DU408" s="399"/>
      <c r="DV408" s="399">
        <v>414.78651785454156</v>
      </c>
      <c r="DW408" s="399">
        <v>0</v>
      </c>
      <c r="DX408" s="399">
        <v>0</v>
      </c>
      <c r="DY408" s="399">
        <v>-81.38880000000006</v>
      </c>
      <c r="DZ408" s="399">
        <v>18.233099999999979</v>
      </c>
      <c r="EA408" s="399">
        <v>0</v>
      </c>
      <c r="EB408" s="399">
        <v>0</v>
      </c>
      <c r="EC408" s="399">
        <v>-89.674607145633331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8.124483901503492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215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412</v>
      </c>
      <c r="B409" s="399" t="s">
        <v>956</v>
      </c>
      <c r="C409" s="399" t="s">
        <v>2352</v>
      </c>
      <c r="D409" s="399" t="s">
        <v>533</v>
      </c>
      <c r="E409" s="399" t="s">
        <v>2354</v>
      </c>
      <c r="F409" s="399" t="s">
        <v>1239</v>
      </c>
      <c r="G409" s="399" t="s">
        <v>1239</v>
      </c>
      <c r="H409" s="399" t="s">
        <v>1239</v>
      </c>
      <c r="I409" s="399" t="s">
        <v>2326</v>
      </c>
      <c r="J409" s="399" t="s">
        <v>2344</v>
      </c>
      <c r="K409" s="791">
        <v>44682</v>
      </c>
      <c r="L409" s="399">
        <v>0</v>
      </c>
      <c r="M409" s="399">
        <v>0</v>
      </c>
      <c r="N409" s="399">
        <v>7.7690000000000001</v>
      </c>
      <c r="O409" s="399">
        <v>7.7690000000000001</v>
      </c>
      <c r="P409" s="399">
        <v>7.7690000000000001</v>
      </c>
      <c r="Q409" s="399">
        <v>7.7690000000000001</v>
      </c>
      <c r="R409" s="399"/>
      <c r="S409" s="399">
        <v>78.42</v>
      </c>
      <c r="T409" s="399">
        <v>171.61</v>
      </c>
      <c r="U409" s="399"/>
      <c r="V409" s="399">
        <v>1942.4830700000002</v>
      </c>
      <c r="W409" s="399">
        <v>1942.4830700000002</v>
      </c>
      <c r="X409" s="399">
        <v>2059.0957600000002</v>
      </c>
      <c r="Y409" s="399">
        <v>0</v>
      </c>
      <c r="Z409" s="399">
        <v>408.6326997811766</v>
      </c>
      <c r="AA409" s="399">
        <v>0</v>
      </c>
      <c r="AB409" s="399">
        <v>0</v>
      </c>
      <c r="AC409" s="399">
        <v>0</v>
      </c>
      <c r="AD409" s="399">
        <v>0</v>
      </c>
      <c r="AE409" s="399">
        <v>0</v>
      </c>
      <c r="AF409" s="399">
        <v>1284.7923750147404</v>
      </c>
      <c r="AG409" s="399">
        <v>48.442488118413223</v>
      </c>
      <c r="AH409" s="399">
        <v>0</v>
      </c>
      <c r="AI409" s="399">
        <v>0</v>
      </c>
      <c r="AJ409" s="399">
        <v>0</v>
      </c>
      <c r="AK409" s="399">
        <v>0</v>
      </c>
      <c r="AL409" s="399">
        <v>72.625472629702415</v>
      </c>
      <c r="AM409" s="399"/>
      <c r="AN409" s="399">
        <v>2.0514858292467339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48.022432416188849</v>
      </c>
      <c r="BH409" s="399">
        <v>0</v>
      </c>
      <c r="BI409" s="399">
        <v>0</v>
      </c>
      <c r="BJ409" s="399">
        <v>0</v>
      </c>
      <c r="BK409" s="399">
        <v>0</v>
      </c>
      <c r="BL409" s="399">
        <v>0</v>
      </c>
      <c r="BM409" s="399"/>
      <c r="BN409" s="399"/>
      <c r="BO409" s="399"/>
      <c r="BP409" s="399"/>
      <c r="BQ409" s="399"/>
      <c r="BR409" s="399"/>
      <c r="BS409" s="399"/>
      <c r="BT409" s="399"/>
      <c r="BU409" s="399"/>
      <c r="BV409" s="399">
        <v>1332.8148074309292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2059.3607999999999</v>
      </c>
      <c r="CJ409" s="399">
        <v>116.84772999999973</v>
      </c>
      <c r="CK409" s="399"/>
      <c r="CL409" s="399"/>
      <c r="CM409" s="399"/>
      <c r="CN409" s="399"/>
      <c r="CO409" s="399">
        <v>-58.267499999999998</v>
      </c>
      <c r="CP409" s="399">
        <v>174.88018999999994</v>
      </c>
      <c r="CQ409" s="399">
        <v>31</v>
      </c>
      <c r="CR409" s="399">
        <v>116.64232191668384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0</v>
      </c>
      <c r="DA409" s="399">
        <v>0</v>
      </c>
      <c r="DB409" s="399">
        <v>0</v>
      </c>
      <c r="DC409" s="399">
        <v>174.92172812731496</v>
      </c>
      <c r="DD409" s="399">
        <v>0</v>
      </c>
      <c r="DE409" s="399">
        <v>0</v>
      </c>
      <c r="DF409" s="399">
        <v>0</v>
      </c>
      <c r="DG409" s="399">
        <v>6.5381512456597122</v>
      </c>
      <c r="DH409" s="399">
        <v>0</v>
      </c>
      <c r="DI409" s="399">
        <v>-56.126826494702243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-8.369621736511391</v>
      </c>
      <c r="DP409" s="399">
        <v>-0.3211092250770613</v>
      </c>
      <c r="DQ409" s="399">
        <v>0</v>
      </c>
      <c r="DR409" s="399">
        <v>0</v>
      </c>
      <c r="DS409" s="399"/>
      <c r="DT409" s="399"/>
      <c r="DU409" s="399"/>
      <c r="DV409" s="399">
        <v>0</v>
      </c>
      <c r="DW409" s="399">
        <v>0</v>
      </c>
      <c r="DX409" s="399">
        <v>0</v>
      </c>
      <c r="DY409" s="399">
        <v>-58.267500000000041</v>
      </c>
      <c r="DZ409" s="399">
        <v>174.88019000000008</v>
      </c>
      <c r="EA409" s="399">
        <v>0</v>
      </c>
      <c r="EB409" s="399">
        <v>0</v>
      </c>
      <c r="EC409" s="399">
        <v>0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77.924833865161276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215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413</v>
      </c>
      <c r="B410" s="399" t="s">
        <v>956</v>
      </c>
      <c r="C410" s="399" t="s">
        <v>2352</v>
      </c>
      <c r="D410" s="399" t="s">
        <v>533</v>
      </c>
      <c r="E410" s="399" t="s">
        <v>2354</v>
      </c>
      <c r="F410" s="399" t="s">
        <v>1239</v>
      </c>
      <c r="G410" s="399" t="s">
        <v>1239</v>
      </c>
      <c r="H410" s="399" t="s">
        <v>1239</v>
      </c>
      <c r="I410" s="399" t="s">
        <v>1239</v>
      </c>
      <c r="J410" s="399" t="s">
        <v>2344</v>
      </c>
      <c r="K410" s="791">
        <v>44682</v>
      </c>
      <c r="L410" s="399">
        <v>155</v>
      </c>
      <c r="M410" s="399">
        <v>155</v>
      </c>
      <c r="N410" s="399">
        <v>0</v>
      </c>
      <c r="O410" s="399">
        <v>0</v>
      </c>
      <c r="P410" s="399">
        <v>0</v>
      </c>
      <c r="Q410" s="399">
        <v>0</v>
      </c>
      <c r="R410" s="399">
        <v>12.58</v>
      </c>
      <c r="S410" s="399"/>
      <c r="T410" s="399"/>
      <c r="U410" s="399">
        <v>1949.9</v>
      </c>
      <c r="V410" s="399"/>
      <c r="W410" s="399">
        <v>1949.9</v>
      </c>
      <c r="X410" s="399">
        <v>1796.45</v>
      </c>
      <c r="Y410" s="399">
        <v>0</v>
      </c>
      <c r="Z410" s="399">
        <v>0</v>
      </c>
      <c r="AA410" s="399">
        <v>0</v>
      </c>
      <c r="AB410" s="399">
        <v>0</v>
      </c>
      <c r="AC410" s="399">
        <v>0</v>
      </c>
      <c r="AD410" s="399">
        <v>1027.2531104861855</v>
      </c>
      <c r="AE410" s="399">
        <v>922.20489893827255</v>
      </c>
      <c r="AF410" s="399"/>
      <c r="AG410" s="399"/>
      <c r="AH410" s="399"/>
      <c r="AI410" s="399">
        <v>0</v>
      </c>
      <c r="AJ410" s="399">
        <v>0</v>
      </c>
      <c r="AK410" s="399">
        <v>0</v>
      </c>
      <c r="AL410" s="399">
        <v>0</v>
      </c>
      <c r="AM410" s="399"/>
      <c r="AN410" s="399">
        <v>0</v>
      </c>
      <c r="AO410" s="399">
        <v>0</v>
      </c>
      <c r="AP410" s="399">
        <v>0</v>
      </c>
      <c r="AQ410" s="399">
        <v>0</v>
      </c>
      <c r="AR410" s="399">
        <v>0</v>
      </c>
      <c r="AS410" s="399"/>
      <c r="AT410" s="399"/>
      <c r="AU410" s="399">
        <v>0</v>
      </c>
      <c r="AV410" s="399">
        <v>0</v>
      </c>
      <c r="AW410" s="399">
        <v>0</v>
      </c>
      <c r="AX410" s="399"/>
      <c r="AY410" s="399"/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/>
      <c r="BG410" s="399">
        <v>0</v>
      </c>
      <c r="BH410" s="399">
        <v>0</v>
      </c>
      <c r="BI410" s="399">
        <v>0</v>
      </c>
      <c r="BJ410" s="399">
        <v>0</v>
      </c>
      <c r="BK410" s="399">
        <v>551.29</v>
      </c>
      <c r="BL410" s="399">
        <v>3</v>
      </c>
      <c r="BM410" s="399"/>
      <c r="BN410" s="399"/>
      <c r="BO410" s="399"/>
      <c r="BP410" s="399"/>
      <c r="BQ410" s="399"/>
      <c r="BR410" s="399"/>
      <c r="BS410" s="399"/>
      <c r="BT410" s="399"/>
      <c r="BU410" s="399"/>
      <c r="BV410" s="399">
        <v>0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1796.45</v>
      </c>
      <c r="CJ410" s="399">
        <v>-153.48000000000002</v>
      </c>
      <c r="CK410" s="399"/>
      <c r="CL410" s="399"/>
      <c r="CM410" s="399"/>
      <c r="CN410" s="399"/>
      <c r="CO410" s="399">
        <v>-153.45000000000005</v>
      </c>
      <c r="CP410" s="399">
        <v>0</v>
      </c>
      <c r="CQ410" s="399">
        <v>31</v>
      </c>
      <c r="CR410" s="399">
        <v>46.259904194573437</v>
      </c>
      <c r="CS410" s="399">
        <v>0</v>
      </c>
      <c r="CT410" s="399">
        <v>0</v>
      </c>
      <c r="CU410" s="399">
        <v>0</v>
      </c>
      <c r="CV410" s="399">
        <v>0</v>
      </c>
      <c r="CW410" s="399"/>
      <c r="CX410" s="399"/>
      <c r="CY410" s="399"/>
      <c r="CZ410" s="399">
        <v>46.259904194573437</v>
      </c>
      <c r="DA410" s="399">
        <v>0</v>
      </c>
      <c r="DB410" s="399">
        <v>0</v>
      </c>
      <c r="DC410" s="399"/>
      <c r="DD410" s="399"/>
      <c r="DE410" s="399">
        <v>0</v>
      </c>
      <c r="DF410" s="399">
        <v>0</v>
      </c>
      <c r="DG410" s="399">
        <v>0</v>
      </c>
      <c r="DH410" s="399">
        <v>0</v>
      </c>
      <c r="DI410" s="399">
        <v>0</v>
      </c>
      <c r="DJ410" s="399"/>
      <c r="DK410" s="399">
        <v>0</v>
      </c>
      <c r="DL410" s="399">
        <v>0</v>
      </c>
      <c r="DM410" s="399"/>
      <c r="DN410" s="399">
        <v>0</v>
      </c>
      <c r="DO410" s="399">
        <v>0</v>
      </c>
      <c r="DP410" s="399">
        <v>0</v>
      </c>
      <c r="DQ410" s="399">
        <v>0</v>
      </c>
      <c r="DR410" s="399">
        <v>0</v>
      </c>
      <c r="DS410" s="399"/>
      <c r="DT410" s="399"/>
      <c r="DU410" s="399">
        <v>922.20489893827255</v>
      </c>
      <c r="DV410" s="399"/>
      <c r="DW410" s="399">
        <v>0</v>
      </c>
      <c r="DX410" s="399">
        <v>0</v>
      </c>
      <c r="DY410" s="399">
        <v>-153.45000000000005</v>
      </c>
      <c r="DZ410" s="399"/>
      <c r="EA410" s="399">
        <v>0</v>
      </c>
      <c r="EB410" s="399"/>
      <c r="EC410" s="399">
        <v>-199.37572331863748</v>
      </c>
      <c r="ED410" s="399"/>
      <c r="EE410" s="399">
        <v>0</v>
      </c>
      <c r="EF410" s="399">
        <v>0</v>
      </c>
      <c r="EG410" s="399"/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/>
      <c r="EN410" s="399"/>
      <c r="EO410" s="399">
        <v>0</v>
      </c>
      <c r="EP410" s="399">
        <v>0</v>
      </c>
      <c r="EQ410" s="399"/>
      <c r="ER410" s="399">
        <v>0</v>
      </c>
      <c r="ES410" s="399"/>
      <c r="ET410" s="399">
        <v>0</v>
      </c>
      <c r="EU410" s="399"/>
      <c r="EV410" s="399">
        <v>215</v>
      </c>
      <c r="EW410" s="399"/>
      <c r="EX410" s="399"/>
      <c r="EY410" s="399"/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414</v>
      </c>
      <c r="B411" s="399" t="s">
        <v>956</v>
      </c>
      <c r="C411" s="399" t="s">
        <v>2343</v>
      </c>
      <c r="D411" s="399" t="s">
        <v>2355</v>
      </c>
      <c r="E411" s="399" t="s">
        <v>2356</v>
      </c>
      <c r="F411" s="399" t="s">
        <v>2357</v>
      </c>
      <c r="G411" s="399" t="s">
        <v>1239</v>
      </c>
      <c r="H411" s="399" t="s">
        <v>1239</v>
      </c>
      <c r="I411" s="399" t="s">
        <v>1239</v>
      </c>
      <c r="J411" s="399" t="s">
        <v>2344</v>
      </c>
      <c r="K411" s="791">
        <v>44682</v>
      </c>
      <c r="L411" s="399">
        <v>0</v>
      </c>
      <c r="M411" s="399">
        <v>0</v>
      </c>
      <c r="N411" s="399">
        <v>103.251</v>
      </c>
      <c r="O411" s="399">
        <v>103.251</v>
      </c>
      <c r="P411" s="399">
        <v>103.251</v>
      </c>
      <c r="Q411" s="399">
        <v>103.251</v>
      </c>
      <c r="R411" s="399"/>
      <c r="S411" s="399">
        <v>131.83000000000001</v>
      </c>
      <c r="T411" s="399">
        <v>94.39</v>
      </c>
      <c r="U411" s="399"/>
      <c r="V411" s="399">
        <v>23357.441220000001</v>
      </c>
      <c r="W411" s="399">
        <v>23357.441220000001</v>
      </c>
      <c r="X411" s="399">
        <v>23271.742890000001</v>
      </c>
      <c r="Y411" s="399">
        <v>0</v>
      </c>
      <c r="Z411" s="399">
        <v>3433.2521362989191</v>
      </c>
      <c r="AA411" s="399">
        <v>0</v>
      </c>
      <c r="AB411" s="399">
        <v>0</v>
      </c>
      <c r="AC411" s="399">
        <v>0</v>
      </c>
      <c r="AD411" s="399">
        <v>3028.8470388875098</v>
      </c>
      <c r="AE411" s="399">
        <v>5032.2575049028428</v>
      </c>
      <c r="AF411" s="399">
        <v>9391.2799114372392</v>
      </c>
      <c r="AG411" s="399">
        <v>354.09376205339908</v>
      </c>
      <c r="AH411" s="399">
        <v>0</v>
      </c>
      <c r="AI411" s="399">
        <v>0</v>
      </c>
      <c r="AJ411" s="399">
        <v>0</v>
      </c>
      <c r="AK411" s="399">
        <v>0</v>
      </c>
      <c r="AL411" s="399">
        <v>530.86098223312786</v>
      </c>
      <c r="AM411" s="399"/>
      <c r="AN411" s="399">
        <v>22.491000699359034</v>
      </c>
      <c r="AO411" s="399">
        <v>0</v>
      </c>
      <c r="AP411" s="399">
        <v>0</v>
      </c>
      <c r="AQ411" s="399">
        <v>0</v>
      </c>
      <c r="AR411" s="399">
        <v>0</v>
      </c>
      <c r="AS411" s="399">
        <v>0</v>
      </c>
      <c r="AT411" s="399">
        <v>0</v>
      </c>
      <c r="AU411" s="399">
        <v>0</v>
      </c>
      <c r="AV411" s="399">
        <v>0</v>
      </c>
      <c r="AW411" s="399">
        <v>0</v>
      </c>
      <c r="AX411" s="399">
        <v>0</v>
      </c>
      <c r="AY411" s="399">
        <v>0</v>
      </c>
      <c r="AZ411" s="399">
        <v>0</v>
      </c>
      <c r="BA411" s="399"/>
      <c r="BB411" s="399">
        <v>0</v>
      </c>
      <c r="BC411" s="399">
        <v>0</v>
      </c>
      <c r="BD411" s="399">
        <v>0</v>
      </c>
      <c r="BE411" s="399">
        <v>0</v>
      </c>
      <c r="BF411" s="399">
        <v>0</v>
      </c>
      <c r="BG411" s="399">
        <v>909.17173554720068</v>
      </c>
      <c r="BH411" s="399">
        <v>0</v>
      </c>
      <c r="BI411" s="399">
        <v>0</v>
      </c>
      <c r="BJ411" s="399">
        <v>0</v>
      </c>
      <c r="BK411" s="399">
        <v>7757.22</v>
      </c>
      <c r="BL411" s="399">
        <v>7</v>
      </c>
      <c r="BM411" s="399"/>
      <c r="BN411" s="399"/>
      <c r="BO411" s="399"/>
      <c r="BP411" s="399"/>
      <c r="BQ411" s="399"/>
      <c r="BR411" s="399"/>
      <c r="BS411" s="399"/>
      <c r="BT411" s="399"/>
      <c r="BU411" s="399"/>
      <c r="BV411" s="399">
        <v>10300.45164698444</v>
      </c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>
        <v>23271.517500000002</v>
      </c>
      <c r="CJ411" s="399">
        <v>-85.95372000000134</v>
      </c>
      <c r="CK411" s="399"/>
      <c r="CL411" s="399"/>
      <c r="CM411" s="399"/>
      <c r="CN411" s="399"/>
      <c r="CO411" s="399">
        <v>-1363.9457100000009</v>
      </c>
      <c r="CP411" s="399">
        <v>1278.2473799999996</v>
      </c>
      <c r="CQ411" s="399">
        <v>31</v>
      </c>
      <c r="CR411" s="399">
        <v>1002.5159681732548</v>
      </c>
      <c r="CS411" s="399">
        <v>0</v>
      </c>
      <c r="CT411" s="399">
        <v>0</v>
      </c>
      <c r="CU411" s="399">
        <v>0</v>
      </c>
      <c r="CV411" s="399">
        <v>0</v>
      </c>
      <c r="CW411" s="399">
        <v>0</v>
      </c>
      <c r="CX411" s="399">
        <v>0</v>
      </c>
      <c r="CY411" s="399">
        <v>0</v>
      </c>
      <c r="CZ411" s="399">
        <v>136.39693314984288</v>
      </c>
      <c r="DA411" s="399">
        <v>0</v>
      </c>
      <c r="DB411" s="399">
        <v>0</v>
      </c>
      <c r="DC411" s="399">
        <v>1278.602631352871</v>
      </c>
      <c r="DD411" s="399">
        <v>0</v>
      </c>
      <c r="DE411" s="399">
        <v>0</v>
      </c>
      <c r="DF411" s="399">
        <v>0</v>
      </c>
      <c r="DG411" s="399">
        <v>123.78178314189029</v>
      </c>
      <c r="DH411" s="399">
        <v>0</v>
      </c>
      <c r="DI411" s="399">
        <v>-471.56663446123321</v>
      </c>
      <c r="DJ411" s="399"/>
      <c r="DK411" s="399">
        <v>0</v>
      </c>
      <c r="DL411" s="399">
        <v>0</v>
      </c>
      <c r="DM411" s="399">
        <v>0</v>
      </c>
      <c r="DN411" s="399">
        <v>0</v>
      </c>
      <c r="DO411" s="399">
        <v>-61.178336678349183</v>
      </c>
      <c r="DP411" s="399">
        <v>-3.5204083317653385</v>
      </c>
      <c r="DQ411" s="399">
        <v>0</v>
      </c>
      <c r="DR411" s="399">
        <v>0</v>
      </c>
      <c r="DS411" s="399"/>
      <c r="DT411" s="399"/>
      <c r="DU411" s="399"/>
      <c r="DV411" s="399">
        <v>5032.2575049028428</v>
      </c>
      <c r="DW411" s="399">
        <v>0</v>
      </c>
      <c r="DX411" s="399">
        <v>0</v>
      </c>
      <c r="DY411" s="399">
        <v>-1363.9457100000018</v>
      </c>
      <c r="DZ411" s="399">
        <v>1278.2473800000007</v>
      </c>
      <c r="EA411" s="399">
        <v>0</v>
      </c>
      <c r="EB411" s="399">
        <v>0</v>
      </c>
      <c r="EC411" s="399">
        <v>-1087.9469206038098</v>
      </c>
      <c r="ED411" s="399">
        <v>0</v>
      </c>
      <c r="EE411" s="399">
        <v>0</v>
      </c>
      <c r="EF411" s="399">
        <v>0</v>
      </c>
      <c r="EG411" s="399">
        <v>0</v>
      </c>
      <c r="EH411" s="399">
        <v>0</v>
      </c>
      <c r="EI411" s="399">
        <v>0</v>
      </c>
      <c r="EJ411" s="399">
        <v>0</v>
      </c>
      <c r="EK411" s="399">
        <v>0</v>
      </c>
      <c r="EL411" s="399">
        <v>0</v>
      </c>
      <c r="EM411" s="399">
        <v>0</v>
      </c>
      <c r="EN411" s="399">
        <v>0</v>
      </c>
      <c r="EO411" s="399">
        <v>0</v>
      </c>
      <c r="EP411" s="399">
        <v>654.70923516783785</v>
      </c>
      <c r="EQ411" s="399">
        <v>0</v>
      </c>
      <c r="ER411" s="399">
        <v>0</v>
      </c>
      <c r="ES411" s="399">
        <v>0</v>
      </c>
      <c r="ET411" s="399">
        <v>0</v>
      </c>
      <c r="EU411" s="399">
        <v>0</v>
      </c>
      <c r="EV411" s="399">
        <v>215</v>
      </c>
      <c r="EW411" s="399">
        <v>0</v>
      </c>
      <c r="EX411" s="399">
        <v>0</v>
      </c>
      <c r="EY411" s="399">
        <v>0</v>
      </c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415</v>
      </c>
      <c r="B412" s="399" t="s">
        <v>956</v>
      </c>
      <c r="C412" s="399" t="s">
        <v>2343</v>
      </c>
      <c r="D412" s="399" t="s">
        <v>1826</v>
      </c>
      <c r="E412" s="399" t="s">
        <v>921</v>
      </c>
      <c r="F412" s="399" t="s">
        <v>2358</v>
      </c>
      <c r="G412" s="399" t="s">
        <v>1239</v>
      </c>
      <c r="H412" s="399" t="s">
        <v>1239</v>
      </c>
      <c r="I412" s="399" t="s">
        <v>1239</v>
      </c>
      <c r="J412" s="399" t="s">
        <v>2344</v>
      </c>
      <c r="K412" s="791">
        <v>44682</v>
      </c>
      <c r="L412" s="399">
        <v>0</v>
      </c>
      <c r="M412" s="399">
        <v>0</v>
      </c>
      <c r="N412" s="399">
        <v>38.735999999999997</v>
      </c>
      <c r="O412" s="399">
        <v>36.411839999999998</v>
      </c>
      <c r="P412" s="399">
        <v>38.735999999999997</v>
      </c>
      <c r="Q412" s="399">
        <v>36.411839999999998</v>
      </c>
      <c r="R412" s="399"/>
      <c r="S412" s="399">
        <v>239.69</v>
      </c>
      <c r="T412" s="399">
        <v>171.61</v>
      </c>
      <c r="U412" s="399"/>
      <c r="V412" s="399">
        <v>15932.1168</v>
      </c>
      <c r="W412" s="399">
        <v>15932.1168</v>
      </c>
      <c r="X412" s="399">
        <v>15873.625439999998</v>
      </c>
      <c r="Y412" s="399">
        <v>0</v>
      </c>
      <c r="Z412" s="399">
        <v>2341.8739462206349</v>
      </c>
      <c r="AA412" s="399">
        <v>0</v>
      </c>
      <c r="AB412" s="399">
        <v>0</v>
      </c>
      <c r="AC412" s="399">
        <v>0</v>
      </c>
      <c r="AD412" s="399">
        <v>2066.0230259420168</v>
      </c>
      <c r="AE412" s="399">
        <v>3432.5800359391924</v>
      </c>
      <c r="AF412" s="399">
        <v>6405.9360842542128</v>
      </c>
      <c r="AG412" s="399">
        <v>241.53278668488281</v>
      </c>
      <c r="AH412" s="399">
        <v>0</v>
      </c>
      <c r="AI412" s="399">
        <v>0</v>
      </c>
      <c r="AJ412" s="399">
        <v>0</v>
      </c>
      <c r="AK412" s="399">
        <v>0</v>
      </c>
      <c r="AL412" s="399">
        <v>362.10841907377431</v>
      </c>
      <c r="AM412" s="399"/>
      <c r="AN412" s="399">
        <v>15.34145657564172</v>
      </c>
      <c r="AO412" s="399">
        <v>0</v>
      </c>
      <c r="AP412" s="399">
        <v>0</v>
      </c>
      <c r="AQ412" s="399">
        <v>0</v>
      </c>
      <c r="AR412" s="399">
        <v>0</v>
      </c>
      <c r="AS412" s="399">
        <v>0</v>
      </c>
      <c r="AT412" s="399">
        <v>0</v>
      </c>
      <c r="AU412" s="399">
        <v>0</v>
      </c>
      <c r="AV412" s="399">
        <v>0</v>
      </c>
      <c r="AW412" s="399">
        <v>0</v>
      </c>
      <c r="AX412" s="399">
        <v>0</v>
      </c>
      <c r="AY412" s="399">
        <v>0</v>
      </c>
      <c r="AZ412" s="399">
        <v>0</v>
      </c>
      <c r="BA412" s="399"/>
      <c r="BB412" s="399">
        <v>0</v>
      </c>
      <c r="BC412" s="399">
        <v>0</v>
      </c>
      <c r="BD412" s="399">
        <v>0</v>
      </c>
      <c r="BE412" s="399">
        <v>0</v>
      </c>
      <c r="BF412" s="399">
        <v>0</v>
      </c>
      <c r="BG412" s="399">
        <v>620.15998697184398</v>
      </c>
      <c r="BH412" s="399">
        <v>0</v>
      </c>
      <c r="BI412" s="399">
        <v>0</v>
      </c>
      <c r="BJ412" s="399">
        <v>0</v>
      </c>
      <c r="BK412" s="399">
        <v>5290.91</v>
      </c>
      <c r="BL412" s="399">
        <v>40</v>
      </c>
      <c r="BM412" s="399"/>
      <c r="BN412" s="399"/>
      <c r="BO412" s="399"/>
      <c r="BP412" s="399"/>
      <c r="BQ412" s="399">
        <v>952.41752639999959</v>
      </c>
      <c r="BR412" s="399"/>
      <c r="BS412" s="399"/>
      <c r="BT412" s="399"/>
      <c r="BU412" s="399"/>
      <c r="BV412" s="399">
        <v>7026.0960712260567</v>
      </c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>
        <v>14920.453899999997</v>
      </c>
      <c r="CJ412" s="399">
        <v>-55.765892000003078</v>
      </c>
      <c r="CK412" s="399"/>
      <c r="CL412" s="399"/>
      <c r="CM412" s="399"/>
      <c r="CN412" s="399"/>
      <c r="CO412" s="399">
        <v>-930.43872000000033</v>
      </c>
      <c r="CP412" s="399">
        <v>871.94735999999955</v>
      </c>
      <c r="CQ412" s="399">
        <v>31</v>
      </c>
      <c r="CR412" s="399">
        <v>683.83151989122598</v>
      </c>
      <c r="CS412" s="399">
        <v>0</v>
      </c>
      <c r="CT412" s="399">
        <v>0</v>
      </c>
      <c r="CU412" s="399">
        <v>0</v>
      </c>
      <c r="CV412" s="399">
        <v>0</v>
      </c>
      <c r="CW412" s="399">
        <v>0</v>
      </c>
      <c r="CX412" s="399">
        <v>0</v>
      </c>
      <c r="CY412" s="399">
        <v>0</v>
      </c>
      <c r="CZ412" s="399">
        <v>93.038440349552729</v>
      </c>
      <c r="DA412" s="399">
        <v>0</v>
      </c>
      <c r="DB412" s="399">
        <v>0</v>
      </c>
      <c r="DC412" s="399">
        <v>872.15446785167569</v>
      </c>
      <c r="DD412" s="399">
        <v>0</v>
      </c>
      <c r="DE412" s="399">
        <v>0</v>
      </c>
      <c r="DF412" s="399">
        <v>0</v>
      </c>
      <c r="DG412" s="399">
        <v>84.433453020207139</v>
      </c>
      <c r="DH412" s="399">
        <v>0</v>
      </c>
      <c r="DI412" s="399">
        <v>-321.66283491844342</v>
      </c>
      <c r="DJ412" s="399"/>
      <c r="DK412" s="399">
        <v>0</v>
      </c>
      <c r="DL412" s="399">
        <v>0</v>
      </c>
      <c r="DM412" s="399">
        <v>0</v>
      </c>
      <c r="DN412" s="399">
        <v>0</v>
      </c>
      <c r="DO412" s="399">
        <v>-41.730681887695368</v>
      </c>
      <c r="DP412" s="399">
        <v>-2.4013245240726295</v>
      </c>
      <c r="DQ412" s="399">
        <v>0</v>
      </c>
      <c r="DR412" s="399">
        <v>0</v>
      </c>
      <c r="DS412" s="399"/>
      <c r="DT412" s="399"/>
      <c r="DU412" s="399"/>
      <c r="DV412" s="399">
        <v>3432.5800359391924</v>
      </c>
      <c r="DW412" s="399">
        <v>0</v>
      </c>
      <c r="DX412" s="399">
        <v>0</v>
      </c>
      <c r="DY412" s="399">
        <v>-930.43872000000192</v>
      </c>
      <c r="DZ412" s="399">
        <v>871.94736000000012</v>
      </c>
      <c r="EA412" s="399">
        <v>0</v>
      </c>
      <c r="EB412" s="399">
        <v>0</v>
      </c>
      <c r="EC412" s="399">
        <v>-742.10528300424858</v>
      </c>
      <c r="ED412" s="399">
        <v>0</v>
      </c>
      <c r="EE412" s="399">
        <v>0</v>
      </c>
      <c r="EF412" s="399">
        <v>0</v>
      </c>
      <c r="EG412" s="399">
        <v>0</v>
      </c>
      <c r="EH412" s="399">
        <v>0</v>
      </c>
      <c r="EI412" s="399">
        <v>0</v>
      </c>
      <c r="EJ412" s="399">
        <v>0</v>
      </c>
      <c r="EK412" s="399">
        <v>0</v>
      </c>
      <c r="EL412" s="399">
        <v>0</v>
      </c>
      <c r="EM412" s="399">
        <v>0</v>
      </c>
      <c r="EN412" s="399">
        <v>0</v>
      </c>
      <c r="EO412" s="399">
        <v>0</v>
      </c>
      <c r="EP412" s="399">
        <v>446.58721215927369</v>
      </c>
      <c r="EQ412" s="399">
        <v>0</v>
      </c>
      <c r="ER412" s="399">
        <v>0</v>
      </c>
      <c r="ES412" s="399">
        <v>0</v>
      </c>
      <c r="ET412" s="399">
        <v>0</v>
      </c>
      <c r="EU412" s="399">
        <v>0</v>
      </c>
      <c r="EV412" s="399">
        <v>215</v>
      </c>
      <c r="EW412" s="399">
        <v>0</v>
      </c>
      <c r="EX412" s="399">
        <v>0</v>
      </c>
      <c r="EY412" s="399">
        <v>0</v>
      </c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416</v>
      </c>
      <c r="B413" s="399" t="s">
        <v>956</v>
      </c>
      <c r="C413" s="399" t="s">
        <v>2343</v>
      </c>
      <c r="D413" s="399" t="s">
        <v>1826</v>
      </c>
      <c r="E413" s="399" t="s">
        <v>2359</v>
      </c>
      <c r="F413" s="399" t="s">
        <v>1239</v>
      </c>
      <c r="G413" s="399" t="s">
        <v>1239</v>
      </c>
      <c r="H413" s="399" t="s">
        <v>1239</v>
      </c>
      <c r="I413" s="399" t="s">
        <v>1239</v>
      </c>
      <c r="J413" s="399" t="s">
        <v>2344</v>
      </c>
      <c r="K413" s="791">
        <v>44682</v>
      </c>
      <c r="L413" s="399">
        <v>0</v>
      </c>
      <c r="M413" s="399">
        <v>0</v>
      </c>
      <c r="N413" s="399">
        <v>9.7750000000000004</v>
      </c>
      <c r="O413" s="399">
        <v>9.7750000000000004</v>
      </c>
      <c r="P413" s="399">
        <v>9.7750000000000004</v>
      </c>
      <c r="Q413" s="399">
        <v>9.7750000000000004</v>
      </c>
      <c r="R413" s="399"/>
      <c r="S413" s="399">
        <v>239.69</v>
      </c>
      <c r="T413" s="399">
        <v>171.61</v>
      </c>
      <c r="U413" s="399"/>
      <c r="V413" s="399">
        <v>4020.4575000000004</v>
      </c>
      <c r="W413" s="399">
        <v>4020.4575000000004</v>
      </c>
      <c r="X413" s="399">
        <v>4005.6972500000002</v>
      </c>
      <c r="Y413" s="399">
        <v>0</v>
      </c>
      <c r="Z413" s="399">
        <v>590.97010079271763</v>
      </c>
      <c r="AA413" s="399">
        <v>0</v>
      </c>
      <c r="AB413" s="399">
        <v>0</v>
      </c>
      <c r="AC413" s="399">
        <v>0</v>
      </c>
      <c r="AD413" s="399">
        <v>521.35933185107444</v>
      </c>
      <c r="AE413" s="399">
        <v>866.20894907335833</v>
      </c>
      <c r="AF413" s="399">
        <v>1616.5330757844108</v>
      </c>
      <c r="AG413" s="399">
        <v>60.950614153364562</v>
      </c>
      <c r="AH413" s="399">
        <v>0</v>
      </c>
      <c r="AI413" s="399">
        <v>0</v>
      </c>
      <c r="AJ413" s="399">
        <v>0</v>
      </c>
      <c r="AK413" s="399">
        <v>0</v>
      </c>
      <c r="AL413" s="399">
        <v>91.377782849187938</v>
      </c>
      <c r="AM413" s="399"/>
      <c r="AN413" s="399">
        <v>3.8714048437344548</v>
      </c>
      <c r="AO413" s="399">
        <v>0</v>
      </c>
      <c r="AP413" s="399">
        <v>0</v>
      </c>
      <c r="AQ413" s="399">
        <v>0</v>
      </c>
      <c r="AR413" s="399">
        <v>0</v>
      </c>
      <c r="AS413" s="399">
        <v>0</v>
      </c>
      <c r="AT413" s="399">
        <v>0</v>
      </c>
      <c r="AU413" s="399">
        <v>0</v>
      </c>
      <c r="AV413" s="399">
        <v>0</v>
      </c>
      <c r="AW413" s="399">
        <v>0</v>
      </c>
      <c r="AX413" s="399">
        <v>0</v>
      </c>
      <c r="AY413" s="399">
        <v>0</v>
      </c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>
        <v>0</v>
      </c>
      <c r="BG413" s="399">
        <v>156.49689881892232</v>
      </c>
      <c r="BH413" s="399">
        <v>0</v>
      </c>
      <c r="BI413" s="399">
        <v>0</v>
      </c>
      <c r="BJ413" s="399">
        <v>0</v>
      </c>
      <c r="BK413" s="399">
        <v>1335.2</v>
      </c>
      <c r="BL413" s="399">
        <v>4</v>
      </c>
      <c r="BM413" s="399"/>
      <c r="BN413" s="399"/>
      <c r="BO413" s="399"/>
      <c r="BP413" s="399"/>
      <c r="BQ413" s="399"/>
      <c r="BR413" s="399"/>
      <c r="BS413" s="399"/>
      <c r="BT413" s="399"/>
      <c r="BU413" s="399"/>
      <c r="BV413" s="399">
        <v>1773.0299746033331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4007.7461999999996</v>
      </c>
      <c r="CJ413" s="399">
        <v>-12.741300000001502</v>
      </c>
      <c r="CK413" s="399"/>
      <c r="CL413" s="399"/>
      <c r="CM413" s="399"/>
      <c r="CN413" s="399"/>
      <c r="CO413" s="399">
        <v>-234.79550000000012</v>
      </c>
      <c r="CP413" s="399">
        <v>220.03524999999991</v>
      </c>
      <c r="CQ413" s="399">
        <v>31</v>
      </c>
      <c r="CR413" s="399">
        <v>172.56436149671481</v>
      </c>
      <c r="CS413" s="399">
        <v>0</v>
      </c>
      <c r="CT413" s="399">
        <v>0</v>
      </c>
      <c r="CU413" s="399">
        <v>0</v>
      </c>
      <c r="CV413" s="399">
        <v>0</v>
      </c>
      <c r="CW413" s="399">
        <v>0</v>
      </c>
      <c r="CX413" s="399">
        <v>0</v>
      </c>
      <c r="CY413" s="399">
        <v>0</v>
      </c>
      <c r="CZ413" s="399">
        <v>23.478179327160206</v>
      </c>
      <c r="DA413" s="399">
        <v>0</v>
      </c>
      <c r="DB413" s="399">
        <v>0</v>
      </c>
      <c r="DC413" s="399">
        <v>220.08751350810962</v>
      </c>
      <c r="DD413" s="399">
        <v>0</v>
      </c>
      <c r="DE413" s="399">
        <v>0</v>
      </c>
      <c r="DF413" s="399">
        <v>0</v>
      </c>
      <c r="DG413" s="399">
        <v>21.30671735007553</v>
      </c>
      <c r="DH413" s="399">
        <v>0</v>
      </c>
      <c r="DI413" s="399">
        <v>-81.1713705939639</v>
      </c>
      <c r="DJ413" s="399"/>
      <c r="DK413" s="399">
        <v>0</v>
      </c>
      <c r="DL413" s="399">
        <v>0</v>
      </c>
      <c r="DM413" s="399">
        <v>0</v>
      </c>
      <c r="DN413" s="399">
        <v>0</v>
      </c>
      <c r="DO413" s="399">
        <v>-10.530705685982596</v>
      </c>
      <c r="DP413" s="399">
        <v>-0.6059724086846856</v>
      </c>
      <c r="DQ413" s="399">
        <v>0</v>
      </c>
      <c r="DR413" s="399">
        <v>0</v>
      </c>
      <c r="DS413" s="399"/>
      <c r="DT413" s="399"/>
      <c r="DU413" s="399"/>
      <c r="DV413" s="399">
        <v>866.20894907335833</v>
      </c>
      <c r="DW413" s="399">
        <v>0</v>
      </c>
      <c r="DX413" s="399">
        <v>0</v>
      </c>
      <c r="DY413" s="399">
        <v>-234.79550000000017</v>
      </c>
      <c r="DZ413" s="399">
        <v>220.03524999999991</v>
      </c>
      <c r="EA413" s="399">
        <v>0</v>
      </c>
      <c r="EB413" s="399">
        <v>0</v>
      </c>
      <c r="EC413" s="399">
        <v>-187.26970108856187</v>
      </c>
      <c r="ED413" s="399">
        <v>0</v>
      </c>
      <c r="EE413" s="399">
        <v>0</v>
      </c>
      <c r="EF413" s="399">
        <v>0</v>
      </c>
      <c r="EG413" s="399">
        <v>0</v>
      </c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>
        <v>0</v>
      </c>
      <c r="EN413" s="399">
        <v>0</v>
      </c>
      <c r="EO413" s="399">
        <v>0</v>
      </c>
      <c r="EP413" s="399">
        <v>112.69594173009348</v>
      </c>
      <c r="EQ413" s="399">
        <v>0</v>
      </c>
      <c r="ER413" s="399">
        <v>0</v>
      </c>
      <c r="ES413" s="399">
        <v>0</v>
      </c>
      <c r="ET413" s="399">
        <v>0</v>
      </c>
      <c r="EU413" s="399">
        <v>0</v>
      </c>
      <c r="EV413" s="399">
        <v>215</v>
      </c>
      <c r="EW413" s="399">
        <v>0</v>
      </c>
      <c r="EX413" s="399">
        <v>0</v>
      </c>
      <c r="EY413" s="399">
        <v>0</v>
      </c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417</v>
      </c>
      <c r="B414" s="399" t="s">
        <v>956</v>
      </c>
      <c r="C414" s="399" t="s">
        <v>2343</v>
      </c>
      <c r="D414" s="399" t="s">
        <v>2353</v>
      </c>
      <c r="E414" s="399" t="s">
        <v>894</v>
      </c>
      <c r="F414" s="399" t="s">
        <v>2360</v>
      </c>
      <c r="G414" s="399" t="s">
        <v>2361</v>
      </c>
      <c r="H414" s="399" t="s">
        <v>1239</v>
      </c>
      <c r="I414" s="399" t="s">
        <v>1239</v>
      </c>
      <c r="J414" s="399" t="s">
        <v>2344</v>
      </c>
      <c r="K414" s="791">
        <v>44682</v>
      </c>
      <c r="L414" s="399">
        <v>0</v>
      </c>
      <c r="M414" s="399">
        <v>0</v>
      </c>
      <c r="N414" s="399">
        <v>0</v>
      </c>
      <c r="O414" s="399">
        <v>0</v>
      </c>
      <c r="P414" s="399">
        <v>0</v>
      </c>
      <c r="Q414" s="399">
        <v>0</v>
      </c>
      <c r="R414" s="399"/>
      <c r="S414" s="399"/>
      <c r="T414" s="399"/>
      <c r="U414" s="399"/>
      <c r="V414" s="399"/>
      <c r="W414" s="399"/>
      <c r="X414" s="399"/>
      <c r="Y414" s="399"/>
      <c r="Z414" s="399"/>
      <c r="AA414" s="399">
        <v>0</v>
      </c>
      <c r="AB414" s="399"/>
      <c r="AC414" s="399"/>
      <c r="AD414" s="399"/>
      <c r="AE414" s="399"/>
      <c r="AF414" s="399"/>
      <c r="AG414" s="399"/>
      <c r="AH414" s="399"/>
      <c r="AI414" s="399"/>
      <c r="AJ414" s="399"/>
      <c r="AK414" s="399"/>
      <c r="AL414" s="399"/>
      <c r="AM414" s="399"/>
      <c r="AN414" s="399"/>
      <c r="AO414" s="399"/>
      <c r="AP414" s="399"/>
      <c r="AQ414" s="399"/>
      <c r="AR414" s="399"/>
      <c r="AS414" s="399"/>
      <c r="AT414" s="399"/>
      <c r="AU414" s="399"/>
      <c r="AV414" s="399"/>
      <c r="AW414" s="399"/>
      <c r="AX414" s="399"/>
      <c r="AY414" s="399"/>
      <c r="AZ414" s="399">
        <v>0</v>
      </c>
      <c r="BA414" s="399"/>
      <c r="BB414" s="399"/>
      <c r="BC414" s="399"/>
      <c r="BD414" s="399"/>
      <c r="BE414" s="399"/>
      <c r="BF414" s="399"/>
      <c r="BG414" s="399"/>
      <c r="BH414" s="399"/>
      <c r="BI414" s="399">
        <v>0</v>
      </c>
      <c r="BJ414" s="399">
        <v>0</v>
      </c>
      <c r="BK414" s="399">
        <v>5.58</v>
      </c>
      <c r="BL414" s="399">
        <v>1</v>
      </c>
      <c r="BM414" s="399"/>
      <c r="BN414" s="399"/>
      <c r="BO414" s="399"/>
      <c r="BP414" s="399"/>
      <c r="BQ414" s="399"/>
      <c r="BR414" s="399"/>
      <c r="BS414" s="399"/>
      <c r="BT414" s="399"/>
      <c r="BU414" s="399"/>
      <c r="BV414" s="399"/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/>
      <c r="CJ414" s="399">
        <v>-0.03</v>
      </c>
      <c r="CK414" s="399"/>
      <c r="CL414" s="399"/>
      <c r="CM414" s="399"/>
      <c r="CN414" s="399"/>
      <c r="CO414" s="399">
        <v>0</v>
      </c>
      <c r="CP414" s="399">
        <v>0</v>
      </c>
      <c r="CQ414" s="399">
        <v>31</v>
      </c>
      <c r="CR414" s="399"/>
      <c r="CS414" s="399"/>
      <c r="CT414" s="399"/>
      <c r="CU414" s="399"/>
      <c r="CV414" s="399"/>
      <c r="CW414" s="399"/>
      <c r="CX414" s="399"/>
      <c r="CY414" s="399"/>
      <c r="CZ414" s="399"/>
      <c r="DA414" s="399"/>
      <c r="DB414" s="399"/>
      <c r="DC414" s="399"/>
      <c r="DD414" s="399"/>
      <c r="DE414" s="399"/>
      <c r="DF414" s="399"/>
      <c r="DG414" s="399"/>
      <c r="DH414" s="399"/>
      <c r="DI414" s="399"/>
      <c r="DJ414" s="399"/>
      <c r="DK414" s="399">
        <v>0</v>
      </c>
      <c r="DL414" s="399"/>
      <c r="DM414" s="399"/>
      <c r="DN414" s="399"/>
      <c r="DO414" s="399"/>
      <c r="DP414" s="399"/>
      <c r="DQ414" s="399"/>
      <c r="DR414" s="399"/>
      <c r="DS414" s="399"/>
      <c r="DT414" s="399"/>
      <c r="DU414" s="399"/>
      <c r="DV414" s="399"/>
      <c r="DW414" s="399"/>
      <c r="DX414" s="399"/>
      <c r="DY414" s="399"/>
      <c r="DZ414" s="399"/>
      <c r="EA414" s="399"/>
      <c r="EB414" s="399"/>
      <c r="EC414" s="399"/>
      <c r="ED414" s="399"/>
      <c r="EE414" s="399"/>
      <c r="EF414" s="399"/>
      <c r="EG414" s="399"/>
      <c r="EH414" s="399"/>
      <c r="EI414" s="399"/>
      <c r="EJ414" s="399"/>
      <c r="EK414" s="399"/>
      <c r="EL414" s="399"/>
      <c r="EM414" s="399"/>
      <c r="EN414" s="399"/>
      <c r="EO414" s="399"/>
      <c r="EP414" s="399"/>
      <c r="EQ414" s="399"/>
      <c r="ER414" s="399"/>
      <c r="ES414" s="399"/>
      <c r="ET414" s="399"/>
      <c r="EU414" s="399"/>
      <c r="EV414" s="399">
        <v>215</v>
      </c>
      <c r="EW414" s="399"/>
      <c r="EX414" s="399"/>
      <c r="EY414" s="399"/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418</v>
      </c>
      <c r="B415" s="399" t="s">
        <v>956</v>
      </c>
      <c r="C415" s="399" t="s">
        <v>2343</v>
      </c>
      <c r="D415" s="399" t="s">
        <v>2353</v>
      </c>
      <c r="E415" s="399" t="s">
        <v>894</v>
      </c>
      <c r="F415" s="399" t="s">
        <v>2360</v>
      </c>
      <c r="G415" s="399" t="s">
        <v>2361</v>
      </c>
      <c r="H415" s="399" t="s">
        <v>1239</v>
      </c>
      <c r="I415" s="399" t="s">
        <v>1239</v>
      </c>
      <c r="J415" s="399" t="s">
        <v>2344</v>
      </c>
      <c r="K415" s="791">
        <v>44682</v>
      </c>
      <c r="L415" s="399">
        <v>0</v>
      </c>
      <c r="M415" s="399">
        <v>0</v>
      </c>
      <c r="N415" s="399">
        <v>0.1</v>
      </c>
      <c r="O415" s="399">
        <v>0.1</v>
      </c>
      <c r="P415" s="399">
        <v>0.1</v>
      </c>
      <c r="Q415" s="399">
        <v>0.1</v>
      </c>
      <c r="R415" s="399"/>
      <c r="S415" s="399">
        <v>239.69</v>
      </c>
      <c r="T415" s="399">
        <v>171.61</v>
      </c>
      <c r="U415" s="399"/>
      <c r="V415" s="399">
        <v>41.13</v>
      </c>
      <c r="W415" s="399">
        <v>41.13</v>
      </c>
      <c r="X415" s="399">
        <v>40.978999999999999</v>
      </c>
      <c r="Y415" s="399">
        <v>0</v>
      </c>
      <c r="Z415" s="399">
        <v>6.0457299313832999</v>
      </c>
      <c r="AA415" s="399">
        <v>0</v>
      </c>
      <c r="AB415" s="399">
        <v>0</v>
      </c>
      <c r="AC415" s="399">
        <v>0</v>
      </c>
      <c r="AD415" s="399">
        <v>5.3335993028242905</v>
      </c>
      <c r="AE415" s="399">
        <v>8.8614726247913893</v>
      </c>
      <c r="AF415" s="399">
        <v>16.537422770173002</v>
      </c>
      <c r="AG415" s="399">
        <v>0.62353569466357606</v>
      </c>
      <c r="AH415" s="399">
        <v>0</v>
      </c>
      <c r="AI415" s="399">
        <v>0</v>
      </c>
      <c r="AJ415" s="399">
        <v>0</v>
      </c>
      <c r="AK415" s="399">
        <v>0</v>
      </c>
      <c r="AL415" s="399">
        <v>0.9348110777410531</v>
      </c>
      <c r="AM415" s="399"/>
      <c r="AN415" s="399">
        <v>3.9605164641784707E-2</v>
      </c>
      <c r="AO415" s="399">
        <v>0</v>
      </c>
      <c r="AP415" s="399">
        <v>0</v>
      </c>
      <c r="AQ415" s="399">
        <v>0</v>
      </c>
      <c r="AR415" s="399">
        <v>0</v>
      </c>
      <c r="AS415" s="399">
        <v>0</v>
      </c>
      <c r="AT415" s="399">
        <v>0</v>
      </c>
      <c r="AU415" s="399">
        <v>0</v>
      </c>
      <c r="AV415" s="399">
        <v>0</v>
      </c>
      <c r="AW415" s="399">
        <v>0</v>
      </c>
      <c r="AX415" s="399">
        <v>0</v>
      </c>
      <c r="AY415" s="399">
        <v>0</v>
      </c>
      <c r="AZ415" s="399">
        <v>0</v>
      </c>
      <c r="BA415" s="399"/>
      <c r="BB415" s="399">
        <v>0</v>
      </c>
      <c r="BC415" s="399">
        <v>0</v>
      </c>
      <c r="BD415" s="399">
        <v>0</v>
      </c>
      <c r="BE415" s="399">
        <v>0</v>
      </c>
      <c r="BF415" s="399">
        <v>0</v>
      </c>
      <c r="BG415" s="399">
        <v>1.6009912922651901</v>
      </c>
      <c r="BH415" s="399">
        <v>0</v>
      </c>
      <c r="BI415" s="399">
        <v>0</v>
      </c>
      <c r="BJ415" s="399">
        <v>0</v>
      </c>
      <c r="BK415" s="399">
        <v>0</v>
      </c>
      <c r="BL415" s="399">
        <v>0</v>
      </c>
      <c r="BM415" s="399"/>
      <c r="BN415" s="399"/>
      <c r="BO415" s="399"/>
      <c r="BP415" s="399"/>
      <c r="BQ415" s="399"/>
      <c r="BR415" s="399">
        <v>4.9169999999999989</v>
      </c>
      <c r="BS415" s="399"/>
      <c r="BT415" s="399"/>
      <c r="BU415" s="399"/>
      <c r="BV415" s="399">
        <v>18.138414062438191</v>
      </c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>
        <v>36.061999999999998</v>
      </c>
      <c r="CJ415" s="399">
        <v>-0.16300000000001091</v>
      </c>
      <c r="CK415" s="399"/>
      <c r="CL415" s="399"/>
      <c r="CM415" s="399"/>
      <c r="CN415" s="399"/>
      <c r="CO415" s="399">
        <v>-2.402000000000001</v>
      </c>
      <c r="CP415" s="399">
        <v>2.250999999999999</v>
      </c>
      <c r="CQ415" s="399">
        <v>31</v>
      </c>
      <c r="CR415" s="399">
        <v>1.7653643119868505</v>
      </c>
      <c r="CS415" s="399">
        <v>0</v>
      </c>
      <c r="CT415" s="399">
        <v>0</v>
      </c>
      <c r="CU415" s="399">
        <v>0</v>
      </c>
      <c r="CV415" s="399">
        <v>0</v>
      </c>
      <c r="CW415" s="399">
        <v>0</v>
      </c>
      <c r="CX415" s="399">
        <v>0</v>
      </c>
      <c r="CY415" s="399">
        <v>0</v>
      </c>
      <c r="CZ415" s="399">
        <v>0.24018597777145967</v>
      </c>
      <c r="DA415" s="399">
        <v>0</v>
      </c>
      <c r="DB415" s="399">
        <v>0</v>
      </c>
      <c r="DC415" s="399">
        <v>2.2515346650445984</v>
      </c>
      <c r="DD415" s="399">
        <v>0</v>
      </c>
      <c r="DE415" s="399">
        <v>0</v>
      </c>
      <c r="DF415" s="399">
        <v>0</v>
      </c>
      <c r="DG415" s="399">
        <v>0.21797153299310001</v>
      </c>
      <c r="DH415" s="399">
        <v>0</v>
      </c>
      <c r="DI415" s="399">
        <v>-0.83039765313518021</v>
      </c>
      <c r="DJ415" s="399"/>
      <c r="DK415" s="399">
        <v>0</v>
      </c>
      <c r="DL415" s="399">
        <v>0</v>
      </c>
      <c r="DM415" s="399">
        <v>0</v>
      </c>
      <c r="DN415" s="399">
        <v>0</v>
      </c>
      <c r="DO415" s="399">
        <v>-0.10773100446018002</v>
      </c>
      <c r="DP415" s="399">
        <v>-6.1992062269533091E-3</v>
      </c>
      <c r="DQ415" s="399">
        <v>0</v>
      </c>
      <c r="DR415" s="399">
        <v>0</v>
      </c>
      <c r="DS415" s="399"/>
      <c r="DT415" s="399"/>
      <c r="DU415" s="399"/>
      <c r="DV415" s="399">
        <v>8.8614726247913893</v>
      </c>
      <c r="DW415" s="399">
        <v>0</v>
      </c>
      <c r="DX415" s="399">
        <v>0</v>
      </c>
      <c r="DY415" s="399">
        <v>-2.402000000000001</v>
      </c>
      <c r="DZ415" s="399">
        <v>2.2510000000000012</v>
      </c>
      <c r="EA415" s="399">
        <v>0</v>
      </c>
      <c r="EB415" s="399">
        <v>0</v>
      </c>
      <c r="EC415" s="399">
        <v>-1.915802568680939</v>
      </c>
      <c r="ED415" s="399">
        <v>0</v>
      </c>
      <c r="EE415" s="399">
        <v>0</v>
      </c>
      <c r="EF415" s="399">
        <v>0</v>
      </c>
      <c r="EG415" s="399">
        <v>0</v>
      </c>
      <c r="EH415" s="399">
        <v>0</v>
      </c>
      <c r="EI415" s="399">
        <v>0</v>
      </c>
      <c r="EJ415" s="399">
        <v>0</v>
      </c>
      <c r="EK415" s="399">
        <v>0</v>
      </c>
      <c r="EL415" s="399">
        <v>0</v>
      </c>
      <c r="EM415" s="399">
        <v>0</v>
      </c>
      <c r="EN415" s="399">
        <v>0</v>
      </c>
      <c r="EO415" s="399">
        <v>0</v>
      </c>
      <c r="EP415" s="399">
        <v>1.1528996596429</v>
      </c>
      <c r="EQ415" s="399">
        <v>0</v>
      </c>
      <c r="ER415" s="399">
        <v>0</v>
      </c>
      <c r="ES415" s="399">
        <v>0</v>
      </c>
      <c r="ET415" s="399">
        <v>0</v>
      </c>
      <c r="EU415" s="399">
        <v>0</v>
      </c>
      <c r="EV415" s="399">
        <v>215</v>
      </c>
      <c r="EW415" s="399">
        <v>0</v>
      </c>
      <c r="EX415" s="399">
        <v>0</v>
      </c>
      <c r="EY415" s="399">
        <v>0</v>
      </c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420</v>
      </c>
      <c r="B416" s="399" t="s">
        <v>956</v>
      </c>
      <c r="C416" s="399" t="s">
        <v>2343</v>
      </c>
      <c r="D416" s="399" t="s">
        <v>2353</v>
      </c>
      <c r="E416" s="399" t="s">
        <v>894</v>
      </c>
      <c r="F416" s="399" t="s">
        <v>2363</v>
      </c>
      <c r="G416" s="399" t="s">
        <v>2361</v>
      </c>
      <c r="H416" s="399" t="s">
        <v>1239</v>
      </c>
      <c r="I416" s="399" t="s">
        <v>1239</v>
      </c>
      <c r="J416" s="399" t="s">
        <v>2344</v>
      </c>
      <c r="K416" s="791">
        <v>44682</v>
      </c>
      <c r="L416" s="399">
        <v>0</v>
      </c>
      <c r="M416" s="399">
        <v>0</v>
      </c>
      <c r="N416" s="399">
        <v>0</v>
      </c>
      <c r="O416" s="399">
        <v>0</v>
      </c>
      <c r="P416" s="399">
        <v>0</v>
      </c>
      <c r="Q416" s="399">
        <v>0</v>
      </c>
      <c r="R416" s="399"/>
      <c r="S416" s="399"/>
      <c r="T416" s="399"/>
      <c r="U416" s="399"/>
      <c r="V416" s="399"/>
      <c r="W416" s="399"/>
      <c r="X416" s="399"/>
      <c r="Y416" s="399"/>
      <c r="Z416" s="399"/>
      <c r="AA416" s="399">
        <v>0</v>
      </c>
      <c r="AB416" s="399"/>
      <c r="AC416" s="399"/>
      <c r="AD416" s="399"/>
      <c r="AE416" s="399"/>
      <c r="AF416" s="399"/>
      <c r="AG416" s="399"/>
      <c r="AH416" s="399"/>
      <c r="AI416" s="399"/>
      <c r="AJ416" s="399"/>
      <c r="AK416" s="399"/>
      <c r="AL416" s="399"/>
      <c r="AM416" s="399"/>
      <c r="AN416" s="399"/>
      <c r="AO416" s="399"/>
      <c r="AP416" s="399"/>
      <c r="AQ416" s="399"/>
      <c r="AR416" s="399"/>
      <c r="AS416" s="399"/>
      <c r="AT416" s="399"/>
      <c r="AU416" s="399"/>
      <c r="AV416" s="399"/>
      <c r="AW416" s="399"/>
      <c r="AX416" s="399"/>
      <c r="AY416" s="399"/>
      <c r="AZ416" s="399">
        <v>0</v>
      </c>
      <c r="BA416" s="399"/>
      <c r="BB416" s="399"/>
      <c r="BC416" s="399"/>
      <c r="BD416" s="399"/>
      <c r="BE416" s="399"/>
      <c r="BF416" s="399"/>
      <c r="BG416" s="399"/>
      <c r="BH416" s="399"/>
      <c r="BI416" s="399">
        <v>0</v>
      </c>
      <c r="BJ416" s="399">
        <v>0</v>
      </c>
      <c r="BK416" s="399">
        <v>12521.39</v>
      </c>
      <c r="BL416" s="399">
        <v>20</v>
      </c>
      <c r="BM416" s="399"/>
      <c r="BN416" s="399"/>
      <c r="BO416" s="399"/>
      <c r="BP416" s="399"/>
      <c r="BQ416" s="399"/>
      <c r="BR416" s="399"/>
      <c r="BS416" s="399"/>
      <c r="BT416" s="399"/>
      <c r="BU416" s="399"/>
      <c r="BV416" s="399"/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/>
      <c r="CJ416" s="399">
        <v>-0.03</v>
      </c>
      <c r="CK416" s="399"/>
      <c r="CL416" s="399"/>
      <c r="CM416" s="399"/>
      <c r="CN416" s="399"/>
      <c r="CO416" s="399">
        <v>0</v>
      </c>
      <c r="CP416" s="399">
        <v>0</v>
      </c>
      <c r="CQ416" s="399">
        <v>31</v>
      </c>
      <c r="CR416" s="399"/>
      <c r="CS416" s="399"/>
      <c r="CT416" s="399"/>
      <c r="CU416" s="399"/>
      <c r="CV416" s="399"/>
      <c r="CW416" s="399"/>
      <c r="CX416" s="399"/>
      <c r="CY416" s="399"/>
      <c r="CZ416" s="399"/>
      <c r="DA416" s="399"/>
      <c r="DB416" s="399"/>
      <c r="DC416" s="399"/>
      <c r="DD416" s="399"/>
      <c r="DE416" s="399"/>
      <c r="DF416" s="399"/>
      <c r="DG416" s="399"/>
      <c r="DH416" s="399"/>
      <c r="DI416" s="399"/>
      <c r="DJ416" s="399"/>
      <c r="DK416" s="399">
        <v>0</v>
      </c>
      <c r="DL416" s="399"/>
      <c r="DM416" s="399"/>
      <c r="DN416" s="399"/>
      <c r="DO416" s="399"/>
      <c r="DP416" s="399"/>
      <c r="DQ416" s="399"/>
      <c r="DR416" s="399"/>
      <c r="DS416" s="399"/>
      <c r="DT416" s="399"/>
      <c r="DU416" s="399"/>
      <c r="DV416" s="399"/>
      <c r="DW416" s="399"/>
      <c r="DX416" s="399"/>
      <c r="DY416" s="399"/>
      <c r="DZ416" s="399"/>
      <c r="EA416" s="399"/>
      <c r="EB416" s="399"/>
      <c r="EC416" s="399"/>
      <c r="ED416" s="399"/>
      <c r="EE416" s="399"/>
      <c r="EF416" s="399"/>
      <c r="EG416" s="399"/>
      <c r="EH416" s="399"/>
      <c r="EI416" s="399"/>
      <c r="EJ416" s="399"/>
      <c r="EK416" s="399"/>
      <c r="EL416" s="399"/>
      <c r="EM416" s="399"/>
      <c r="EN416" s="399"/>
      <c r="EO416" s="399"/>
      <c r="EP416" s="399"/>
      <c r="EQ416" s="399"/>
      <c r="ER416" s="399"/>
      <c r="ES416" s="399"/>
      <c r="ET416" s="399"/>
      <c r="EU416" s="399"/>
      <c r="EV416" s="399">
        <v>215</v>
      </c>
      <c r="EW416" s="399"/>
      <c r="EX416" s="399"/>
      <c r="EY416" s="399"/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421</v>
      </c>
      <c r="B417" s="399" t="s">
        <v>2346</v>
      </c>
      <c r="C417" s="399" t="s">
        <v>2343</v>
      </c>
      <c r="D417" s="399" t="s">
        <v>2353</v>
      </c>
      <c r="E417" s="399" t="s">
        <v>894</v>
      </c>
      <c r="F417" s="399" t="s">
        <v>2363</v>
      </c>
      <c r="G417" s="399" t="s">
        <v>2361</v>
      </c>
      <c r="H417" s="399" t="s">
        <v>1239</v>
      </c>
      <c r="I417" s="399" t="s">
        <v>1239</v>
      </c>
      <c r="J417" s="399" t="s">
        <v>2344</v>
      </c>
      <c r="K417" s="791">
        <v>44682</v>
      </c>
      <c r="L417" s="399">
        <v>0</v>
      </c>
      <c r="M417" s="399">
        <v>0</v>
      </c>
      <c r="N417" s="399">
        <v>0</v>
      </c>
      <c r="O417" s="399">
        <v>0</v>
      </c>
      <c r="P417" s="399">
        <v>0</v>
      </c>
      <c r="Q417" s="399">
        <v>0</v>
      </c>
      <c r="R417" s="399"/>
      <c r="S417" s="399"/>
      <c r="T417" s="399"/>
      <c r="U417" s="399"/>
      <c r="V417" s="399"/>
      <c r="W417" s="399"/>
      <c r="X417" s="399"/>
      <c r="Y417" s="399"/>
      <c r="Z417" s="399"/>
      <c r="AA417" s="399">
        <v>0</v>
      </c>
      <c r="AB417" s="399"/>
      <c r="AC417" s="399"/>
      <c r="AD417" s="399"/>
      <c r="AE417" s="399"/>
      <c r="AF417" s="399"/>
      <c r="AG417" s="399"/>
      <c r="AH417" s="399"/>
      <c r="AI417" s="399"/>
      <c r="AJ417" s="399"/>
      <c r="AK417" s="399"/>
      <c r="AL417" s="399"/>
      <c r="AM417" s="399"/>
      <c r="AN417" s="399"/>
      <c r="AO417" s="399"/>
      <c r="AP417" s="399"/>
      <c r="AQ417" s="399"/>
      <c r="AR417" s="399"/>
      <c r="AS417" s="399"/>
      <c r="AT417" s="399"/>
      <c r="AU417" s="399"/>
      <c r="AV417" s="399"/>
      <c r="AW417" s="399"/>
      <c r="AX417" s="399"/>
      <c r="AY417" s="399"/>
      <c r="AZ417" s="399">
        <v>0</v>
      </c>
      <c r="BA417" s="399"/>
      <c r="BB417" s="399"/>
      <c r="BC417" s="399"/>
      <c r="BD417" s="399"/>
      <c r="BE417" s="399"/>
      <c r="BF417" s="399"/>
      <c r="BG417" s="399"/>
      <c r="BH417" s="399"/>
      <c r="BI417" s="399">
        <v>0</v>
      </c>
      <c r="BJ417" s="399">
        <v>0</v>
      </c>
      <c r="BK417" s="399">
        <v>434.52</v>
      </c>
      <c r="BL417" s="399">
        <v>1</v>
      </c>
      <c r="BM417" s="399"/>
      <c r="BN417" s="399"/>
      <c r="BO417" s="399"/>
      <c r="BP417" s="399"/>
      <c r="BQ417" s="399"/>
      <c r="BR417" s="399"/>
      <c r="BS417" s="399"/>
      <c r="BT417" s="399"/>
      <c r="BU417" s="399"/>
      <c r="BV417" s="399"/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/>
      <c r="CJ417" s="399">
        <v>-0.03</v>
      </c>
      <c r="CK417" s="399"/>
      <c r="CL417" s="399"/>
      <c r="CM417" s="399"/>
      <c r="CN417" s="399"/>
      <c r="CO417" s="399">
        <v>0</v>
      </c>
      <c r="CP417" s="399">
        <v>0</v>
      </c>
      <c r="CQ417" s="399">
        <v>31</v>
      </c>
      <c r="CR417" s="399"/>
      <c r="CS417" s="399"/>
      <c r="CT417" s="399"/>
      <c r="CU417" s="399"/>
      <c r="CV417" s="399"/>
      <c r="CW417" s="399"/>
      <c r="CX417" s="399"/>
      <c r="CY417" s="399"/>
      <c r="CZ417" s="399"/>
      <c r="DA417" s="399"/>
      <c r="DB417" s="399"/>
      <c r="DC417" s="399"/>
      <c r="DD417" s="399"/>
      <c r="DE417" s="399"/>
      <c r="DF417" s="399"/>
      <c r="DG417" s="399"/>
      <c r="DH417" s="399"/>
      <c r="DI417" s="399"/>
      <c r="DJ417" s="399"/>
      <c r="DK417" s="399">
        <v>0</v>
      </c>
      <c r="DL417" s="399"/>
      <c r="DM417" s="399"/>
      <c r="DN417" s="399"/>
      <c r="DO417" s="399"/>
      <c r="DP417" s="399"/>
      <c r="DQ417" s="399"/>
      <c r="DR417" s="399"/>
      <c r="DS417" s="399"/>
      <c r="DT417" s="399"/>
      <c r="DU417" s="399"/>
      <c r="DV417" s="399"/>
      <c r="DW417" s="399"/>
      <c r="DX417" s="399"/>
      <c r="DY417" s="399"/>
      <c r="DZ417" s="399"/>
      <c r="EA417" s="399"/>
      <c r="EB417" s="399"/>
      <c r="EC417" s="399"/>
      <c r="ED417" s="399"/>
      <c r="EE417" s="399"/>
      <c r="EF417" s="399"/>
      <c r="EG417" s="399"/>
      <c r="EH417" s="399"/>
      <c r="EI417" s="399"/>
      <c r="EJ417" s="399"/>
      <c r="EK417" s="399"/>
      <c r="EL417" s="399"/>
      <c r="EM417" s="399"/>
      <c r="EN417" s="399"/>
      <c r="EO417" s="399"/>
      <c r="EP417" s="399"/>
      <c r="EQ417" s="399"/>
      <c r="ER417" s="399"/>
      <c r="ES417" s="399"/>
      <c r="ET417" s="399"/>
      <c r="EU417" s="399"/>
      <c r="EV417" s="399">
        <v>215</v>
      </c>
      <c r="EW417" s="399"/>
      <c r="EX417" s="399"/>
      <c r="EY417" s="399"/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422</v>
      </c>
      <c r="B418" s="399" t="s">
        <v>956</v>
      </c>
      <c r="C418" s="399" t="s">
        <v>2343</v>
      </c>
      <c r="D418" s="399" t="s">
        <v>2353</v>
      </c>
      <c r="E418" s="399" t="s">
        <v>894</v>
      </c>
      <c r="F418" s="399" t="s">
        <v>2363</v>
      </c>
      <c r="G418" s="399" t="s">
        <v>2361</v>
      </c>
      <c r="H418" s="399" t="s">
        <v>1239</v>
      </c>
      <c r="I418" s="399" t="s">
        <v>1239</v>
      </c>
      <c r="J418" s="399" t="s">
        <v>2344</v>
      </c>
      <c r="K418" s="791">
        <v>44682</v>
      </c>
      <c r="L418" s="399">
        <v>0</v>
      </c>
      <c r="M418" s="399">
        <v>0</v>
      </c>
      <c r="N418" s="399">
        <v>42.801000000000002</v>
      </c>
      <c r="O418" s="399">
        <v>42.801000000000002</v>
      </c>
      <c r="P418" s="399">
        <v>42.801000000000002</v>
      </c>
      <c r="Q418" s="399">
        <v>42.801000000000002</v>
      </c>
      <c r="R418" s="399"/>
      <c r="S418" s="399">
        <v>239.69</v>
      </c>
      <c r="T418" s="399">
        <v>171.61</v>
      </c>
      <c r="U418" s="399"/>
      <c r="V418" s="399">
        <v>17604.051299999999</v>
      </c>
      <c r="W418" s="399">
        <v>17604.051299999999</v>
      </c>
      <c r="X418" s="399">
        <v>17539.42179</v>
      </c>
      <c r="Y418" s="399">
        <v>0</v>
      </c>
      <c r="Z418" s="399">
        <v>2587.632867931366</v>
      </c>
      <c r="AA418" s="399">
        <v>0</v>
      </c>
      <c r="AB418" s="399">
        <v>0</v>
      </c>
      <c r="AC418" s="399">
        <v>0</v>
      </c>
      <c r="AD418" s="399">
        <v>2282.8338376018246</v>
      </c>
      <c r="AE418" s="399">
        <v>3792.7988981369626</v>
      </c>
      <c r="AF418" s="399">
        <v>7078.1823198617467</v>
      </c>
      <c r="AG418" s="399">
        <v>266.87951267295722</v>
      </c>
      <c r="AH418" s="399">
        <v>0</v>
      </c>
      <c r="AI418" s="399">
        <v>0</v>
      </c>
      <c r="AJ418" s="399">
        <v>0</v>
      </c>
      <c r="AK418" s="399">
        <v>0</v>
      </c>
      <c r="AL418" s="399">
        <v>400.10848938394815</v>
      </c>
      <c r="AM418" s="399"/>
      <c r="AN418" s="399">
        <v>16.95140651833027</v>
      </c>
      <c r="AO418" s="399">
        <v>0</v>
      </c>
      <c r="AP418" s="399">
        <v>0</v>
      </c>
      <c r="AQ418" s="399">
        <v>0</v>
      </c>
      <c r="AR418" s="399">
        <v>0</v>
      </c>
      <c r="AS418" s="399">
        <v>0</v>
      </c>
      <c r="AT418" s="399">
        <v>0</v>
      </c>
      <c r="AU418" s="399">
        <v>0</v>
      </c>
      <c r="AV418" s="399">
        <v>0</v>
      </c>
      <c r="AW418" s="399">
        <v>0</v>
      </c>
      <c r="AX418" s="399">
        <v>0</v>
      </c>
      <c r="AY418" s="399">
        <v>0</v>
      </c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>
        <v>0</v>
      </c>
      <c r="BG418" s="399">
        <v>685.24028300242401</v>
      </c>
      <c r="BH418" s="399">
        <v>0</v>
      </c>
      <c r="BI418" s="399">
        <v>0</v>
      </c>
      <c r="BJ418" s="399">
        <v>0</v>
      </c>
      <c r="BK418" s="399">
        <v>0</v>
      </c>
      <c r="BL418" s="399">
        <v>0</v>
      </c>
      <c r="BM418" s="399"/>
      <c r="BN418" s="399"/>
      <c r="BO418" s="399"/>
      <c r="BP418" s="399"/>
      <c r="BQ418" s="399"/>
      <c r="BR418" s="399">
        <v>2104.5251699999999</v>
      </c>
      <c r="BS418" s="399"/>
      <c r="BT418" s="399"/>
      <c r="BU418" s="399"/>
      <c r="BV418" s="399">
        <v>7763.4226028641706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15434.536</v>
      </c>
      <c r="CJ418" s="399">
        <v>-57.315950000001976</v>
      </c>
      <c r="CK418" s="399"/>
      <c r="CL418" s="399"/>
      <c r="CM418" s="399"/>
      <c r="CN418" s="399"/>
      <c r="CO418" s="399">
        <v>-1028.0800200000006</v>
      </c>
      <c r="CP418" s="399">
        <v>963.45050999999967</v>
      </c>
      <c r="CQ418" s="399">
        <v>31</v>
      </c>
      <c r="CR418" s="399">
        <v>755.59357917349189</v>
      </c>
      <c r="CS418" s="399">
        <v>0</v>
      </c>
      <c r="CT418" s="399">
        <v>0</v>
      </c>
      <c r="CU418" s="399">
        <v>0</v>
      </c>
      <c r="CV418" s="399">
        <v>0</v>
      </c>
      <c r="CW418" s="399">
        <v>0</v>
      </c>
      <c r="CX418" s="399">
        <v>0</v>
      </c>
      <c r="CY418" s="399">
        <v>0</v>
      </c>
      <c r="CZ418" s="399">
        <v>102.80200034596237</v>
      </c>
      <c r="DA418" s="399">
        <v>0</v>
      </c>
      <c r="DB418" s="399">
        <v>0</v>
      </c>
      <c r="DC418" s="399">
        <v>963.67935198573832</v>
      </c>
      <c r="DD418" s="399">
        <v>0</v>
      </c>
      <c r="DE418" s="399">
        <v>0</v>
      </c>
      <c r="DF418" s="399">
        <v>0</v>
      </c>
      <c r="DG418" s="399">
        <v>93.293995836376666</v>
      </c>
      <c r="DH418" s="399">
        <v>0</v>
      </c>
      <c r="DI418" s="399">
        <v>-355.41849951838822</v>
      </c>
      <c r="DJ418" s="399"/>
      <c r="DK418" s="399">
        <v>0</v>
      </c>
      <c r="DL418" s="399">
        <v>0</v>
      </c>
      <c r="DM418" s="399">
        <v>0</v>
      </c>
      <c r="DN418" s="399">
        <v>0</v>
      </c>
      <c r="DO418" s="399">
        <v>-46.10994721900164</v>
      </c>
      <c r="DP418" s="399">
        <v>-2.6533222571982815</v>
      </c>
      <c r="DQ418" s="399">
        <v>0</v>
      </c>
      <c r="DR418" s="399">
        <v>0</v>
      </c>
      <c r="DS418" s="399"/>
      <c r="DT418" s="399"/>
      <c r="DU418" s="399"/>
      <c r="DV418" s="399">
        <v>3792.7988981369626</v>
      </c>
      <c r="DW418" s="399">
        <v>0</v>
      </c>
      <c r="DX418" s="399">
        <v>0</v>
      </c>
      <c r="DY418" s="399">
        <v>-1028.0800200000012</v>
      </c>
      <c r="DZ418" s="399">
        <v>963.45051000000058</v>
      </c>
      <c r="EA418" s="399">
        <v>0</v>
      </c>
      <c r="EB418" s="399">
        <v>0</v>
      </c>
      <c r="EC418" s="399">
        <v>-819.98265742112881</v>
      </c>
      <c r="ED418" s="399">
        <v>0</v>
      </c>
      <c r="EE418" s="399">
        <v>0</v>
      </c>
      <c r="EF418" s="399">
        <v>0</v>
      </c>
      <c r="EG418" s="399">
        <v>0</v>
      </c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>
        <v>0</v>
      </c>
      <c r="EN418" s="399">
        <v>0</v>
      </c>
      <c r="EO418" s="399">
        <v>0</v>
      </c>
      <c r="EP418" s="399">
        <v>493.45258332375766</v>
      </c>
      <c r="EQ418" s="399">
        <v>0</v>
      </c>
      <c r="ER418" s="399">
        <v>0</v>
      </c>
      <c r="ES418" s="399">
        <v>0</v>
      </c>
      <c r="ET418" s="399">
        <v>0</v>
      </c>
      <c r="EU418" s="399">
        <v>0</v>
      </c>
      <c r="EV418" s="399">
        <v>215</v>
      </c>
      <c r="EW418" s="399">
        <v>0</v>
      </c>
      <c r="EX418" s="399">
        <v>0</v>
      </c>
      <c r="EY418" s="399">
        <v>0</v>
      </c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423</v>
      </c>
      <c r="B419" s="399" t="s">
        <v>2346</v>
      </c>
      <c r="C419" s="399" t="s">
        <v>2343</v>
      </c>
      <c r="D419" s="399" t="s">
        <v>2353</v>
      </c>
      <c r="E419" s="399" t="s">
        <v>894</v>
      </c>
      <c r="F419" s="399" t="s">
        <v>2363</v>
      </c>
      <c r="G419" s="399" t="s">
        <v>2361</v>
      </c>
      <c r="H419" s="399" t="s">
        <v>1239</v>
      </c>
      <c r="I419" s="399" t="s">
        <v>1239</v>
      </c>
      <c r="J419" s="399" t="s">
        <v>2344</v>
      </c>
      <c r="K419" s="791">
        <v>44682</v>
      </c>
      <c r="L419" s="399">
        <v>0</v>
      </c>
      <c r="M419" s="399">
        <v>0</v>
      </c>
      <c r="N419" s="399">
        <v>1.506</v>
      </c>
      <c r="O419" s="399">
        <v>1.506</v>
      </c>
      <c r="P419" s="399">
        <v>1.506</v>
      </c>
      <c r="Q419" s="399">
        <v>1.506</v>
      </c>
      <c r="R419" s="399"/>
      <c r="S419" s="399">
        <v>239.69</v>
      </c>
      <c r="T419" s="399">
        <v>171.61</v>
      </c>
      <c r="U419" s="399"/>
      <c r="V419" s="399">
        <v>619.41779999999994</v>
      </c>
      <c r="W419" s="399">
        <v>619.41779999999994</v>
      </c>
      <c r="X419" s="399">
        <v>617.14373999999998</v>
      </c>
      <c r="Y419" s="399">
        <v>0</v>
      </c>
      <c r="Z419" s="399">
        <v>91.048692766632499</v>
      </c>
      <c r="AA419" s="399">
        <v>0</v>
      </c>
      <c r="AB419" s="399">
        <v>0</v>
      </c>
      <c r="AC419" s="399">
        <v>0</v>
      </c>
      <c r="AD419" s="399">
        <v>80.324005500533815</v>
      </c>
      <c r="AE419" s="399">
        <v>133.45377772935834</v>
      </c>
      <c r="AF419" s="399">
        <v>249.05358691880539</v>
      </c>
      <c r="AG419" s="399">
        <v>9.3904475616334544</v>
      </c>
      <c r="AH419" s="399">
        <v>0</v>
      </c>
      <c r="AI419" s="399">
        <v>0</v>
      </c>
      <c r="AJ419" s="399">
        <v>0</v>
      </c>
      <c r="AK419" s="399">
        <v>0</v>
      </c>
      <c r="AL419" s="399">
        <v>14.07825483078026</v>
      </c>
      <c r="AM419" s="399"/>
      <c r="AN419" s="399">
        <v>0.59645377950527756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24.110928861513759</v>
      </c>
      <c r="BH419" s="399">
        <v>0</v>
      </c>
      <c r="BI419" s="399">
        <v>0</v>
      </c>
      <c r="BJ419" s="399">
        <v>0</v>
      </c>
      <c r="BK419" s="399">
        <v>0</v>
      </c>
      <c r="BL419" s="399">
        <v>0</v>
      </c>
      <c r="BM419" s="399"/>
      <c r="BN419" s="399"/>
      <c r="BO419" s="399"/>
      <c r="BP419" s="399"/>
      <c r="BQ419" s="399"/>
      <c r="BR419" s="399">
        <v>74.050019999999989</v>
      </c>
      <c r="BS419" s="399"/>
      <c r="BT419" s="399"/>
      <c r="BU419" s="399"/>
      <c r="BV419" s="399">
        <v>273.16451578031916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544.53620000000001</v>
      </c>
      <c r="CJ419" s="399">
        <v>-0.59050000000002001</v>
      </c>
      <c r="CK419" s="399"/>
      <c r="CL419" s="399"/>
      <c r="CM419" s="399"/>
      <c r="CN419" s="399"/>
      <c r="CO419" s="399">
        <v>-36.174120000000016</v>
      </c>
      <c r="CP419" s="399">
        <v>33.900059999999989</v>
      </c>
      <c r="CQ419" s="399">
        <v>31</v>
      </c>
      <c r="CR419" s="399">
        <v>26.586386538521822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3.6172008252381858</v>
      </c>
      <c r="DA419" s="399">
        <v>0</v>
      </c>
      <c r="DB419" s="399">
        <v>0</v>
      </c>
      <c r="DC419" s="399">
        <v>33.90811205557165</v>
      </c>
      <c r="DD419" s="399">
        <v>0</v>
      </c>
      <c r="DE419" s="399">
        <v>0</v>
      </c>
      <c r="DF419" s="399">
        <v>0</v>
      </c>
      <c r="DG419" s="399">
        <v>3.2826512868760886</v>
      </c>
      <c r="DH419" s="399">
        <v>0</v>
      </c>
      <c r="DI419" s="399">
        <v>-12.505788656215813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-1.6224289271703114</v>
      </c>
      <c r="DP419" s="399">
        <v>-9.3360045777916678E-2</v>
      </c>
      <c r="DQ419" s="399">
        <v>0</v>
      </c>
      <c r="DR419" s="399">
        <v>0</v>
      </c>
      <c r="DS419" s="399"/>
      <c r="DT419" s="399"/>
      <c r="DU419" s="399"/>
      <c r="DV419" s="399">
        <v>133.45377772935834</v>
      </c>
      <c r="DW419" s="399">
        <v>0</v>
      </c>
      <c r="DX419" s="399">
        <v>0</v>
      </c>
      <c r="DY419" s="399">
        <v>-36.174120000000016</v>
      </c>
      <c r="DZ419" s="399">
        <v>33.900059999999996</v>
      </c>
      <c r="EA419" s="399">
        <v>0</v>
      </c>
      <c r="EB419" s="399">
        <v>0</v>
      </c>
      <c r="EC419" s="399">
        <v>-28.85198668433496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17.362668874222074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215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424</v>
      </c>
      <c r="B420" s="399" t="s">
        <v>956</v>
      </c>
      <c r="C420" s="399" t="s">
        <v>2343</v>
      </c>
      <c r="D420" s="399" t="s">
        <v>2353</v>
      </c>
      <c r="E420" s="399" t="s">
        <v>894</v>
      </c>
      <c r="F420" s="399" t="s">
        <v>2363</v>
      </c>
      <c r="G420" s="399" t="s">
        <v>2362</v>
      </c>
      <c r="H420" s="399" t="s">
        <v>1239</v>
      </c>
      <c r="I420" s="399" t="s">
        <v>1239</v>
      </c>
      <c r="J420" s="399" t="s">
        <v>2344</v>
      </c>
      <c r="K420" s="791">
        <v>44682</v>
      </c>
      <c r="L420" s="399">
        <v>0</v>
      </c>
      <c r="M420" s="399">
        <v>0</v>
      </c>
      <c r="N420" s="399">
        <v>56.423999999999999</v>
      </c>
      <c r="O420" s="399">
        <v>22.569600000000001</v>
      </c>
      <c r="P420" s="399">
        <v>56.423999999999999</v>
      </c>
      <c r="Q420" s="399">
        <v>22.569600000000001</v>
      </c>
      <c r="R420" s="399"/>
      <c r="S420" s="399">
        <v>239.69</v>
      </c>
      <c r="T420" s="399">
        <v>171.61</v>
      </c>
      <c r="U420" s="399"/>
      <c r="V420" s="399">
        <v>23207.191200000001</v>
      </c>
      <c r="W420" s="399">
        <v>23207.191200000001</v>
      </c>
      <c r="X420" s="399">
        <v>23121.990959999999</v>
      </c>
      <c r="Y420" s="399">
        <v>0</v>
      </c>
      <c r="Z420" s="399">
        <v>3411.2426564837128</v>
      </c>
      <c r="AA420" s="399">
        <v>0</v>
      </c>
      <c r="AB420" s="399">
        <v>0</v>
      </c>
      <c r="AC420" s="399">
        <v>0</v>
      </c>
      <c r="AD420" s="399">
        <v>3009.4300706255776</v>
      </c>
      <c r="AE420" s="399">
        <v>4999.9973138122932</v>
      </c>
      <c r="AF420" s="399">
        <v>9331.0754238424142</v>
      </c>
      <c r="AG420" s="399">
        <v>351.82378035697616</v>
      </c>
      <c r="AH420" s="399">
        <v>0</v>
      </c>
      <c r="AI420" s="399">
        <v>0</v>
      </c>
      <c r="AJ420" s="399">
        <v>0</v>
      </c>
      <c r="AK420" s="399">
        <v>0</v>
      </c>
      <c r="AL420" s="399">
        <v>527.45780250461178</v>
      </c>
      <c r="AM420" s="399"/>
      <c r="AN420" s="399">
        <v>22.3468180974806</v>
      </c>
      <c r="AO420" s="399">
        <v>0</v>
      </c>
      <c r="AP420" s="399">
        <v>0</v>
      </c>
      <c r="AQ420" s="399">
        <v>0</v>
      </c>
      <c r="AR420" s="399">
        <v>0</v>
      </c>
      <c r="AS420" s="399">
        <v>0</v>
      </c>
      <c r="AT420" s="399">
        <v>0</v>
      </c>
      <c r="AU420" s="399">
        <v>0</v>
      </c>
      <c r="AV420" s="399">
        <v>0</v>
      </c>
      <c r="AW420" s="399">
        <v>0</v>
      </c>
      <c r="AX420" s="399">
        <v>0</v>
      </c>
      <c r="AY420" s="399">
        <v>0</v>
      </c>
      <c r="AZ420" s="399">
        <v>0</v>
      </c>
      <c r="BA420" s="399"/>
      <c r="BB420" s="399">
        <v>0</v>
      </c>
      <c r="BC420" s="399">
        <v>0</v>
      </c>
      <c r="BD420" s="399">
        <v>0</v>
      </c>
      <c r="BE420" s="399">
        <v>0</v>
      </c>
      <c r="BF420" s="399">
        <v>0</v>
      </c>
      <c r="BG420" s="399">
        <v>903.34332674771076</v>
      </c>
      <c r="BH420" s="399">
        <v>0</v>
      </c>
      <c r="BI420" s="399">
        <v>0</v>
      </c>
      <c r="BJ420" s="399">
        <v>0</v>
      </c>
      <c r="BK420" s="399">
        <v>0</v>
      </c>
      <c r="BL420" s="399">
        <v>0</v>
      </c>
      <c r="BM420" s="399"/>
      <c r="BN420" s="399"/>
      <c r="BO420" s="399"/>
      <c r="BP420" s="399"/>
      <c r="BQ420" s="399"/>
      <c r="BR420" s="399"/>
      <c r="BS420" s="399">
        <v>14982.941807999998</v>
      </c>
      <c r="BT420" s="399"/>
      <c r="BU420" s="399"/>
      <c r="BV420" s="399">
        <v>10234.418750590125</v>
      </c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>
        <v>8139.1934000000001</v>
      </c>
      <c r="CJ420" s="399">
        <v>-29.903320000001258</v>
      </c>
      <c r="CK420" s="399"/>
      <c r="CL420" s="399"/>
      <c r="CM420" s="399"/>
      <c r="CN420" s="399"/>
      <c r="CO420" s="399">
        <v>-1355.3044800000005</v>
      </c>
      <c r="CP420" s="399">
        <v>1270.1042399999994</v>
      </c>
      <c r="CQ420" s="399">
        <v>31</v>
      </c>
      <c r="CR420" s="399">
        <v>996.08915939545841</v>
      </c>
      <c r="CS420" s="399">
        <v>0</v>
      </c>
      <c r="CT420" s="399">
        <v>0</v>
      </c>
      <c r="CU420" s="399">
        <v>0</v>
      </c>
      <c r="CV420" s="399">
        <v>0</v>
      </c>
      <c r="CW420" s="399">
        <v>0</v>
      </c>
      <c r="CX420" s="399">
        <v>0</v>
      </c>
      <c r="CY420" s="399">
        <v>0</v>
      </c>
      <c r="CZ420" s="399">
        <v>135.52253609776835</v>
      </c>
      <c r="DA420" s="399">
        <v>0</v>
      </c>
      <c r="DB420" s="399">
        <v>0</v>
      </c>
      <c r="DC420" s="399">
        <v>1270.4059194047641</v>
      </c>
      <c r="DD420" s="399">
        <v>0</v>
      </c>
      <c r="DE420" s="399">
        <v>0</v>
      </c>
      <c r="DF420" s="399">
        <v>0</v>
      </c>
      <c r="DG420" s="399">
        <v>122.98825777602678</v>
      </c>
      <c r="DH420" s="399">
        <v>0</v>
      </c>
      <c r="DI420" s="399">
        <v>-468.54357180499392</v>
      </c>
      <c r="DJ420" s="399"/>
      <c r="DK420" s="399">
        <v>0</v>
      </c>
      <c r="DL420" s="399">
        <v>0</v>
      </c>
      <c r="DM420" s="399">
        <v>0</v>
      </c>
      <c r="DN420" s="399">
        <v>0</v>
      </c>
      <c r="DO420" s="399">
        <v>-60.786141956611971</v>
      </c>
      <c r="DP420" s="399">
        <v>-3.4978401214961323</v>
      </c>
      <c r="DQ420" s="399">
        <v>0</v>
      </c>
      <c r="DR420" s="399">
        <v>0</v>
      </c>
      <c r="DS420" s="399"/>
      <c r="DT420" s="399"/>
      <c r="DU420" s="399"/>
      <c r="DV420" s="399">
        <v>4999.9973138122932</v>
      </c>
      <c r="DW420" s="399">
        <v>0</v>
      </c>
      <c r="DX420" s="399">
        <v>0</v>
      </c>
      <c r="DY420" s="399">
        <v>-1355.3044800000007</v>
      </c>
      <c r="DZ420" s="399">
        <v>1270.1042399999988</v>
      </c>
      <c r="EA420" s="399">
        <v>0</v>
      </c>
      <c r="EB420" s="399">
        <v>0</v>
      </c>
      <c r="EC420" s="399">
        <v>-1080.9724413525332</v>
      </c>
      <c r="ED420" s="399">
        <v>0</v>
      </c>
      <c r="EE420" s="399">
        <v>0</v>
      </c>
      <c r="EF420" s="399">
        <v>0</v>
      </c>
      <c r="EG420" s="399">
        <v>0</v>
      </c>
      <c r="EH420" s="399">
        <v>0</v>
      </c>
      <c r="EI420" s="399">
        <v>0</v>
      </c>
      <c r="EJ420" s="399">
        <v>0</v>
      </c>
      <c r="EK420" s="399">
        <v>0</v>
      </c>
      <c r="EL420" s="399">
        <v>0</v>
      </c>
      <c r="EM420" s="399">
        <v>0</v>
      </c>
      <c r="EN420" s="399">
        <v>0</v>
      </c>
      <c r="EO420" s="399">
        <v>0</v>
      </c>
      <c r="EP420" s="399">
        <v>650.51210395690987</v>
      </c>
      <c r="EQ420" s="399">
        <v>0</v>
      </c>
      <c r="ER420" s="399">
        <v>0</v>
      </c>
      <c r="ES420" s="399">
        <v>0</v>
      </c>
      <c r="ET420" s="399">
        <v>0</v>
      </c>
      <c r="EU420" s="399">
        <v>0</v>
      </c>
      <c r="EV420" s="399">
        <v>215</v>
      </c>
      <c r="EW420" s="399">
        <v>0</v>
      </c>
      <c r="EX420" s="399">
        <v>0</v>
      </c>
      <c r="EY420" s="399">
        <v>0</v>
      </c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425</v>
      </c>
      <c r="B421" s="399" t="s">
        <v>956</v>
      </c>
      <c r="C421" s="399" t="s">
        <v>2343</v>
      </c>
      <c r="D421" s="399" t="s">
        <v>1823</v>
      </c>
      <c r="E421" s="399" t="s">
        <v>889</v>
      </c>
      <c r="F421" s="399" t="s">
        <v>889</v>
      </c>
      <c r="G421" s="399" t="s">
        <v>1239</v>
      </c>
      <c r="H421" s="399" t="s">
        <v>1239</v>
      </c>
      <c r="I421" s="399" t="s">
        <v>1239</v>
      </c>
      <c r="J421" s="399" t="s">
        <v>2344</v>
      </c>
      <c r="K421" s="791">
        <v>44713</v>
      </c>
      <c r="L421" s="399">
        <v>0</v>
      </c>
      <c r="M421" s="399">
        <v>0</v>
      </c>
      <c r="N421" s="399">
        <v>1349.452</v>
      </c>
      <c r="O421" s="399">
        <v>1349.452</v>
      </c>
      <c r="P421" s="399">
        <v>1349.452</v>
      </c>
      <c r="Q421" s="399">
        <v>1349.452</v>
      </c>
      <c r="R421" s="399"/>
      <c r="S421" s="399">
        <v>239.69</v>
      </c>
      <c r="T421" s="399">
        <v>171.61</v>
      </c>
      <c r="U421" s="399"/>
      <c r="V421" s="399">
        <v>555029.60759999999</v>
      </c>
      <c r="W421" s="399">
        <v>555029.60759999999</v>
      </c>
      <c r="X421" s="399">
        <v>552991.93507999997</v>
      </c>
      <c r="Y421" s="399">
        <v>0</v>
      </c>
      <c r="Z421" s="399">
        <v>81584.223473650563</v>
      </c>
      <c r="AA421" s="399">
        <v>0</v>
      </c>
      <c r="AB421" s="399">
        <v>0</v>
      </c>
      <c r="AC421" s="399">
        <v>0</v>
      </c>
      <c r="AD421" s="399">
        <v>71974.362463948448</v>
      </c>
      <c r="AE421" s="399">
        <v>119581.31956469989</v>
      </c>
      <c r="AF421" s="399">
        <v>223164.58232055497</v>
      </c>
      <c r="AG421" s="399">
        <v>8414.3149023515198</v>
      </c>
      <c r="AH421" s="399">
        <v>0</v>
      </c>
      <c r="AI421" s="399">
        <v>0</v>
      </c>
      <c r="AJ421" s="399">
        <v>0</v>
      </c>
      <c r="AK421" s="399">
        <v>0</v>
      </c>
      <c r="AL421" s="399">
        <v>12614.826784798195</v>
      </c>
      <c r="AM421" s="399"/>
      <c r="AN421" s="399">
        <v>534.45268636185654</v>
      </c>
      <c r="AO421" s="399">
        <v>0</v>
      </c>
      <c r="AP421" s="399">
        <v>0</v>
      </c>
      <c r="AQ421" s="399">
        <v>0</v>
      </c>
      <c r="AR421" s="399">
        <v>0</v>
      </c>
      <c r="AS421" s="399">
        <v>0</v>
      </c>
      <c r="AT421" s="399">
        <v>0</v>
      </c>
      <c r="AU421" s="399">
        <v>0</v>
      </c>
      <c r="AV421" s="399">
        <v>0</v>
      </c>
      <c r="AW421" s="399">
        <v>0</v>
      </c>
      <c r="AX421" s="399">
        <v>0</v>
      </c>
      <c r="AY421" s="399">
        <v>0</v>
      </c>
      <c r="AZ421" s="399">
        <v>0</v>
      </c>
      <c r="BA421" s="399"/>
      <c r="BB421" s="399">
        <v>0</v>
      </c>
      <c r="BC421" s="399">
        <v>0</v>
      </c>
      <c r="BD421" s="399">
        <v>0</v>
      </c>
      <c r="BE421" s="399">
        <v>0</v>
      </c>
      <c r="BF421" s="399">
        <v>0</v>
      </c>
      <c r="BG421" s="399">
        <v>21604.60901329845</v>
      </c>
      <c r="BH421" s="399">
        <v>0</v>
      </c>
      <c r="BI421" s="399">
        <v>0</v>
      </c>
      <c r="BJ421" s="399">
        <v>0</v>
      </c>
      <c r="BK421" s="399">
        <v>134074.04999999999</v>
      </c>
      <c r="BL421" s="399">
        <v>4666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>
        <v>244769.19133385341</v>
      </c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>
        <v>552991.11550000007</v>
      </c>
      <c r="CJ421" s="399">
        <v>-2038.5220999999437</v>
      </c>
      <c r="CK421" s="399"/>
      <c r="CL421" s="399"/>
      <c r="CM421" s="399"/>
      <c r="CN421" s="399"/>
      <c r="CO421" s="399">
        <v>-32413.837040000013</v>
      </c>
      <c r="CP421" s="399">
        <v>30376.164519999988</v>
      </c>
      <c r="CQ421" s="399">
        <v>30</v>
      </c>
      <c r="CR421" s="399">
        <v>23822.744015392673</v>
      </c>
      <c r="CS421" s="399">
        <v>0</v>
      </c>
      <c r="CT421" s="399">
        <v>0</v>
      </c>
      <c r="CU421" s="399">
        <v>0</v>
      </c>
      <c r="CV421" s="399">
        <v>0</v>
      </c>
      <c r="CW421" s="399">
        <v>0</v>
      </c>
      <c r="CX421" s="399">
        <v>0</v>
      </c>
      <c r="CY421" s="399">
        <v>0</v>
      </c>
      <c r="CZ421" s="399">
        <v>3241.194480756516</v>
      </c>
      <c r="DA421" s="399">
        <v>0</v>
      </c>
      <c r="DB421" s="399">
        <v>0</v>
      </c>
      <c r="DC421" s="399">
        <v>30383.379568137636</v>
      </c>
      <c r="DD421" s="399">
        <v>0</v>
      </c>
      <c r="DE421" s="399">
        <v>0</v>
      </c>
      <c r="DF421" s="399">
        <v>0</v>
      </c>
      <c r="DG421" s="399">
        <v>2941.4212114060501</v>
      </c>
      <c r="DH421" s="399">
        <v>0</v>
      </c>
      <c r="DI421" s="399">
        <v>-11205.817738185753</v>
      </c>
      <c r="DJ421" s="399"/>
      <c r="DK421" s="399">
        <v>0</v>
      </c>
      <c r="DL421" s="399">
        <v>0</v>
      </c>
      <c r="DM421" s="399">
        <v>0</v>
      </c>
      <c r="DN421" s="399">
        <v>0</v>
      </c>
      <c r="DO421" s="399">
        <v>-1453.7781943079881</v>
      </c>
      <c r="DP421" s="399">
        <v>-83.655312413745946</v>
      </c>
      <c r="DQ421" s="399">
        <v>0</v>
      </c>
      <c r="DR421" s="399">
        <v>0</v>
      </c>
      <c r="DS421" s="399"/>
      <c r="DT421" s="399"/>
      <c r="DU421" s="399"/>
      <c r="DV421" s="399">
        <v>119581.31956469989</v>
      </c>
      <c r="DW421" s="399">
        <v>0</v>
      </c>
      <c r="DX421" s="399">
        <v>0</v>
      </c>
      <c r="DY421" s="399">
        <v>-32413.837040000013</v>
      </c>
      <c r="DZ421" s="399">
        <v>30376.164519999991</v>
      </c>
      <c r="EA421" s="399">
        <v>0</v>
      </c>
      <c r="EB421" s="399">
        <v>0</v>
      </c>
      <c r="EC421" s="399">
        <v>-25852.836079116314</v>
      </c>
      <c r="ED421" s="399">
        <v>0</v>
      </c>
      <c r="EE421" s="399">
        <v>0</v>
      </c>
      <c r="EF421" s="399">
        <v>0</v>
      </c>
      <c r="EG421" s="399">
        <v>0</v>
      </c>
      <c r="EH421" s="399">
        <v>0</v>
      </c>
      <c r="EI421" s="399">
        <v>0</v>
      </c>
      <c r="EJ421" s="399">
        <v>0</v>
      </c>
      <c r="EK421" s="399">
        <v>0</v>
      </c>
      <c r="EL421" s="399">
        <v>0</v>
      </c>
      <c r="EM421" s="399">
        <v>0</v>
      </c>
      <c r="EN421" s="399">
        <v>0</v>
      </c>
      <c r="EO421" s="399">
        <v>0</v>
      </c>
      <c r="EP421" s="399">
        <v>15557.827515044306</v>
      </c>
      <c r="EQ421" s="399">
        <v>0</v>
      </c>
      <c r="ER421" s="399">
        <v>0</v>
      </c>
      <c r="ES421" s="399">
        <v>0</v>
      </c>
      <c r="ET421" s="399">
        <v>0</v>
      </c>
      <c r="EU421" s="399">
        <v>0</v>
      </c>
      <c r="EV421" s="399">
        <v>215</v>
      </c>
      <c r="EW421" s="399">
        <v>0</v>
      </c>
      <c r="EX421" s="399">
        <v>0</v>
      </c>
      <c r="EY421" s="399">
        <v>0</v>
      </c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426</v>
      </c>
      <c r="B422" s="399" t="s">
        <v>2345</v>
      </c>
      <c r="C422" s="399" t="s">
        <v>2343</v>
      </c>
      <c r="D422" s="399" t="s">
        <v>1823</v>
      </c>
      <c r="E422" s="399" t="s">
        <v>889</v>
      </c>
      <c r="F422" s="399" t="s">
        <v>889</v>
      </c>
      <c r="G422" s="399" t="s">
        <v>1239</v>
      </c>
      <c r="H422" s="399" t="s">
        <v>1239</v>
      </c>
      <c r="I422" s="399" t="s">
        <v>1239</v>
      </c>
      <c r="J422" s="399" t="s">
        <v>2344</v>
      </c>
      <c r="K422" s="791">
        <v>44713</v>
      </c>
      <c r="L422" s="399">
        <v>0</v>
      </c>
      <c r="M422" s="399">
        <v>0</v>
      </c>
      <c r="N422" s="399">
        <v>-0.21199999999999999</v>
      </c>
      <c r="O422" s="399">
        <v>-0.21199999999999999</v>
      </c>
      <c r="P422" s="399">
        <v>-0.21199999999999999</v>
      </c>
      <c r="Q422" s="399">
        <v>-0.21199999999999999</v>
      </c>
      <c r="R422" s="399"/>
      <c r="S422" s="399">
        <v>239.69</v>
      </c>
      <c r="T422" s="399">
        <v>171.61</v>
      </c>
      <c r="U422" s="399"/>
      <c r="V422" s="399">
        <v>-87.195599999999999</v>
      </c>
      <c r="W422" s="399">
        <v>-87.195599999999999</v>
      </c>
      <c r="X422" s="399">
        <v>-86.875479999999996</v>
      </c>
      <c r="Y422" s="399">
        <v>0</v>
      </c>
      <c r="Z422" s="399">
        <v>-12.816947454532595</v>
      </c>
      <c r="AA422" s="399">
        <v>0</v>
      </c>
      <c r="AB422" s="399">
        <v>0</v>
      </c>
      <c r="AC422" s="399">
        <v>0</v>
      </c>
      <c r="AD422" s="399">
        <v>-11.307230521987496</v>
      </c>
      <c r="AE422" s="399">
        <v>-18.786321964557743</v>
      </c>
      <c r="AF422" s="399">
        <v>-35.059336272766764</v>
      </c>
      <c r="AG422" s="399">
        <v>-1.3218956726867812</v>
      </c>
      <c r="AH422" s="399">
        <v>0</v>
      </c>
      <c r="AI422" s="399">
        <v>0</v>
      </c>
      <c r="AJ422" s="399">
        <v>0</v>
      </c>
      <c r="AK422" s="399">
        <v>0</v>
      </c>
      <c r="AL422" s="399">
        <v>-1.9817994848110325</v>
      </c>
      <c r="AM422" s="399"/>
      <c r="AN422" s="399">
        <v>-8.3962949040583559E-2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-3.3941015396022025</v>
      </c>
      <c r="BH422" s="399">
        <v>0</v>
      </c>
      <c r="BI422" s="399">
        <v>0</v>
      </c>
      <c r="BJ422" s="399">
        <v>0</v>
      </c>
      <c r="BK422" s="399">
        <v>-28.96</v>
      </c>
      <c r="BL422" s="399">
        <v>0</v>
      </c>
      <c r="BM422" s="399"/>
      <c r="BN422" s="399"/>
      <c r="BO422" s="399"/>
      <c r="BP422" s="399"/>
      <c r="BQ422" s="399"/>
      <c r="BR422" s="399"/>
      <c r="BS422" s="399"/>
      <c r="BT422" s="399"/>
      <c r="BU422" s="399"/>
      <c r="BV422" s="399">
        <v>-38.453437812368968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-86.055899999999994</v>
      </c>
      <c r="CJ422" s="399">
        <v>1.1097000000000037</v>
      </c>
      <c r="CK422" s="399"/>
      <c r="CL422" s="399"/>
      <c r="CM422" s="399"/>
      <c r="CN422" s="399"/>
      <c r="CO422" s="399">
        <v>5.0922400000000021</v>
      </c>
      <c r="CP422" s="399">
        <v>-4.7721199999999984</v>
      </c>
      <c r="CQ422" s="399">
        <v>30</v>
      </c>
      <c r="CR422" s="399">
        <v>-3.7425723414120853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-0.50919427287549368</v>
      </c>
      <c r="DA422" s="399">
        <v>0</v>
      </c>
      <c r="DB422" s="399">
        <v>0</v>
      </c>
      <c r="DC422" s="399">
        <v>-4.7732534898945431</v>
      </c>
      <c r="DD422" s="399">
        <v>0</v>
      </c>
      <c r="DE422" s="399">
        <v>0</v>
      </c>
      <c r="DF422" s="399">
        <v>0</v>
      </c>
      <c r="DG422" s="399">
        <v>-0.462099649945372</v>
      </c>
      <c r="DH422" s="399">
        <v>0</v>
      </c>
      <c r="DI422" s="399">
        <v>1.7604430246465821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0.22838972945558167</v>
      </c>
      <c r="DP422" s="399">
        <v>1.3142317201140993E-2</v>
      </c>
      <c r="DQ422" s="399">
        <v>0</v>
      </c>
      <c r="DR422" s="399">
        <v>0</v>
      </c>
      <c r="DS422" s="399"/>
      <c r="DT422" s="399"/>
      <c r="DU422" s="399"/>
      <c r="DV422" s="399">
        <v>-18.786321964557743</v>
      </c>
      <c r="DW422" s="399">
        <v>0</v>
      </c>
      <c r="DX422" s="399">
        <v>0</v>
      </c>
      <c r="DY422" s="399">
        <v>5.0922400000000039</v>
      </c>
      <c r="DZ422" s="399">
        <v>-4.772120000000001</v>
      </c>
      <c r="EA422" s="399">
        <v>0</v>
      </c>
      <c r="EB422" s="399">
        <v>0</v>
      </c>
      <c r="EC422" s="399">
        <v>4.0615014456035894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-2.4441472784429479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215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427</v>
      </c>
      <c r="B423" s="399" t="s">
        <v>2346</v>
      </c>
      <c r="C423" s="399" t="s">
        <v>2343</v>
      </c>
      <c r="D423" s="399" t="s">
        <v>1823</v>
      </c>
      <c r="E423" s="399" t="s">
        <v>889</v>
      </c>
      <c r="F423" s="399" t="s">
        <v>889</v>
      </c>
      <c r="G423" s="399" t="s">
        <v>1239</v>
      </c>
      <c r="H423" s="399" t="s">
        <v>1239</v>
      </c>
      <c r="I423" s="399" t="s">
        <v>1239</v>
      </c>
      <c r="J423" s="399" t="s">
        <v>2344</v>
      </c>
      <c r="K423" s="791">
        <v>44713</v>
      </c>
      <c r="L423" s="399">
        <v>0</v>
      </c>
      <c r="M423" s="399">
        <v>0</v>
      </c>
      <c r="N423" s="399">
        <v>6.0229999999999997</v>
      </c>
      <c r="O423" s="399">
        <v>6.0229999999999997</v>
      </c>
      <c r="P423" s="399">
        <v>6.0229999999999997</v>
      </c>
      <c r="Q423" s="399">
        <v>6.0229999999999997</v>
      </c>
      <c r="R423" s="399"/>
      <c r="S423" s="399">
        <v>239.69</v>
      </c>
      <c r="T423" s="399">
        <v>171.61</v>
      </c>
      <c r="U423" s="399"/>
      <c r="V423" s="399">
        <v>2477.2599</v>
      </c>
      <c r="W423" s="399">
        <v>2477.2599</v>
      </c>
      <c r="X423" s="399">
        <v>2468.1651699999998</v>
      </c>
      <c r="Y423" s="399">
        <v>0</v>
      </c>
      <c r="Z423" s="399">
        <v>364.1343137672161</v>
      </c>
      <c r="AA423" s="399">
        <v>0</v>
      </c>
      <c r="AB423" s="399">
        <v>0</v>
      </c>
      <c r="AC423" s="399">
        <v>0</v>
      </c>
      <c r="AD423" s="399">
        <v>321.24268600910699</v>
      </c>
      <c r="AE423" s="399">
        <v>533.72649619118533</v>
      </c>
      <c r="AF423" s="399">
        <v>996.04897344751976</v>
      </c>
      <c r="AG423" s="399">
        <v>37.555554889587185</v>
      </c>
      <c r="AH423" s="399">
        <v>0</v>
      </c>
      <c r="AI423" s="399">
        <v>0</v>
      </c>
      <c r="AJ423" s="399">
        <v>0</v>
      </c>
      <c r="AK423" s="399">
        <v>0</v>
      </c>
      <c r="AL423" s="399">
        <v>56.303671212343623</v>
      </c>
      <c r="AM423" s="399"/>
      <c r="AN423" s="399">
        <v>2.3854190663746926</v>
      </c>
      <c r="AO423" s="399">
        <v>0</v>
      </c>
      <c r="AP423" s="399">
        <v>0</v>
      </c>
      <c r="AQ423" s="399">
        <v>0</v>
      </c>
      <c r="AR423" s="399">
        <v>0</v>
      </c>
      <c r="AS423" s="399">
        <v>0</v>
      </c>
      <c r="AT423" s="399">
        <v>0</v>
      </c>
      <c r="AU423" s="399">
        <v>0</v>
      </c>
      <c r="AV423" s="399">
        <v>0</v>
      </c>
      <c r="AW423" s="399">
        <v>0</v>
      </c>
      <c r="AX423" s="399">
        <v>0</v>
      </c>
      <c r="AY423" s="399">
        <v>0</v>
      </c>
      <c r="AZ423" s="399">
        <v>0</v>
      </c>
      <c r="BA423" s="399"/>
      <c r="BB423" s="399">
        <v>0</v>
      </c>
      <c r="BC423" s="399">
        <v>0</v>
      </c>
      <c r="BD423" s="399">
        <v>0</v>
      </c>
      <c r="BE423" s="399">
        <v>0</v>
      </c>
      <c r="BF423" s="399">
        <v>0</v>
      </c>
      <c r="BG423" s="399">
        <v>96.427705533132382</v>
      </c>
      <c r="BH423" s="399">
        <v>0</v>
      </c>
      <c r="BI423" s="399">
        <v>0</v>
      </c>
      <c r="BJ423" s="399">
        <v>0</v>
      </c>
      <c r="BK423" s="399">
        <v>1362.36</v>
      </c>
      <c r="BL423" s="399">
        <v>20</v>
      </c>
      <c r="BM423" s="399"/>
      <c r="BN423" s="399"/>
      <c r="BO423" s="399"/>
      <c r="BP423" s="399"/>
      <c r="BQ423" s="399"/>
      <c r="BR423" s="399"/>
      <c r="BS423" s="399"/>
      <c r="BT423" s="399"/>
      <c r="BU423" s="399"/>
      <c r="BV423" s="399">
        <v>1092.4766789806522</v>
      </c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>
        <v>2466.9357999999997</v>
      </c>
      <c r="CJ423" s="399">
        <v>-10.354100000000471</v>
      </c>
      <c r="CK423" s="399"/>
      <c r="CL423" s="399"/>
      <c r="CM423" s="399"/>
      <c r="CN423" s="399"/>
      <c r="CO423" s="399">
        <v>-144.67246000000006</v>
      </c>
      <c r="CP423" s="399">
        <v>135.57772999999995</v>
      </c>
      <c r="CQ423" s="399">
        <v>30</v>
      </c>
      <c r="CR423" s="399">
        <v>106.32789251096756</v>
      </c>
      <c r="CS423" s="399">
        <v>0</v>
      </c>
      <c r="CT423" s="399">
        <v>0</v>
      </c>
      <c r="CU423" s="399">
        <v>0</v>
      </c>
      <c r="CV423" s="399">
        <v>0</v>
      </c>
      <c r="CW423" s="399">
        <v>0</v>
      </c>
      <c r="CX423" s="399">
        <v>0</v>
      </c>
      <c r="CY423" s="399">
        <v>0</v>
      </c>
      <c r="CZ423" s="399">
        <v>14.466401441175037</v>
      </c>
      <c r="DA423" s="399">
        <v>0</v>
      </c>
      <c r="DB423" s="399">
        <v>0</v>
      </c>
      <c r="DC423" s="399">
        <v>135.60993287563633</v>
      </c>
      <c r="DD423" s="399">
        <v>0</v>
      </c>
      <c r="DE423" s="399">
        <v>0</v>
      </c>
      <c r="DF423" s="399">
        <v>0</v>
      </c>
      <c r="DG423" s="399">
        <v>13.12842543217441</v>
      </c>
      <c r="DH423" s="399">
        <v>0</v>
      </c>
      <c r="DI423" s="399">
        <v>-50.014850648331844</v>
      </c>
      <c r="DJ423" s="399"/>
      <c r="DK423" s="399">
        <v>0</v>
      </c>
      <c r="DL423" s="399">
        <v>0</v>
      </c>
      <c r="DM423" s="399">
        <v>0</v>
      </c>
      <c r="DN423" s="399">
        <v>0</v>
      </c>
      <c r="DO423" s="399">
        <v>-6.4886383986366454</v>
      </c>
      <c r="DP423" s="399">
        <v>-0.3733781910493974</v>
      </c>
      <c r="DQ423" s="399">
        <v>0</v>
      </c>
      <c r="DR423" s="399">
        <v>0</v>
      </c>
      <c r="DS423" s="399"/>
      <c r="DT423" s="399"/>
      <c r="DU423" s="399"/>
      <c r="DV423" s="399">
        <v>533.72649619118533</v>
      </c>
      <c r="DW423" s="399">
        <v>0</v>
      </c>
      <c r="DX423" s="399">
        <v>0</v>
      </c>
      <c r="DY423" s="399">
        <v>-144.67246</v>
      </c>
      <c r="DZ423" s="399">
        <v>135.57772999999975</v>
      </c>
      <c r="EA423" s="399">
        <v>0</v>
      </c>
      <c r="EB423" s="399">
        <v>0</v>
      </c>
      <c r="EC423" s="399">
        <v>-115.38878871165298</v>
      </c>
      <c r="ED423" s="399">
        <v>0</v>
      </c>
      <c r="EE423" s="399">
        <v>0</v>
      </c>
      <c r="EF423" s="399">
        <v>0</v>
      </c>
      <c r="EG423" s="399">
        <v>0</v>
      </c>
      <c r="EH423" s="399">
        <v>0</v>
      </c>
      <c r="EI423" s="399">
        <v>0</v>
      </c>
      <c r="EJ423" s="399">
        <v>0</v>
      </c>
      <c r="EK423" s="399">
        <v>0</v>
      </c>
      <c r="EL423" s="399">
        <v>0</v>
      </c>
      <c r="EM423" s="399">
        <v>0</v>
      </c>
      <c r="EN423" s="399">
        <v>0</v>
      </c>
      <c r="EO423" s="399">
        <v>0</v>
      </c>
      <c r="EP423" s="399">
        <v>69.439146500291855</v>
      </c>
      <c r="EQ423" s="399">
        <v>0</v>
      </c>
      <c r="ER423" s="399">
        <v>0</v>
      </c>
      <c r="ES423" s="399">
        <v>0</v>
      </c>
      <c r="ET423" s="399">
        <v>0</v>
      </c>
      <c r="EU423" s="399">
        <v>0</v>
      </c>
      <c r="EV423" s="399">
        <v>215</v>
      </c>
      <c r="EW423" s="399">
        <v>0</v>
      </c>
      <c r="EX423" s="399">
        <v>0</v>
      </c>
      <c r="EY423" s="399">
        <v>0</v>
      </c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428</v>
      </c>
      <c r="B424" s="399" t="s">
        <v>956</v>
      </c>
      <c r="C424" s="399" t="s">
        <v>2343</v>
      </c>
      <c r="D424" s="399" t="s">
        <v>1823</v>
      </c>
      <c r="E424" s="399" t="s">
        <v>889</v>
      </c>
      <c r="F424" s="399" t="s">
        <v>2347</v>
      </c>
      <c r="G424" s="399" t="s">
        <v>1239</v>
      </c>
      <c r="H424" s="399" t="s">
        <v>1239</v>
      </c>
      <c r="I424" s="399" t="s">
        <v>1239</v>
      </c>
      <c r="J424" s="399" t="s">
        <v>2344</v>
      </c>
      <c r="K424" s="791">
        <v>44713</v>
      </c>
      <c r="L424" s="399">
        <v>0</v>
      </c>
      <c r="M424" s="399">
        <v>0</v>
      </c>
      <c r="N424" s="399">
        <v>11.52</v>
      </c>
      <c r="O424" s="399">
        <v>11.52</v>
      </c>
      <c r="P424" s="399">
        <v>11.52</v>
      </c>
      <c r="Q424" s="399">
        <v>11.52</v>
      </c>
      <c r="R424" s="399"/>
      <c r="S424" s="399">
        <v>158.36000000000001</v>
      </c>
      <c r="T424" s="399">
        <v>171.61</v>
      </c>
      <c r="U424" s="399"/>
      <c r="V424" s="399">
        <v>3801.2544000000003</v>
      </c>
      <c r="W424" s="399">
        <v>3801.2544000000003</v>
      </c>
      <c r="X424" s="399">
        <v>3891.9168</v>
      </c>
      <c r="Y424" s="399">
        <v>0</v>
      </c>
      <c r="Z424" s="399">
        <v>0</v>
      </c>
      <c r="AA424" s="399">
        <v>0</v>
      </c>
      <c r="AB424" s="399">
        <v>0</v>
      </c>
      <c r="AC424" s="399">
        <v>0</v>
      </c>
      <c r="AD424" s="399">
        <v>614.43063968535819</v>
      </c>
      <c r="AE424" s="399">
        <v>1020.841646375968</v>
      </c>
      <c r="AF424" s="399">
        <v>1905.1111031239295</v>
      </c>
      <c r="AG424" s="399">
        <v>71.83131202524396</v>
      </c>
      <c r="AH424" s="399">
        <v>0</v>
      </c>
      <c r="AI424" s="399">
        <v>0</v>
      </c>
      <c r="AJ424" s="399">
        <v>0</v>
      </c>
      <c r="AK424" s="399">
        <v>0</v>
      </c>
      <c r="AL424" s="399">
        <v>0</v>
      </c>
      <c r="AM424" s="399"/>
      <c r="AN424" s="399">
        <v>4.5625149667335974</v>
      </c>
      <c r="AO424" s="399">
        <v>0</v>
      </c>
      <c r="AP424" s="399">
        <v>0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184.43419686894987</v>
      </c>
      <c r="BH424" s="399">
        <v>0</v>
      </c>
      <c r="BI424" s="399">
        <v>0</v>
      </c>
      <c r="BJ424" s="399">
        <v>0</v>
      </c>
      <c r="BK424" s="399">
        <v>184.35</v>
      </c>
      <c r="BL424" s="399">
        <v>3</v>
      </c>
      <c r="BM424" s="399"/>
      <c r="BN424" s="399"/>
      <c r="BO424" s="399"/>
      <c r="BP424" s="399"/>
      <c r="BQ424" s="399"/>
      <c r="BR424" s="399"/>
      <c r="BS424" s="399"/>
      <c r="BT424" s="399">
        <v>2529.7919999999999</v>
      </c>
      <c r="BU424" s="399"/>
      <c r="BV424" s="399">
        <v>2089.5452999928793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1362.1247999999998</v>
      </c>
      <c r="CJ424" s="399">
        <v>31.765199999999822</v>
      </c>
      <c r="CK424" s="399"/>
      <c r="CL424" s="399"/>
      <c r="CM424" s="399"/>
      <c r="CN424" s="399"/>
      <c r="CO424" s="399">
        <v>-168.65280000000016</v>
      </c>
      <c r="CP424" s="399">
        <v>259.31519999999989</v>
      </c>
      <c r="CQ424" s="399">
        <v>30</v>
      </c>
      <c r="CR424" s="399">
        <v>311.44239009587091</v>
      </c>
      <c r="CS424" s="399">
        <v>0</v>
      </c>
      <c r="CT424" s="399">
        <v>0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27.669424639272165</v>
      </c>
      <c r="DA424" s="399">
        <v>0</v>
      </c>
      <c r="DB424" s="399">
        <v>0</v>
      </c>
      <c r="DC424" s="399">
        <v>259.3767934131381</v>
      </c>
      <c r="DD424" s="399">
        <v>0</v>
      </c>
      <c r="DE424" s="399">
        <v>0</v>
      </c>
      <c r="DF424" s="399">
        <v>0</v>
      </c>
      <c r="DG424" s="399">
        <v>25.110320600805125</v>
      </c>
      <c r="DH424" s="399">
        <v>0</v>
      </c>
      <c r="DI424" s="399">
        <v>0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0</v>
      </c>
      <c r="DP424" s="399">
        <v>-0.71414855734502014</v>
      </c>
      <c r="DQ424" s="399">
        <v>0</v>
      </c>
      <c r="DR424" s="399">
        <v>0</v>
      </c>
      <c r="DS424" s="399"/>
      <c r="DT424" s="399"/>
      <c r="DU424" s="399"/>
      <c r="DV424" s="399">
        <v>1020.841646375968</v>
      </c>
      <c r="DW424" s="399">
        <v>0</v>
      </c>
      <c r="DX424" s="399">
        <v>0</v>
      </c>
      <c r="DY424" s="399">
        <v>-168.6528000000003</v>
      </c>
      <c r="DZ424" s="399">
        <v>259.3152</v>
      </c>
      <c r="EA424" s="399">
        <v>0</v>
      </c>
      <c r="EB424" s="399">
        <v>0</v>
      </c>
      <c r="EC424" s="399">
        <v>-220.70045591204428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0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215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429</v>
      </c>
      <c r="B425" s="399" t="s">
        <v>956</v>
      </c>
      <c r="C425" s="399" t="s">
        <v>2343</v>
      </c>
      <c r="D425" s="399" t="s">
        <v>1823</v>
      </c>
      <c r="E425" s="399" t="s">
        <v>889</v>
      </c>
      <c r="F425" s="399" t="s">
        <v>2348</v>
      </c>
      <c r="G425" s="399" t="s">
        <v>1239</v>
      </c>
      <c r="H425" s="399" t="s">
        <v>1239</v>
      </c>
      <c r="I425" s="399" t="s">
        <v>1239</v>
      </c>
      <c r="J425" s="399" t="s">
        <v>2344</v>
      </c>
      <c r="K425" s="791">
        <v>44713</v>
      </c>
      <c r="L425" s="399">
        <v>0</v>
      </c>
      <c r="M425" s="399">
        <v>0</v>
      </c>
      <c r="N425" s="399">
        <v>25.509</v>
      </c>
      <c r="O425" s="399">
        <v>25.509</v>
      </c>
      <c r="P425" s="399">
        <v>25.509</v>
      </c>
      <c r="Q425" s="399">
        <v>25.509</v>
      </c>
      <c r="R425" s="399"/>
      <c r="S425" s="399">
        <v>158.36000000000001</v>
      </c>
      <c r="T425" s="399">
        <v>171.61</v>
      </c>
      <c r="U425" s="399"/>
      <c r="V425" s="399">
        <v>8417.2047300000013</v>
      </c>
      <c r="W425" s="399">
        <v>8417.2047300000013</v>
      </c>
      <c r="X425" s="399">
        <v>8617.9605599999995</v>
      </c>
      <c r="Y425" s="399">
        <v>0</v>
      </c>
      <c r="Z425" s="399">
        <v>0</v>
      </c>
      <c r="AA425" s="399">
        <v>0</v>
      </c>
      <c r="AB425" s="399">
        <v>0</v>
      </c>
      <c r="AC425" s="399">
        <v>0</v>
      </c>
      <c r="AD425" s="399">
        <v>1360.5478461574482</v>
      </c>
      <c r="AE425" s="399">
        <v>2260.4730518580354</v>
      </c>
      <c r="AF425" s="399">
        <v>4218.5311744434312</v>
      </c>
      <c r="AG425" s="399">
        <v>159.0577203517316</v>
      </c>
      <c r="AH425" s="399">
        <v>0</v>
      </c>
      <c r="AI425" s="399">
        <v>0</v>
      </c>
      <c r="AJ425" s="399">
        <v>0</v>
      </c>
      <c r="AK425" s="399">
        <v>0</v>
      </c>
      <c r="AL425" s="399">
        <v>0</v>
      </c>
      <c r="AM425" s="399"/>
      <c r="AN425" s="399">
        <v>10.102881448472859</v>
      </c>
      <c r="AO425" s="399">
        <v>0</v>
      </c>
      <c r="AP425" s="399">
        <v>0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408.39686874392731</v>
      </c>
      <c r="BH425" s="399">
        <v>0</v>
      </c>
      <c r="BI425" s="399">
        <v>0</v>
      </c>
      <c r="BJ425" s="399">
        <v>0</v>
      </c>
      <c r="BK425" s="399">
        <v>711.92</v>
      </c>
      <c r="BL425" s="399">
        <v>45</v>
      </c>
      <c r="BM425" s="399"/>
      <c r="BN425" s="399"/>
      <c r="BO425" s="399"/>
      <c r="BP425" s="399"/>
      <c r="BQ425" s="399"/>
      <c r="BR425" s="399"/>
      <c r="BS425" s="399"/>
      <c r="BT425" s="399">
        <v>3447.2862599999999</v>
      </c>
      <c r="BU425" s="399"/>
      <c r="BV425" s="399">
        <v>4626.9280431873585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5170.8770000000004</v>
      </c>
      <c r="CJ425" s="399">
        <v>120.57517999999982</v>
      </c>
      <c r="CK425" s="399"/>
      <c r="CL425" s="399"/>
      <c r="CM425" s="399"/>
      <c r="CN425" s="399"/>
      <c r="CO425" s="399">
        <v>-373.45176000000038</v>
      </c>
      <c r="CP425" s="399">
        <v>574.20758999999975</v>
      </c>
      <c r="CQ425" s="399">
        <v>30</v>
      </c>
      <c r="CR425" s="399">
        <v>689.63402161072463</v>
      </c>
      <c r="CS425" s="399">
        <v>0</v>
      </c>
      <c r="CT425" s="399">
        <v>0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61.269041069721652</v>
      </c>
      <c r="DA425" s="399">
        <v>0</v>
      </c>
      <c r="DB425" s="399">
        <v>0</v>
      </c>
      <c r="DC425" s="399">
        <v>574.34397770622672</v>
      </c>
      <c r="DD425" s="399">
        <v>0</v>
      </c>
      <c r="DE425" s="399">
        <v>0</v>
      </c>
      <c r="DF425" s="399">
        <v>0</v>
      </c>
      <c r="DG425" s="399">
        <v>55.602358351209887</v>
      </c>
      <c r="DH425" s="399">
        <v>0</v>
      </c>
      <c r="DI425" s="399">
        <v>0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0</v>
      </c>
      <c r="DP425" s="399">
        <v>-1.5813555164335167</v>
      </c>
      <c r="DQ425" s="399">
        <v>0</v>
      </c>
      <c r="DR425" s="399">
        <v>0</v>
      </c>
      <c r="DS425" s="399"/>
      <c r="DT425" s="399"/>
      <c r="DU425" s="399"/>
      <c r="DV425" s="399">
        <v>2260.4730518580354</v>
      </c>
      <c r="DW425" s="399">
        <v>0</v>
      </c>
      <c r="DX425" s="399">
        <v>0</v>
      </c>
      <c r="DY425" s="399">
        <v>-373.45176000000038</v>
      </c>
      <c r="DZ425" s="399">
        <v>574.20758999999998</v>
      </c>
      <c r="EA425" s="399">
        <v>0</v>
      </c>
      <c r="EB425" s="399">
        <v>0</v>
      </c>
      <c r="EC425" s="399">
        <v>-488.70207724482088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215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430</v>
      </c>
      <c r="B426" s="399" t="s">
        <v>956</v>
      </c>
      <c r="C426" s="399" t="s">
        <v>2343</v>
      </c>
      <c r="D426" s="399" t="s">
        <v>1823</v>
      </c>
      <c r="E426" s="399" t="s">
        <v>889</v>
      </c>
      <c r="F426" s="399" t="s">
        <v>2349</v>
      </c>
      <c r="G426" s="399" t="s">
        <v>1239</v>
      </c>
      <c r="H426" s="399" t="s">
        <v>1239</v>
      </c>
      <c r="I426" s="399" t="s">
        <v>1239</v>
      </c>
      <c r="J426" s="399" t="s">
        <v>2344</v>
      </c>
      <c r="K426" s="791">
        <v>44713</v>
      </c>
      <c r="L426" s="399">
        <v>0</v>
      </c>
      <c r="M426" s="399">
        <v>0</v>
      </c>
      <c r="N426" s="399">
        <v>32.045000000000002</v>
      </c>
      <c r="O426" s="399">
        <v>32.045000000000002</v>
      </c>
      <c r="P426" s="399">
        <v>32.045000000000002</v>
      </c>
      <c r="Q426" s="399">
        <v>32.045000000000002</v>
      </c>
      <c r="R426" s="399"/>
      <c r="S426" s="399">
        <v>158.36000000000001</v>
      </c>
      <c r="T426" s="399">
        <v>171.61</v>
      </c>
      <c r="U426" s="399"/>
      <c r="V426" s="399">
        <v>10573.888650000001</v>
      </c>
      <c r="W426" s="399">
        <v>10573.888650000001</v>
      </c>
      <c r="X426" s="399">
        <v>10826.0828</v>
      </c>
      <c r="Y426" s="399">
        <v>0</v>
      </c>
      <c r="Z426" s="399">
        <v>0</v>
      </c>
      <c r="AA426" s="399">
        <v>0</v>
      </c>
      <c r="AB426" s="399">
        <v>0</v>
      </c>
      <c r="AC426" s="399">
        <v>0</v>
      </c>
      <c r="AD426" s="399">
        <v>1709.1518965900439</v>
      </c>
      <c r="AE426" s="399">
        <v>2839.6589026144006</v>
      </c>
      <c r="AF426" s="399">
        <v>5299.4171267019383</v>
      </c>
      <c r="AG426" s="399">
        <v>199.81201335494296</v>
      </c>
      <c r="AH426" s="399">
        <v>0</v>
      </c>
      <c r="AI426" s="399">
        <v>0</v>
      </c>
      <c r="AJ426" s="399">
        <v>0</v>
      </c>
      <c r="AK426" s="399">
        <v>0</v>
      </c>
      <c r="AL426" s="399">
        <v>0</v>
      </c>
      <c r="AM426" s="399"/>
      <c r="AN426" s="399">
        <v>12.691475009459909</v>
      </c>
      <c r="AO426" s="399">
        <v>0</v>
      </c>
      <c r="AP426" s="399">
        <v>0</v>
      </c>
      <c r="AQ426" s="399">
        <v>0</v>
      </c>
      <c r="AR426" s="399">
        <v>0</v>
      </c>
      <c r="AS426" s="399">
        <v>0</v>
      </c>
      <c r="AT426" s="399">
        <v>0</v>
      </c>
      <c r="AU426" s="399">
        <v>0</v>
      </c>
      <c r="AV426" s="399">
        <v>0</v>
      </c>
      <c r="AW426" s="399">
        <v>0</v>
      </c>
      <c r="AX426" s="399">
        <v>0</v>
      </c>
      <c r="AY426" s="399">
        <v>0</v>
      </c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>
        <v>0</v>
      </c>
      <c r="BG426" s="399">
        <v>513.0376596063802</v>
      </c>
      <c r="BH426" s="399">
        <v>0</v>
      </c>
      <c r="BI426" s="399">
        <v>0</v>
      </c>
      <c r="BJ426" s="399">
        <v>0</v>
      </c>
      <c r="BK426" s="399">
        <v>2426.46</v>
      </c>
      <c r="BL426" s="399">
        <v>124</v>
      </c>
      <c r="BM426" s="399"/>
      <c r="BN426" s="399"/>
      <c r="BO426" s="399"/>
      <c r="BP426" s="399"/>
      <c r="BQ426" s="399"/>
      <c r="BR426" s="399"/>
      <c r="BS426" s="399"/>
      <c r="BT426" s="399">
        <v>1082.4801000000002</v>
      </c>
      <c r="BU426" s="399"/>
      <c r="BV426" s="399">
        <v>5812.4547863083189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9745.1229999999996</v>
      </c>
      <c r="CJ426" s="399">
        <v>228.68934999999874</v>
      </c>
      <c r="CK426" s="399"/>
      <c r="CL426" s="399"/>
      <c r="CM426" s="399"/>
      <c r="CN426" s="399"/>
      <c r="CO426" s="399">
        <v>-469.13880000000051</v>
      </c>
      <c r="CP426" s="399">
        <v>721.33294999999976</v>
      </c>
      <c r="CQ426" s="399">
        <v>30</v>
      </c>
      <c r="CR426" s="399">
        <v>866.3343221026189</v>
      </c>
      <c r="CS426" s="399">
        <v>0</v>
      </c>
      <c r="CT426" s="399">
        <v>0</v>
      </c>
      <c r="CU426" s="399">
        <v>0</v>
      </c>
      <c r="CV426" s="399">
        <v>0</v>
      </c>
      <c r="CW426" s="399">
        <v>0</v>
      </c>
      <c r="CX426" s="399">
        <v>0</v>
      </c>
      <c r="CY426" s="399">
        <v>0</v>
      </c>
      <c r="CZ426" s="399">
        <v>76.96759657686448</v>
      </c>
      <c r="DA426" s="399">
        <v>0</v>
      </c>
      <c r="DB426" s="399">
        <v>0</v>
      </c>
      <c r="DC426" s="399">
        <v>721.504283413542</v>
      </c>
      <c r="DD426" s="399">
        <v>0</v>
      </c>
      <c r="DE426" s="399">
        <v>0</v>
      </c>
      <c r="DF426" s="399">
        <v>0</v>
      </c>
      <c r="DG426" s="399">
        <v>69.848977747638855</v>
      </c>
      <c r="DH426" s="399">
        <v>0</v>
      </c>
      <c r="DI426" s="399">
        <v>0</v>
      </c>
      <c r="DJ426" s="399"/>
      <c r="DK426" s="399">
        <v>0</v>
      </c>
      <c r="DL426" s="399">
        <v>0</v>
      </c>
      <c r="DM426" s="399">
        <v>0</v>
      </c>
      <c r="DN426" s="399">
        <v>0</v>
      </c>
      <c r="DO426" s="399">
        <v>0</v>
      </c>
      <c r="DP426" s="399">
        <v>-1.9865356354271864</v>
      </c>
      <c r="DQ426" s="399">
        <v>0</v>
      </c>
      <c r="DR426" s="399">
        <v>0</v>
      </c>
      <c r="DS426" s="399"/>
      <c r="DT426" s="399"/>
      <c r="DU426" s="399"/>
      <c r="DV426" s="399">
        <v>2839.6589026144006</v>
      </c>
      <c r="DW426" s="399">
        <v>0</v>
      </c>
      <c r="DX426" s="399">
        <v>0</v>
      </c>
      <c r="DY426" s="399">
        <v>-469.13880000000063</v>
      </c>
      <c r="DZ426" s="399">
        <v>721.33294999999998</v>
      </c>
      <c r="EA426" s="399">
        <v>0</v>
      </c>
      <c r="EB426" s="399">
        <v>0</v>
      </c>
      <c r="EC426" s="399">
        <v>-613.91893313380706</v>
      </c>
      <c r="ED426" s="399">
        <v>0</v>
      </c>
      <c r="EE426" s="399">
        <v>0</v>
      </c>
      <c r="EF426" s="399">
        <v>0</v>
      </c>
      <c r="EG426" s="399">
        <v>0</v>
      </c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>
        <v>0</v>
      </c>
      <c r="EN426" s="399">
        <v>0</v>
      </c>
      <c r="EO426" s="399">
        <v>0</v>
      </c>
      <c r="EP426" s="399">
        <v>0</v>
      </c>
      <c r="EQ426" s="399">
        <v>0</v>
      </c>
      <c r="ER426" s="399">
        <v>0</v>
      </c>
      <c r="ES426" s="399">
        <v>0</v>
      </c>
      <c r="ET426" s="399">
        <v>0</v>
      </c>
      <c r="EU426" s="399">
        <v>0</v>
      </c>
      <c r="EV426" s="399">
        <v>215</v>
      </c>
      <c r="EW426" s="399">
        <v>0</v>
      </c>
      <c r="EX426" s="399">
        <v>0</v>
      </c>
      <c r="EY426" s="399">
        <v>0</v>
      </c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431</v>
      </c>
      <c r="B427" s="399" t="s">
        <v>956</v>
      </c>
      <c r="C427" s="399" t="s">
        <v>2343</v>
      </c>
      <c r="D427" s="399" t="s">
        <v>1823</v>
      </c>
      <c r="E427" s="399" t="s">
        <v>889</v>
      </c>
      <c r="F427" s="399" t="s">
        <v>2350</v>
      </c>
      <c r="G427" s="399" t="s">
        <v>1239</v>
      </c>
      <c r="H427" s="399" t="s">
        <v>1239</v>
      </c>
      <c r="I427" s="399" t="s">
        <v>1239</v>
      </c>
      <c r="J427" s="399" t="s">
        <v>2344</v>
      </c>
      <c r="K427" s="791">
        <v>44713</v>
      </c>
      <c r="L427" s="399">
        <v>0</v>
      </c>
      <c r="M427" s="399">
        <v>0</v>
      </c>
      <c r="N427" s="399">
        <v>38.442999999999998</v>
      </c>
      <c r="O427" s="399">
        <v>38.442999999999998</v>
      </c>
      <c r="P427" s="399">
        <v>38.442999999999998</v>
      </c>
      <c r="Q427" s="399">
        <v>38.442999999999998</v>
      </c>
      <c r="R427" s="399"/>
      <c r="S427" s="399">
        <v>158.36000000000001</v>
      </c>
      <c r="T427" s="399">
        <v>171.61</v>
      </c>
      <c r="U427" s="399"/>
      <c r="V427" s="399">
        <v>12685.03671</v>
      </c>
      <c r="W427" s="399">
        <v>12685.03671</v>
      </c>
      <c r="X427" s="399">
        <v>12987.583119999999</v>
      </c>
      <c r="Y427" s="399">
        <v>0</v>
      </c>
      <c r="Z427" s="399">
        <v>0</v>
      </c>
      <c r="AA427" s="399">
        <v>0</v>
      </c>
      <c r="AB427" s="399">
        <v>0</v>
      </c>
      <c r="AC427" s="399">
        <v>0</v>
      </c>
      <c r="AD427" s="399">
        <v>2050.3955799847417</v>
      </c>
      <c r="AE427" s="399">
        <v>3406.6159211485538</v>
      </c>
      <c r="AF427" s="399">
        <v>6357.4814355376066</v>
      </c>
      <c r="AG427" s="399">
        <v>239.70582709951853</v>
      </c>
      <c r="AH427" s="399">
        <v>0</v>
      </c>
      <c r="AI427" s="399">
        <v>0</v>
      </c>
      <c r="AJ427" s="399">
        <v>0</v>
      </c>
      <c r="AK427" s="399">
        <v>0</v>
      </c>
      <c r="AL427" s="399">
        <v>0</v>
      </c>
      <c r="AM427" s="399"/>
      <c r="AN427" s="399">
        <v>15.225413443241292</v>
      </c>
      <c r="AO427" s="399">
        <v>0</v>
      </c>
      <c r="AP427" s="399">
        <v>0</v>
      </c>
      <c r="AQ427" s="399">
        <v>0</v>
      </c>
      <c r="AR427" s="399">
        <v>0</v>
      </c>
      <c r="AS427" s="399">
        <v>0</v>
      </c>
      <c r="AT427" s="399">
        <v>0</v>
      </c>
      <c r="AU427" s="399">
        <v>0</v>
      </c>
      <c r="AV427" s="399">
        <v>0</v>
      </c>
      <c r="AW427" s="399">
        <v>0</v>
      </c>
      <c r="AX427" s="399">
        <v>0</v>
      </c>
      <c r="AY427" s="399">
        <v>0</v>
      </c>
      <c r="AZ427" s="399">
        <v>0</v>
      </c>
      <c r="BA427" s="399"/>
      <c r="BB427" s="399">
        <v>0</v>
      </c>
      <c r="BC427" s="399">
        <v>0</v>
      </c>
      <c r="BD427" s="399">
        <v>0</v>
      </c>
      <c r="BE427" s="399">
        <v>0</v>
      </c>
      <c r="BF427" s="399">
        <v>0</v>
      </c>
      <c r="BG427" s="399">
        <v>615.46908248550699</v>
      </c>
      <c r="BH427" s="399">
        <v>0</v>
      </c>
      <c r="BI427" s="399">
        <v>0</v>
      </c>
      <c r="BJ427" s="399">
        <v>0</v>
      </c>
      <c r="BK427" s="399">
        <v>4328.24</v>
      </c>
      <c r="BL427" s="399">
        <v>194</v>
      </c>
      <c r="BM427" s="399"/>
      <c r="BN427" s="399"/>
      <c r="BO427" s="399"/>
      <c r="BP427" s="399"/>
      <c r="BQ427" s="399"/>
      <c r="BR427" s="399"/>
      <c r="BS427" s="399"/>
      <c r="BT427" s="399"/>
      <c r="BU427" s="399"/>
      <c r="BV427" s="399">
        <v>6972.9505180231135</v>
      </c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>
        <v>12986.569599999999</v>
      </c>
      <c r="CJ427" s="399">
        <v>301.50288999999793</v>
      </c>
      <c r="CK427" s="399"/>
      <c r="CL427" s="399"/>
      <c r="CM427" s="399"/>
      <c r="CN427" s="399"/>
      <c r="CO427" s="399">
        <v>-562.80552000000057</v>
      </c>
      <c r="CP427" s="399">
        <v>865.35192999999958</v>
      </c>
      <c r="CQ427" s="399">
        <v>30</v>
      </c>
      <c r="CR427" s="399">
        <v>1039.3038022964865</v>
      </c>
      <c r="CS427" s="399">
        <v>0</v>
      </c>
      <c r="CT427" s="399">
        <v>0</v>
      </c>
      <c r="CU427" s="399">
        <v>0</v>
      </c>
      <c r="CV427" s="399">
        <v>0</v>
      </c>
      <c r="CW427" s="399">
        <v>0</v>
      </c>
      <c r="CX427" s="399">
        <v>0</v>
      </c>
      <c r="CY427" s="399">
        <v>0</v>
      </c>
      <c r="CZ427" s="399">
        <v>92.334695434682544</v>
      </c>
      <c r="DA427" s="399">
        <v>0</v>
      </c>
      <c r="DB427" s="399">
        <v>0</v>
      </c>
      <c r="DC427" s="399">
        <v>865.55747128309486</v>
      </c>
      <c r="DD427" s="399">
        <v>0</v>
      </c>
      <c r="DE427" s="399">
        <v>0</v>
      </c>
      <c r="DF427" s="399">
        <v>0</v>
      </c>
      <c r="DG427" s="399">
        <v>83.794796428537325</v>
      </c>
      <c r="DH427" s="399">
        <v>0</v>
      </c>
      <c r="DI427" s="399">
        <v>0</v>
      </c>
      <c r="DJ427" s="399"/>
      <c r="DK427" s="399">
        <v>0</v>
      </c>
      <c r="DL427" s="399">
        <v>0</v>
      </c>
      <c r="DM427" s="399">
        <v>0</v>
      </c>
      <c r="DN427" s="399">
        <v>0</v>
      </c>
      <c r="DO427" s="399">
        <v>0</v>
      </c>
      <c r="DP427" s="399">
        <v>-2.3831608498276573</v>
      </c>
      <c r="DQ427" s="399">
        <v>0</v>
      </c>
      <c r="DR427" s="399">
        <v>0</v>
      </c>
      <c r="DS427" s="399"/>
      <c r="DT427" s="399"/>
      <c r="DU427" s="399"/>
      <c r="DV427" s="399">
        <v>3406.6159211485538</v>
      </c>
      <c r="DW427" s="399">
        <v>0</v>
      </c>
      <c r="DX427" s="399">
        <v>0</v>
      </c>
      <c r="DY427" s="399">
        <v>-562.8055200000008</v>
      </c>
      <c r="DZ427" s="399">
        <v>865.35192999999981</v>
      </c>
      <c r="EA427" s="399">
        <v>0</v>
      </c>
      <c r="EB427" s="399">
        <v>0</v>
      </c>
      <c r="EC427" s="399">
        <v>-736.49198147801371</v>
      </c>
      <c r="ED427" s="399">
        <v>0</v>
      </c>
      <c r="EE427" s="399">
        <v>0</v>
      </c>
      <c r="EF427" s="399">
        <v>0</v>
      </c>
      <c r="EG427" s="399">
        <v>0</v>
      </c>
      <c r="EH427" s="399">
        <v>0</v>
      </c>
      <c r="EI427" s="399">
        <v>0</v>
      </c>
      <c r="EJ427" s="399">
        <v>0</v>
      </c>
      <c r="EK427" s="399">
        <v>0</v>
      </c>
      <c r="EL427" s="399">
        <v>0</v>
      </c>
      <c r="EM427" s="399">
        <v>0</v>
      </c>
      <c r="EN427" s="399">
        <v>0</v>
      </c>
      <c r="EO427" s="399">
        <v>0</v>
      </c>
      <c r="EP427" s="399">
        <v>0</v>
      </c>
      <c r="EQ427" s="399">
        <v>0</v>
      </c>
      <c r="ER427" s="399">
        <v>0</v>
      </c>
      <c r="ES427" s="399">
        <v>0</v>
      </c>
      <c r="ET427" s="399">
        <v>0</v>
      </c>
      <c r="EU427" s="399">
        <v>0</v>
      </c>
      <c r="EV427" s="399">
        <v>215</v>
      </c>
      <c r="EW427" s="399">
        <v>0</v>
      </c>
      <c r="EX427" s="399">
        <v>0</v>
      </c>
      <c r="EY427" s="399">
        <v>0</v>
      </c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432</v>
      </c>
      <c r="B428" s="399" t="s">
        <v>956</v>
      </c>
      <c r="C428" s="399" t="s">
        <v>2343</v>
      </c>
      <c r="D428" s="399" t="s">
        <v>1826</v>
      </c>
      <c r="E428" s="399" t="s">
        <v>890</v>
      </c>
      <c r="F428" s="399" t="s">
        <v>1239</v>
      </c>
      <c r="G428" s="399" t="s">
        <v>1239</v>
      </c>
      <c r="H428" s="399" t="s">
        <v>1239</v>
      </c>
      <c r="I428" s="399" t="s">
        <v>1239</v>
      </c>
      <c r="J428" s="399" t="s">
        <v>2344</v>
      </c>
      <c r="K428" s="791">
        <v>44713</v>
      </c>
      <c r="L428" s="399">
        <v>0</v>
      </c>
      <c r="M428" s="399">
        <v>0</v>
      </c>
      <c r="N428" s="399">
        <v>223.423</v>
      </c>
      <c r="O428" s="399">
        <v>223.423</v>
      </c>
      <c r="P428" s="399">
        <v>223.423</v>
      </c>
      <c r="Q428" s="399">
        <v>223.423</v>
      </c>
      <c r="R428" s="399"/>
      <c r="S428" s="399">
        <v>239.69</v>
      </c>
      <c r="T428" s="399">
        <v>171.61</v>
      </c>
      <c r="U428" s="399"/>
      <c r="V428" s="399">
        <v>91893.8799</v>
      </c>
      <c r="W428" s="399">
        <v>91893.8799</v>
      </c>
      <c r="X428" s="399">
        <v>91556.511169999998</v>
      </c>
      <c r="Y428" s="399">
        <v>0</v>
      </c>
      <c r="Z428" s="399">
        <v>13507.551184594509</v>
      </c>
      <c r="AA428" s="399">
        <v>0</v>
      </c>
      <c r="AB428" s="399">
        <v>0</v>
      </c>
      <c r="AC428" s="399">
        <v>0</v>
      </c>
      <c r="AD428" s="399">
        <v>11916.487570349114</v>
      </c>
      <c r="AE428" s="399">
        <v>19798.567982487664</v>
      </c>
      <c r="AF428" s="399">
        <v>36948.406075803621</v>
      </c>
      <c r="AG428" s="399">
        <v>1393.1221550882015</v>
      </c>
      <c r="AH428" s="399">
        <v>0</v>
      </c>
      <c r="AI428" s="399">
        <v>0</v>
      </c>
      <c r="AJ428" s="399">
        <v>0</v>
      </c>
      <c r="AK428" s="399">
        <v>0</v>
      </c>
      <c r="AL428" s="399">
        <v>2088.5829542213928</v>
      </c>
      <c r="AM428" s="399"/>
      <c r="AN428" s="399">
        <v>88.487046997614641</v>
      </c>
      <c r="AO428" s="399">
        <v>0</v>
      </c>
      <c r="AP428" s="399">
        <v>0</v>
      </c>
      <c r="AQ428" s="399">
        <v>0</v>
      </c>
      <c r="AR428" s="399">
        <v>0</v>
      </c>
      <c r="AS428" s="399">
        <v>0</v>
      </c>
      <c r="AT428" s="399">
        <v>0</v>
      </c>
      <c r="AU428" s="399">
        <v>0</v>
      </c>
      <c r="AV428" s="399">
        <v>0</v>
      </c>
      <c r="AW428" s="399">
        <v>0</v>
      </c>
      <c r="AX428" s="399">
        <v>0</v>
      </c>
      <c r="AY428" s="399">
        <v>0</v>
      </c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>
        <v>0</v>
      </c>
      <c r="BG428" s="399">
        <v>3576.9827749176552</v>
      </c>
      <c r="BH428" s="399">
        <v>0</v>
      </c>
      <c r="BI428" s="399">
        <v>0</v>
      </c>
      <c r="BJ428" s="399">
        <v>0</v>
      </c>
      <c r="BK428" s="399">
        <v>30518.37</v>
      </c>
      <c r="BL428" s="399">
        <v>78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40525.388850721276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91555.281799999997</v>
      </c>
      <c r="CJ428" s="399">
        <v>-338.62810000000172</v>
      </c>
      <c r="CK428" s="399"/>
      <c r="CL428" s="399"/>
      <c r="CM428" s="399"/>
      <c r="CN428" s="399"/>
      <c r="CO428" s="399">
        <v>-5366.6204600000019</v>
      </c>
      <c r="CP428" s="399">
        <v>5029.2517299999981</v>
      </c>
      <c r="CQ428" s="399">
        <v>30</v>
      </c>
      <c r="CR428" s="399">
        <v>3944.2299067703716</v>
      </c>
      <c r="CS428" s="399">
        <v>0</v>
      </c>
      <c r="CT428" s="399">
        <v>0</v>
      </c>
      <c r="CU428" s="399">
        <v>0</v>
      </c>
      <c r="CV428" s="399">
        <v>0</v>
      </c>
      <c r="CW428" s="399">
        <v>0</v>
      </c>
      <c r="CX428" s="399">
        <v>0</v>
      </c>
      <c r="CY428" s="399">
        <v>0</v>
      </c>
      <c r="CZ428" s="399">
        <v>536.63071711632801</v>
      </c>
      <c r="DA428" s="399">
        <v>0</v>
      </c>
      <c r="DB428" s="399">
        <v>0</v>
      </c>
      <c r="DC428" s="399">
        <v>5030.4462946825952</v>
      </c>
      <c r="DD428" s="399">
        <v>0</v>
      </c>
      <c r="DE428" s="399">
        <v>0</v>
      </c>
      <c r="DF428" s="399">
        <v>0</v>
      </c>
      <c r="DG428" s="399">
        <v>486.99853815917413</v>
      </c>
      <c r="DH428" s="399">
        <v>0</v>
      </c>
      <c r="DI428" s="399">
        <v>-1855.2993485642128</v>
      </c>
      <c r="DJ428" s="399"/>
      <c r="DK428" s="399">
        <v>0</v>
      </c>
      <c r="DL428" s="399">
        <v>0</v>
      </c>
      <c r="DM428" s="399">
        <v>0</v>
      </c>
      <c r="DN428" s="399">
        <v>0</v>
      </c>
      <c r="DO428" s="399">
        <v>-240.69584209506775</v>
      </c>
      <c r="DP428" s="399">
        <v>-13.850452528445885</v>
      </c>
      <c r="DQ428" s="399">
        <v>0</v>
      </c>
      <c r="DR428" s="399">
        <v>0</v>
      </c>
      <c r="DS428" s="399"/>
      <c r="DT428" s="399"/>
      <c r="DU428" s="399"/>
      <c r="DV428" s="399">
        <v>19798.567982487664</v>
      </c>
      <c r="DW428" s="399">
        <v>0</v>
      </c>
      <c r="DX428" s="399">
        <v>0</v>
      </c>
      <c r="DY428" s="399">
        <v>-5366.6204599999983</v>
      </c>
      <c r="DZ428" s="399">
        <v>5029.2517299999963</v>
      </c>
      <c r="EA428" s="399">
        <v>0</v>
      </c>
      <c r="EB428" s="399">
        <v>0</v>
      </c>
      <c r="EC428" s="399">
        <v>-4280.3435730240144</v>
      </c>
      <c r="ED428" s="399">
        <v>0</v>
      </c>
      <c r="EE428" s="399">
        <v>0</v>
      </c>
      <c r="EF428" s="399">
        <v>0</v>
      </c>
      <c r="EG428" s="399">
        <v>0</v>
      </c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>
        <v>0</v>
      </c>
      <c r="EN428" s="399">
        <v>0</v>
      </c>
      <c r="EO428" s="399">
        <v>0</v>
      </c>
      <c r="EP428" s="399">
        <v>2575.8430065639564</v>
      </c>
      <c r="EQ428" s="399">
        <v>0</v>
      </c>
      <c r="ER428" s="399">
        <v>0</v>
      </c>
      <c r="ES428" s="399">
        <v>0</v>
      </c>
      <c r="ET428" s="399">
        <v>0</v>
      </c>
      <c r="EU428" s="399">
        <v>0</v>
      </c>
      <c r="EV428" s="399">
        <v>215</v>
      </c>
      <c r="EW428" s="399">
        <v>0</v>
      </c>
      <c r="EX428" s="399">
        <v>0</v>
      </c>
      <c r="EY428" s="399">
        <v>0</v>
      </c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433</v>
      </c>
      <c r="B429" s="399" t="s">
        <v>2346</v>
      </c>
      <c r="C429" s="399" t="s">
        <v>2343</v>
      </c>
      <c r="D429" s="399" t="s">
        <v>1826</v>
      </c>
      <c r="E429" s="399" t="s">
        <v>890</v>
      </c>
      <c r="F429" s="399" t="s">
        <v>1239</v>
      </c>
      <c r="G429" s="399" t="s">
        <v>1239</v>
      </c>
      <c r="H429" s="399" t="s">
        <v>1239</v>
      </c>
      <c r="I429" s="399" t="s">
        <v>1239</v>
      </c>
      <c r="J429" s="399" t="s">
        <v>2344</v>
      </c>
      <c r="K429" s="791">
        <v>44713</v>
      </c>
      <c r="L429" s="399">
        <v>0</v>
      </c>
      <c r="M429" s="399">
        <v>0</v>
      </c>
      <c r="N429" s="399">
        <v>8.4489999999999998</v>
      </c>
      <c r="O429" s="399">
        <v>8.4489999999999998</v>
      </c>
      <c r="P429" s="399">
        <v>8.4489999999999998</v>
      </c>
      <c r="Q429" s="399">
        <v>8.4489999999999998</v>
      </c>
      <c r="R429" s="399"/>
      <c r="S429" s="399">
        <v>239.69</v>
      </c>
      <c r="T429" s="399">
        <v>171.61</v>
      </c>
      <c r="U429" s="399"/>
      <c r="V429" s="399">
        <v>3475.0736999999999</v>
      </c>
      <c r="W429" s="399">
        <v>3475.0736999999999</v>
      </c>
      <c r="X429" s="399">
        <v>3462.3157099999999</v>
      </c>
      <c r="Y429" s="399">
        <v>0</v>
      </c>
      <c r="Z429" s="399">
        <v>510.80372190257498</v>
      </c>
      <c r="AA429" s="399">
        <v>0</v>
      </c>
      <c r="AB429" s="399">
        <v>0</v>
      </c>
      <c r="AC429" s="399">
        <v>0</v>
      </c>
      <c r="AD429" s="399">
        <v>450.63580509562428</v>
      </c>
      <c r="AE429" s="399">
        <v>748.70582206862446</v>
      </c>
      <c r="AF429" s="399">
        <v>1397.2468498519167</v>
      </c>
      <c r="AG429" s="399">
        <v>52.682530842125537</v>
      </c>
      <c r="AH429" s="399">
        <v>0</v>
      </c>
      <c r="AI429" s="399">
        <v>0</v>
      </c>
      <c r="AJ429" s="399">
        <v>0</v>
      </c>
      <c r="AK429" s="399">
        <v>0</v>
      </c>
      <c r="AL429" s="399">
        <v>78.982187958341569</v>
      </c>
      <c r="AM429" s="399"/>
      <c r="AN429" s="399">
        <v>3.3462403605843893</v>
      </c>
      <c r="AO429" s="399">
        <v>0</v>
      </c>
      <c r="AP429" s="399">
        <v>0</v>
      </c>
      <c r="AQ429" s="399">
        <v>0</v>
      </c>
      <c r="AR429" s="399">
        <v>0</v>
      </c>
      <c r="AS429" s="399">
        <v>0</v>
      </c>
      <c r="AT429" s="399">
        <v>0</v>
      </c>
      <c r="AU429" s="399">
        <v>0</v>
      </c>
      <c r="AV429" s="399">
        <v>0</v>
      </c>
      <c r="AW429" s="399">
        <v>0</v>
      </c>
      <c r="AX429" s="399">
        <v>0</v>
      </c>
      <c r="AY429" s="399">
        <v>0</v>
      </c>
      <c r="AZ429" s="399">
        <v>0</v>
      </c>
      <c r="BA429" s="399"/>
      <c r="BB429" s="399">
        <v>0</v>
      </c>
      <c r="BC429" s="399">
        <v>0</v>
      </c>
      <c r="BD429" s="399">
        <v>0</v>
      </c>
      <c r="BE429" s="399">
        <v>0</v>
      </c>
      <c r="BF429" s="399">
        <v>0</v>
      </c>
      <c r="BG429" s="399">
        <v>135.26775428348589</v>
      </c>
      <c r="BH429" s="399">
        <v>0</v>
      </c>
      <c r="BI429" s="399">
        <v>0</v>
      </c>
      <c r="BJ429" s="399">
        <v>0</v>
      </c>
      <c r="BK429" s="399">
        <v>1254.77</v>
      </c>
      <c r="BL429" s="399">
        <v>6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>
        <v>1532.5146041354026</v>
      </c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>
        <v>3462.7254999999996</v>
      </c>
      <c r="CJ429" s="399">
        <v>-12.378200000000561</v>
      </c>
      <c r="CK429" s="399"/>
      <c r="CL429" s="399"/>
      <c r="CM429" s="399"/>
      <c r="CN429" s="399"/>
      <c r="CO429" s="399">
        <v>-202.94498000000007</v>
      </c>
      <c r="CP429" s="399">
        <v>190.18698999999992</v>
      </c>
      <c r="CQ429" s="399">
        <v>30</v>
      </c>
      <c r="CR429" s="399">
        <v>149.15563071976885</v>
      </c>
      <c r="CS429" s="399">
        <v>0</v>
      </c>
      <c r="CT429" s="399">
        <v>0</v>
      </c>
      <c r="CU429" s="399">
        <v>0</v>
      </c>
      <c r="CV429" s="399">
        <v>0</v>
      </c>
      <c r="CW429" s="399">
        <v>0</v>
      </c>
      <c r="CX429" s="399">
        <v>0</v>
      </c>
      <c r="CY429" s="399">
        <v>0</v>
      </c>
      <c r="CZ429" s="399">
        <v>20.293313261910669</v>
      </c>
      <c r="DA429" s="399">
        <v>0</v>
      </c>
      <c r="DB429" s="399">
        <v>0</v>
      </c>
      <c r="DC429" s="399">
        <v>190.23216384961825</v>
      </c>
      <c r="DD429" s="399">
        <v>0</v>
      </c>
      <c r="DE429" s="399">
        <v>0</v>
      </c>
      <c r="DF429" s="399">
        <v>0</v>
      </c>
      <c r="DG429" s="399">
        <v>18.416414822587029</v>
      </c>
      <c r="DH429" s="399">
        <v>0</v>
      </c>
      <c r="DI429" s="399">
        <v>-70.160297713391344</v>
      </c>
      <c r="DJ429" s="399"/>
      <c r="DK429" s="399">
        <v>0</v>
      </c>
      <c r="DL429" s="399">
        <v>0</v>
      </c>
      <c r="DM429" s="399">
        <v>0</v>
      </c>
      <c r="DN429" s="399">
        <v>0</v>
      </c>
      <c r="DO429" s="399">
        <v>-9.1021925668405999</v>
      </c>
      <c r="DP429" s="399">
        <v>-0.52377093411528453</v>
      </c>
      <c r="DQ429" s="399">
        <v>0</v>
      </c>
      <c r="DR429" s="399">
        <v>0</v>
      </c>
      <c r="DS429" s="399"/>
      <c r="DT429" s="399"/>
      <c r="DU429" s="399"/>
      <c r="DV429" s="399">
        <v>748.70582206862446</v>
      </c>
      <c r="DW429" s="399">
        <v>0</v>
      </c>
      <c r="DX429" s="399">
        <v>0</v>
      </c>
      <c r="DY429" s="399">
        <v>-202.94497999999999</v>
      </c>
      <c r="DZ429" s="399">
        <v>190.18698999999992</v>
      </c>
      <c r="EA429" s="399">
        <v>0</v>
      </c>
      <c r="EB429" s="399">
        <v>0</v>
      </c>
      <c r="EC429" s="399">
        <v>-161.86615902785252</v>
      </c>
      <c r="ED429" s="399">
        <v>0</v>
      </c>
      <c r="EE429" s="399">
        <v>0</v>
      </c>
      <c r="EF429" s="399">
        <v>0</v>
      </c>
      <c r="EG429" s="399">
        <v>0</v>
      </c>
      <c r="EH429" s="399">
        <v>0</v>
      </c>
      <c r="EI429" s="399">
        <v>0</v>
      </c>
      <c r="EJ429" s="399">
        <v>0</v>
      </c>
      <c r="EK429" s="399">
        <v>0</v>
      </c>
      <c r="EL429" s="399">
        <v>0</v>
      </c>
      <c r="EM429" s="399">
        <v>0</v>
      </c>
      <c r="EN429" s="399">
        <v>0</v>
      </c>
      <c r="EO429" s="399">
        <v>0</v>
      </c>
      <c r="EP429" s="399">
        <v>97.408492243228622</v>
      </c>
      <c r="EQ429" s="399">
        <v>0</v>
      </c>
      <c r="ER429" s="399">
        <v>0</v>
      </c>
      <c r="ES429" s="399">
        <v>0</v>
      </c>
      <c r="ET429" s="399">
        <v>0</v>
      </c>
      <c r="EU429" s="399">
        <v>0</v>
      </c>
      <c r="EV429" s="399">
        <v>215</v>
      </c>
      <c r="EW429" s="399">
        <v>0</v>
      </c>
      <c r="EX429" s="399">
        <v>0</v>
      </c>
      <c r="EY429" s="399">
        <v>0</v>
      </c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434</v>
      </c>
      <c r="B430" s="399" t="s">
        <v>956</v>
      </c>
      <c r="C430" s="399" t="s">
        <v>2351</v>
      </c>
      <c r="D430" s="399" t="s">
        <v>533</v>
      </c>
      <c r="E430" s="399" t="s">
        <v>890</v>
      </c>
      <c r="F430" s="399" t="s">
        <v>1239</v>
      </c>
      <c r="G430" s="399" t="s">
        <v>1239</v>
      </c>
      <c r="H430" s="399" t="s">
        <v>1239</v>
      </c>
      <c r="I430" s="399" t="s">
        <v>893</v>
      </c>
      <c r="J430" s="399" t="s">
        <v>2344</v>
      </c>
      <c r="K430" s="791">
        <v>44713</v>
      </c>
      <c r="L430" s="399">
        <v>18715</v>
      </c>
      <c r="M430" s="399">
        <v>18715</v>
      </c>
      <c r="N430" s="399">
        <v>901.86400000000003</v>
      </c>
      <c r="O430" s="399">
        <v>901.86400000000003</v>
      </c>
      <c r="P430" s="399">
        <v>901.86400000000003</v>
      </c>
      <c r="Q430" s="399">
        <v>901.86400000000003</v>
      </c>
      <c r="R430" s="399">
        <v>37.64</v>
      </c>
      <c r="S430" s="399">
        <v>78.42</v>
      </c>
      <c r="T430" s="399">
        <v>171.61</v>
      </c>
      <c r="U430" s="399">
        <v>704432.6</v>
      </c>
      <c r="V430" s="399">
        <v>225493.05592000001</v>
      </c>
      <c r="W430" s="399">
        <v>929925.65591999993</v>
      </c>
      <c r="X430" s="399">
        <v>871035.58455999999</v>
      </c>
      <c r="Y430" s="399">
        <v>0</v>
      </c>
      <c r="Z430" s="399">
        <v>47436.107755882484</v>
      </c>
      <c r="AA430" s="399">
        <v>0</v>
      </c>
      <c r="AB430" s="399">
        <v>0</v>
      </c>
      <c r="AC430" s="399">
        <v>0</v>
      </c>
      <c r="AD430" s="399">
        <v>305880.11699188274</v>
      </c>
      <c r="AE430" s="399">
        <v>398488.75255475455</v>
      </c>
      <c r="AF430" s="399">
        <v>149145.06249199304</v>
      </c>
      <c r="AG430" s="399">
        <v>5623.4439573207137</v>
      </c>
      <c r="AH430" s="399">
        <v>0</v>
      </c>
      <c r="AI430" s="399">
        <v>0</v>
      </c>
      <c r="AJ430" s="399">
        <v>0</v>
      </c>
      <c r="AK430" s="399">
        <v>0</v>
      </c>
      <c r="AL430" s="399">
        <v>8430.7245781585716</v>
      </c>
      <c r="AM430" s="399"/>
      <c r="AN430" s="399">
        <v>238.14663610603381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5574.6818108628831</v>
      </c>
      <c r="BH430" s="399">
        <v>0</v>
      </c>
      <c r="BI430" s="399">
        <v>0</v>
      </c>
      <c r="BJ430" s="399">
        <v>0</v>
      </c>
      <c r="BK430" s="399">
        <v>0</v>
      </c>
      <c r="BL430" s="399">
        <v>0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154719.74430285592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871034.52439999999</v>
      </c>
      <c r="CJ430" s="399">
        <v>-58891.161519999965</v>
      </c>
      <c r="CK430" s="399"/>
      <c r="CL430" s="399"/>
      <c r="CM430" s="399"/>
      <c r="CN430" s="399"/>
      <c r="CO430" s="399">
        <v>-79191.029999999955</v>
      </c>
      <c r="CP430" s="399">
        <v>20300.958639999993</v>
      </c>
      <c r="CQ430" s="399">
        <v>30</v>
      </c>
      <c r="CR430" s="399">
        <v>27315.003089896403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13774.584630240162</v>
      </c>
      <c r="DA430" s="399">
        <v>0</v>
      </c>
      <c r="DB430" s="399">
        <v>0</v>
      </c>
      <c r="DC430" s="399">
        <v>20305.780591557821</v>
      </c>
      <c r="DD430" s="399">
        <v>0</v>
      </c>
      <c r="DE430" s="399">
        <v>0</v>
      </c>
      <c r="DF430" s="399">
        <v>0</v>
      </c>
      <c r="DG430" s="399">
        <v>758.98098017964367</v>
      </c>
      <c r="DH430" s="399">
        <v>0</v>
      </c>
      <c r="DI430" s="399">
        <v>-6515.4800167097565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-971.5871460647586</v>
      </c>
      <c r="DP430" s="399">
        <v>-37.275949306847593</v>
      </c>
      <c r="DQ430" s="399">
        <v>0</v>
      </c>
      <c r="DR430" s="399">
        <v>0</v>
      </c>
      <c r="DS430" s="399"/>
      <c r="DT430" s="399"/>
      <c r="DU430" s="399">
        <v>398488.75255475455</v>
      </c>
      <c r="DV430" s="399">
        <v>0</v>
      </c>
      <c r="DW430" s="399">
        <v>0</v>
      </c>
      <c r="DX430" s="399">
        <v>0</v>
      </c>
      <c r="DY430" s="399">
        <v>-79191.029999999912</v>
      </c>
      <c r="DZ430" s="399">
        <v>20300.958639999997</v>
      </c>
      <c r="EA430" s="399">
        <v>0</v>
      </c>
      <c r="EB430" s="399">
        <v>0</v>
      </c>
      <c r="EC430" s="399">
        <v>-86151.11822374136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9045.9006782043762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215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435</v>
      </c>
      <c r="B431" s="399" t="s">
        <v>2346</v>
      </c>
      <c r="C431" s="399" t="s">
        <v>2351</v>
      </c>
      <c r="D431" s="399" t="s">
        <v>533</v>
      </c>
      <c r="E431" s="399" t="s">
        <v>890</v>
      </c>
      <c r="F431" s="399" t="s">
        <v>1239</v>
      </c>
      <c r="G431" s="399" t="s">
        <v>1239</v>
      </c>
      <c r="H431" s="399" t="s">
        <v>1239</v>
      </c>
      <c r="I431" s="399" t="s">
        <v>893</v>
      </c>
      <c r="J431" s="399" t="s">
        <v>2344</v>
      </c>
      <c r="K431" s="791">
        <v>44713</v>
      </c>
      <c r="L431" s="399">
        <v>1611</v>
      </c>
      <c r="M431" s="399">
        <v>1611</v>
      </c>
      <c r="N431" s="399">
        <v>87.408000000000001</v>
      </c>
      <c r="O431" s="399">
        <v>87.408000000000001</v>
      </c>
      <c r="P431" s="399">
        <v>87.408000000000001</v>
      </c>
      <c r="Q431" s="399">
        <v>87.408000000000001</v>
      </c>
      <c r="R431" s="399">
        <v>37.64</v>
      </c>
      <c r="S431" s="399">
        <v>78.42</v>
      </c>
      <c r="T431" s="399">
        <v>171.61</v>
      </c>
      <c r="U431" s="399">
        <v>60638.04</v>
      </c>
      <c r="V431" s="399">
        <v>21854.622240000001</v>
      </c>
      <c r="W431" s="399">
        <v>82492.662240000005</v>
      </c>
      <c r="X431" s="399">
        <v>77570.086320000017</v>
      </c>
      <c r="Y431" s="399">
        <v>0</v>
      </c>
      <c r="Z431" s="399">
        <v>4597.4729080284569</v>
      </c>
      <c r="AA431" s="399">
        <v>0</v>
      </c>
      <c r="AB431" s="399">
        <v>0</v>
      </c>
      <c r="AC431" s="399">
        <v>0</v>
      </c>
      <c r="AD431" s="399">
        <v>26330.369675336526</v>
      </c>
      <c r="AE431" s="399">
        <v>34302.184363649991</v>
      </c>
      <c r="AF431" s="399">
        <v>14455.030494952816</v>
      </c>
      <c r="AG431" s="399">
        <v>545.02007999153852</v>
      </c>
      <c r="AH431" s="399">
        <v>0</v>
      </c>
      <c r="AI431" s="399">
        <v>0</v>
      </c>
      <c r="AJ431" s="399">
        <v>0</v>
      </c>
      <c r="AK431" s="399">
        <v>0</v>
      </c>
      <c r="AL431" s="399">
        <v>817.09966683189964</v>
      </c>
      <c r="AM431" s="399"/>
      <c r="AN431" s="399">
        <v>23.080997987231115</v>
      </c>
      <c r="AO431" s="399">
        <v>0</v>
      </c>
      <c r="AP431" s="399">
        <v>0</v>
      </c>
      <c r="AQ431" s="399">
        <v>0</v>
      </c>
      <c r="AR431" s="399">
        <v>0</v>
      </c>
      <c r="AS431" s="399">
        <v>0</v>
      </c>
      <c r="AT431" s="399">
        <v>0</v>
      </c>
      <c r="AU431" s="399">
        <v>0</v>
      </c>
      <c r="AV431" s="399">
        <v>0</v>
      </c>
      <c r="AW431" s="399">
        <v>0</v>
      </c>
      <c r="AX431" s="399">
        <v>0</v>
      </c>
      <c r="AY431" s="399">
        <v>0</v>
      </c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>
        <v>0</v>
      </c>
      <c r="BG431" s="399">
        <v>540.29408838128904</v>
      </c>
      <c r="BH431" s="399">
        <v>0</v>
      </c>
      <c r="BI431" s="399">
        <v>0</v>
      </c>
      <c r="BJ431" s="399">
        <v>0</v>
      </c>
      <c r="BK431" s="399">
        <v>0</v>
      </c>
      <c r="BL431" s="399">
        <v>0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>
        <v>14995.324583334106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77570.616400000014</v>
      </c>
      <c r="CJ431" s="399">
        <v>-4922.0758399999759</v>
      </c>
      <c r="CK431" s="399"/>
      <c r="CL431" s="399"/>
      <c r="CM431" s="399"/>
      <c r="CN431" s="399"/>
      <c r="CO431" s="399">
        <v>-6890.1299999999965</v>
      </c>
      <c r="CP431" s="399">
        <v>1967.5540799999992</v>
      </c>
      <c r="CQ431" s="399">
        <v>30</v>
      </c>
      <c r="CR431" s="399">
        <v>2498.0531308148056</v>
      </c>
      <c r="CS431" s="399">
        <v>0</v>
      </c>
      <c r="CT431" s="399">
        <v>0</v>
      </c>
      <c r="CU431" s="399">
        <v>0</v>
      </c>
      <c r="CV431" s="399">
        <v>0</v>
      </c>
      <c r="CW431" s="399">
        <v>0</v>
      </c>
      <c r="CX431" s="399">
        <v>0</v>
      </c>
      <c r="CY431" s="399">
        <v>0</v>
      </c>
      <c r="CZ431" s="399">
        <v>1185.7256660067833</v>
      </c>
      <c r="DA431" s="399">
        <v>0</v>
      </c>
      <c r="DB431" s="399">
        <v>0</v>
      </c>
      <c r="DC431" s="399">
        <v>1968.0214200221835</v>
      </c>
      <c r="DD431" s="399">
        <v>0</v>
      </c>
      <c r="DE431" s="399">
        <v>0</v>
      </c>
      <c r="DF431" s="399">
        <v>0</v>
      </c>
      <c r="DG431" s="399">
        <v>73.559882105885549</v>
      </c>
      <c r="DH431" s="399">
        <v>0</v>
      </c>
      <c r="DI431" s="399">
        <v>-631.47556316758028</v>
      </c>
      <c r="DJ431" s="399"/>
      <c r="DK431" s="399">
        <v>0</v>
      </c>
      <c r="DL431" s="399">
        <v>0</v>
      </c>
      <c r="DM431" s="399">
        <v>0</v>
      </c>
      <c r="DN431" s="399">
        <v>0</v>
      </c>
      <c r="DO431" s="399">
        <v>-94.165516378554116</v>
      </c>
      <c r="DP431" s="399">
        <v>-3.6127577739137315</v>
      </c>
      <c r="DQ431" s="399">
        <v>0</v>
      </c>
      <c r="DR431" s="399">
        <v>0</v>
      </c>
      <c r="DS431" s="399"/>
      <c r="DT431" s="399"/>
      <c r="DU431" s="399">
        <v>34302.184363649991</v>
      </c>
      <c r="DV431" s="399">
        <v>0</v>
      </c>
      <c r="DW431" s="399">
        <v>0</v>
      </c>
      <c r="DX431" s="399">
        <v>0</v>
      </c>
      <c r="DY431" s="399">
        <v>-6890.1299999999901</v>
      </c>
      <c r="DZ431" s="399">
        <v>1967.5540799999999</v>
      </c>
      <c r="EA431" s="399">
        <v>0</v>
      </c>
      <c r="EB431" s="399">
        <v>0</v>
      </c>
      <c r="EC431" s="399">
        <v>-7415.947179185001</v>
      </c>
      <c r="ED431" s="399">
        <v>0</v>
      </c>
      <c r="EE431" s="399">
        <v>0</v>
      </c>
      <c r="EF431" s="399">
        <v>0</v>
      </c>
      <c r="EG431" s="399">
        <v>0</v>
      </c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>
        <v>0</v>
      </c>
      <c r="EN431" s="399">
        <v>0</v>
      </c>
      <c r="EO431" s="399">
        <v>0</v>
      </c>
      <c r="EP431" s="399">
        <v>876.72208501557679</v>
      </c>
      <c r="EQ431" s="399">
        <v>0</v>
      </c>
      <c r="ER431" s="399">
        <v>0</v>
      </c>
      <c r="ES431" s="399">
        <v>0</v>
      </c>
      <c r="ET431" s="399">
        <v>0</v>
      </c>
      <c r="EU431" s="399">
        <v>0</v>
      </c>
      <c r="EV431" s="399">
        <v>215</v>
      </c>
      <c r="EW431" s="399">
        <v>0</v>
      </c>
      <c r="EX431" s="399">
        <v>0</v>
      </c>
      <c r="EY431" s="399">
        <v>0</v>
      </c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436</v>
      </c>
      <c r="B432" s="399" t="s">
        <v>956</v>
      </c>
      <c r="C432" s="399" t="s">
        <v>2351</v>
      </c>
      <c r="D432" s="399" t="s">
        <v>533</v>
      </c>
      <c r="E432" s="399" t="s">
        <v>890</v>
      </c>
      <c r="F432" s="399" t="s">
        <v>1239</v>
      </c>
      <c r="G432" s="399" t="s">
        <v>1239</v>
      </c>
      <c r="H432" s="399" t="s">
        <v>1239</v>
      </c>
      <c r="I432" s="399" t="s">
        <v>2326</v>
      </c>
      <c r="J432" s="399" t="s">
        <v>2344</v>
      </c>
      <c r="K432" s="791">
        <v>44713</v>
      </c>
      <c r="L432" s="399">
        <v>21724</v>
      </c>
      <c r="M432" s="399">
        <v>21724</v>
      </c>
      <c r="N432" s="399">
        <v>8041.09</v>
      </c>
      <c r="O432" s="399">
        <v>8041.09</v>
      </c>
      <c r="P432" s="399">
        <v>8041.09</v>
      </c>
      <c r="Q432" s="399">
        <v>8041.09</v>
      </c>
      <c r="R432" s="399">
        <v>12.58</v>
      </c>
      <c r="S432" s="399">
        <v>78.42</v>
      </c>
      <c r="T432" s="399">
        <v>171.61</v>
      </c>
      <c r="U432" s="399">
        <v>273287.92</v>
      </c>
      <c r="V432" s="399">
        <v>2010513.7327000003</v>
      </c>
      <c r="W432" s="399">
        <v>2283801.6527000004</v>
      </c>
      <c r="X432" s="399">
        <v>2382991.6536000003</v>
      </c>
      <c r="Y432" s="399">
        <v>0</v>
      </c>
      <c r="Z432" s="399">
        <v>422944.04889733827</v>
      </c>
      <c r="AA432" s="399">
        <v>0</v>
      </c>
      <c r="AB432" s="399">
        <v>0</v>
      </c>
      <c r="AC432" s="399">
        <v>0</v>
      </c>
      <c r="AD432" s="399">
        <v>143974.49401420579</v>
      </c>
      <c r="AE432" s="399">
        <v>129251.47886796796</v>
      </c>
      <c r="AF432" s="399">
        <v>1329789.0486301042</v>
      </c>
      <c r="AG432" s="399">
        <v>50139.066390023349</v>
      </c>
      <c r="AH432" s="399">
        <v>0</v>
      </c>
      <c r="AI432" s="399">
        <v>0</v>
      </c>
      <c r="AJ432" s="399">
        <v>0</v>
      </c>
      <c r="AK432" s="399">
        <v>0</v>
      </c>
      <c r="AL432" s="399">
        <v>75169.000091128051</v>
      </c>
      <c r="AM432" s="399"/>
      <c r="AN432" s="399">
        <v>2123.3340438534715</v>
      </c>
      <c r="AO432" s="399">
        <v>0</v>
      </c>
      <c r="AP432" s="399">
        <v>0</v>
      </c>
      <c r="AQ432" s="399">
        <v>0</v>
      </c>
      <c r="AR432" s="399">
        <v>0</v>
      </c>
      <c r="AS432" s="399">
        <v>0</v>
      </c>
      <c r="AT432" s="399">
        <v>0</v>
      </c>
      <c r="AU432" s="399">
        <v>0</v>
      </c>
      <c r="AV432" s="399">
        <v>0</v>
      </c>
      <c r="AW432" s="399">
        <v>0</v>
      </c>
      <c r="AX432" s="399">
        <v>0</v>
      </c>
      <c r="AY432" s="399">
        <v>0</v>
      </c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>
        <v>0</v>
      </c>
      <c r="BG432" s="399">
        <v>49704.299276289355</v>
      </c>
      <c r="BH432" s="399">
        <v>0</v>
      </c>
      <c r="BI432" s="399">
        <v>0</v>
      </c>
      <c r="BJ432" s="399">
        <v>0</v>
      </c>
      <c r="BK432" s="399">
        <v>0</v>
      </c>
      <c r="BL432" s="399">
        <v>0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1379493.3479063935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2382991.6536000003</v>
      </c>
      <c r="CJ432" s="399">
        <v>99189.970900000539</v>
      </c>
      <c r="CK432" s="399"/>
      <c r="CL432" s="399"/>
      <c r="CM432" s="399"/>
      <c r="CN432" s="399"/>
      <c r="CO432" s="399">
        <v>-81814.935000000012</v>
      </c>
      <c r="CP432" s="399">
        <v>181004.93589999992</v>
      </c>
      <c r="CQ432" s="399">
        <v>30</v>
      </c>
      <c r="CR432" s="399">
        <v>127210.98001235444</v>
      </c>
      <c r="CS432" s="399">
        <v>0</v>
      </c>
      <c r="CT432" s="399">
        <v>0</v>
      </c>
      <c r="CU432" s="399">
        <v>0</v>
      </c>
      <c r="CV432" s="399">
        <v>0</v>
      </c>
      <c r="CW432" s="399">
        <v>0</v>
      </c>
      <c r="CX432" s="399">
        <v>0</v>
      </c>
      <c r="CY432" s="399">
        <v>0</v>
      </c>
      <c r="CZ432" s="399">
        <v>6483.5494111155567</v>
      </c>
      <c r="DA432" s="399">
        <v>0</v>
      </c>
      <c r="DB432" s="399">
        <v>0</v>
      </c>
      <c r="DC432" s="399">
        <v>181047.92879743478</v>
      </c>
      <c r="DD432" s="399">
        <v>0</v>
      </c>
      <c r="DE432" s="399">
        <v>0</v>
      </c>
      <c r="DF432" s="399">
        <v>0</v>
      </c>
      <c r="DG432" s="399">
        <v>6767.1338138707506</v>
      </c>
      <c r="DH432" s="399">
        <v>0</v>
      </c>
      <c r="DI432" s="399">
        <v>-58092.529702443688</v>
      </c>
      <c r="DJ432" s="399"/>
      <c r="DK432" s="399">
        <v>0</v>
      </c>
      <c r="DL432" s="399">
        <v>0</v>
      </c>
      <c r="DM432" s="399">
        <v>0</v>
      </c>
      <c r="DN432" s="399">
        <v>0</v>
      </c>
      <c r="DO432" s="399">
        <v>-8662.7470265470911</v>
      </c>
      <c r="DP432" s="399">
        <v>-332.35528107541609</v>
      </c>
      <c r="DQ432" s="399">
        <v>0</v>
      </c>
      <c r="DR432" s="399">
        <v>0</v>
      </c>
      <c r="DS432" s="399"/>
      <c r="DT432" s="399"/>
      <c r="DU432" s="399">
        <v>129251.47886796796</v>
      </c>
      <c r="DV432" s="399">
        <v>0</v>
      </c>
      <c r="DW432" s="399">
        <v>0</v>
      </c>
      <c r="DX432" s="399">
        <v>0</v>
      </c>
      <c r="DY432" s="399">
        <v>-81814.934999999939</v>
      </c>
      <c r="DZ432" s="399">
        <v>181004.93589999992</v>
      </c>
      <c r="EA432" s="399">
        <v>0</v>
      </c>
      <c r="EB432" s="399">
        <v>0</v>
      </c>
      <c r="EC432" s="399">
        <v>-27943.47234434892</v>
      </c>
      <c r="ED432" s="399">
        <v>0</v>
      </c>
      <c r="EE432" s="399">
        <v>0</v>
      </c>
      <c r="EF432" s="399">
        <v>0</v>
      </c>
      <c r="EG432" s="399">
        <v>0</v>
      </c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>
        <v>0</v>
      </c>
      <c r="EN432" s="399">
        <v>0</v>
      </c>
      <c r="EO432" s="399">
        <v>0</v>
      </c>
      <c r="EP432" s="399">
        <v>80653.958340173718</v>
      </c>
      <c r="EQ432" s="399">
        <v>0</v>
      </c>
      <c r="ER432" s="399">
        <v>0</v>
      </c>
      <c r="ES432" s="399">
        <v>0</v>
      </c>
      <c r="ET432" s="399">
        <v>0</v>
      </c>
      <c r="EU432" s="399">
        <v>0</v>
      </c>
      <c r="EV432" s="399">
        <v>215</v>
      </c>
      <c r="EW432" s="399">
        <v>0</v>
      </c>
      <c r="EX432" s="399">
        <v>0</v>
      </c>
      <c r="EY432" s="399">
        <v>0</v>
      </c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437</v>
      </c>
      <c r="B433" s="399" t="s">
        <v>2346</v>
      </c>
      <c r="C433" s="399" t="s">
        <v>2351</v>
      </c>
      <c r="D433" s="399" t="s">
        <v>533</v>
      </c>
      <c r="E433" s="399" t="s">
        <v>890</v>
      </c>
      <c r="F433" s="399" t="s">
        <v>1239</v>
      </c>
      <c r="G433" s="399" t="s">
        <v>1239</v>
      </c>
      <c r="H433" s="399" t="s">
        <v>1239</v>
      </c>
      <c r="I433" s="399" t="s">
        <v>2326</v>
      </c>
      <c r="J433" s="399" t="s">
        <v>2344</v>
      </c>
      <c r="K433" s="791">
        <v>44713</v>
      </c>
      <c r="L433" s="399">
        <v>2001</v>
      </c>
      <c r="M433" s="399">
        <v>2001</v>
      </c>
      <c r="N433" s="399">
        <v>733.60400000000004</v>
      </c>
      <c r="O433" s="399">
        <v>733.60400000000004</v>
      </c>
      <c r="P433" s="399">
        <v>733.60400000000004</v>
      </c>
      <c r="Q433" s="399">
        <v>733.60400000000004</v>
      </c>
      <c r="R433" s="399">
        <v>12.58</v>
      </c>
      <c r="S433" s="399">
        <v>78.42</v>
      </c>
      <c r="T433" s="399">
        <v>171.61</v>
      </c>
      <c r="U433" s="399">
        <v>25172.58</v>
      </c>
      <c r="V433" s="399">
        <v>183423.00812000001</v>
      </c>
      <c r="W433" s="399">
        <v>208595.58812000003</v>
      </c>
      <c r="X433" s="399">
        <v>217625.99416</v>
      </c>
      <c r="Y433" s="399">
        <v>0</v>
      </c>
      <c r="Z433" s="399">
        <v>38585.993447067871</v>
      </c>
      <c r="AA433" s="399">
        <v>0</v>
      </c>
      <c r="AB433" s="399">
        <v>0</v>
      </c>
      <c r="AC433" s="399">
        <v>0</v>
      </c>
      <c r="AD433" s="399">
        <v>13261.506284405532</v>
      </c>
      <c r="AE433" s="399">
        <v>11905.367759841829</v>
      </c>
      <c r="AF433" s="399">
        <v>121319.19493889995</v>
      </c>
      <c r="AG433" s="399">
        <v>4574.282797479781</v>
      </c>
      <c r="AH433" s="399">
        <v>0</v>
      </c>
      <c r="AI433" s="399">
        <v>0</v>
      </c>
      <c r="AJ433" s="399">
        <v>0</v>
      </c>
      <c r="AK433" s="399">
        <v>0</v>
      </c>
      <c r="AL433" s="399">
        <v>6857.8114587514756</v>
      </c>
      <c r="AM433" s="399"/>
      <c r="AN433" s="399">
        <v>193.71582060480387</v>
      </c>
      <c r="AO433" s="399">
        <v>0</v>
      </c>
      <c r="AP433" s="399">
        <v>0</v>
      </c>
      <c r="AQ433" s="399">
        <v>0</v>
      </c>
      <c r="AR433" s="399">
        <v>0</v>
      </c>
      <c r="AS433" s="399">
        <v>0</v>
      </c>
      <c r="AT433" s="399">
        <v>0</v>
      </c>
      <c r="AU433" s="399">
        <v>0</v>
      </c>
      <c r="AV433" s="399">
        <v>0</v>
      </c>
      <c r="AW433" s="399">
        <v>0</v>
      </c>
      <c r="AX433" s="399">
        <v>0</v>
      </c>
      <c r="AY433" s="399">
        <v>0</v>
      </c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>
        <v>0</v>
      </c>
      <c r="BG433" s="399">
        <v>4534.6181632444077</v>
      </c>
      <c r="BH433" s="399">
        <v>0</v>
      </c>
      <c r="BI433" s="399">
        <v>0</v>
      </c>
      <c r="BJ433" s="399">
        <v>0</v>
      </c>
      <c r="BK433" s="399">
        <v>0</v>
      </c>
      <c r="BL433" s="399">
        <v>0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>
        <v>125853.81310214436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217624.93400000001</v>
      </c>
      <c r="CJ433" s="399">
        <v>9029.3158800000092</v>
      </c>
      <c r="CK433" s="399"/>
      <c r="CL433" s="399"/>
      <c r="CM433" s="399"/>
      <c r="CN433" s="399"/>
      <c r="CO433" s="399">
        <v>-7483.0200000000013</v>
      </c>
      <c r="CP433" s="399">
        <v>16513.426039999995</v>
      </c>
      <c r="CQ433" s="399">
        <v>30</v>
      </c>
      <c r="CR433" s="399">
        <v>11611.394536028558</v>
      </c>
      <c r="CS433" s="399">
        <v>0</v>
      </c>
      <c r="CT433" s="399">
        <v>0</v>
      </c>
      <c r="CU433" s="399">
        <v>0</v>
      </c>
      <c r="CV433" s="399">
        <v>0</v>
      </c>
      <c r="CW433" s="399">
        <v>0</v>
      </c>
      <c r="CX433" s="399">
        <v>0</v>
      </c>
      <c r="CY433" s="399">
        <v>0</v>
      </c>
      <c r="CZ433" s="399">
        <v>597.20044060220243</v>
      </c>
      <c r="DA433" s="399">
        <v>0</v>
      </c>
      <c r="DB433" s="399">
        <v>0</v>
      </c>
      <c r="DC433" s="399">
        <v>16517.34836415379</v>
      </c>
      <c r="DD433" s="399">
        <v>0</v>
      </c>
      <c r="DE433" s="399">
        <v>0</v>
      </c>
      <c r="DF433" s="399">
        <v>0</v>
      </c>
      <c r="DG433" s="399">
        <v>617.37854375350162</v>
      </c>
      <c r="DH433" s="399">
        <v>0</v>
      </c>
      <c r="DI433" s="399">
        <v>-5299.8924473959996</v>
      </c>
      <c r="DJ433" s="399"/>
      <c r="DK433" s="399">
        <v>0</v>
      </c>
      <c r="DL433" s="399">
        <v>0</v>
      </c>
      <c r="DM433" s="399">
        <v>0</v>
      </c>
      <c r="DN433" s="399">
        <v>0</v>
      </c>
      <c r="DO433" s="399">
        <v>-790.31895796005938</v>
      </c>
      <c r="DP433" s="399">
        <v>-30.321407124910877</v>
      </c>
      <c r="DQ433" s="399">
        <v>0</v>
      </c>
      <c r="DR433" s="399">
        <v>0</v>
      </c>
      <c r="DS433" s="399"/>
      <c r="DT433" s="399"/>
      <c r="DU433" s="399">
        <v>11905.367759841829</v>
      </c>
      <c r="DV433" s="399">
        <v>0</v>
      </c>
      <c r="DW433" s="399">
        <v>0</v>
      </c>
      <c r="DX433" s="399">
        <v>0</v>
      </c>
      <c r="DY433" s="399">
        <v>-7483.0200000000041</v>
      </c>
      <c r="DZ433" s="399">
        <v>16513.426039999991</v>
      </c>
      <c r="EA433" s="399">
        <v>0</v>
      </c>
      <c r="EB433" s="399">
        <v>0</v>
      </c>
      <c r="EC433" s="399">
        <v>-2573.8762732941541</v>
      </c>
      <c r="ED433" s="399">
        <v>0</v>
      </c>
      <c r="EE433" s="399">
        <v>0</v>
      </c>
      <c r="EF433" s="399">
        <v>0</v>
      </c>
      <c r="EG433" s="399">
        <v>0</v>
      </c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>
        <v>0</v>
      </c>
      <c r="EN433" s="399">
        <v>0</v>
      </c>
      <c r="EO433" s="399">
        <v>0</v>
      </c>
      <c r="EP433" s="399">
        <v>7358.2146766402075</v>
      </c>
      <c r="EQ433" s="399">
        <v>0</v>
      </c>
      <c r="ER433" s="399">
        <v>0</v>
      </c>
      <c r="ES433" s="399">
        <v>0</v>
      </c>
      <c r="ET433" s="399">
        <v>0</v>
      </c>
      <c r="EU433" s="399">
        <v>0</v>
      </c>
      <c r="EV433" s="399">
        <v>215</v>
      </c>
      <c r="EW433" s="399">
        <v>0</v>
      </c>
      <c r="EX433" s="399">
        <v>0</v>
      </c>
      <c r="EY433" s="399">
        <v>0</v>
      </c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438</v>
      </c>
      <c r="B434" s="399" t="s">
        <v>956</v>
      </c>
      <c r="C434" s="399" t="s">
        <v>2351</v>
      </c>
      <c r="D434" s="399" t="s">
        <v>533</v>
      </c>
      <c r="E434" s="399" t="s">
        <v>890</v>
      </c>
      <c r="F434" s="399" t="s">
        <v>1239</v>
      </c>
      <c r="G434" s="399" t="s">
        <v>1239</v>
      </c>
      <c r="H434" s="399" t="s">
        <v>1239</v>
      </c>
      <c r="I434" s="399" t="s">
        <v>1239</v>
      </c>
      <c r="J434" s="399" t="s">
        <v>2344</v>
      </c>
      <c r="K434" s="791">
        <v>44713</v>
      </c>
      <c r="L434" s="399">
        <v>0</v>
      </c>
      <c r="M434" s="399">
        <v>0</v>
      </c>
      <c r="N434" s="399">
        <v>0</v>
      </c>
      <c r="O434" s="399">
        <v>0</v>
      </c>
      <c r="P434" s="399">
        <v>0</v>
      </c>
      <c r="Q434" s="399">
        <v>0</v>
      </c>
      <c r="R434" s="399"/>
      <c r="S434" s="399"/>
      <c r="T434" s="399"/>
      <c r="U434" s="399"/>
      <c r="V434" s="399"/>
      <c r="W434" s="399"/>
      <c r="X434" s="399"/>
      <c r="Y434" s="399"/>
      <c r="Z434" s="399"/>
      <c r="AA434" s="399">
        <v>0</v>
      </c>
      <c r="AB434" s="399"/>
      <c r="AC434" s="399"/>
      <c r="AD434" s="399"/>
      <c r="AE434" s="399"/>
      <c r="AF434" s="399"/>
      <c r="AG434" s="399"/>
      <c r="AH434" s="399"/>
      <c r="AI434" s="399"/>
      <c r="AJ434" s="399"/>
      <c r="AK434" s="399"/>
      <c r="AL434" s="399"/>
      <c r="AM434" s="399"/>
      <c r="AN434" s="399"/>
      <c r="AO434" s="399"/>
      <c r="AP434" s="399"/>
      <c r="AQ434" s="399"/>
      <c r="AR434" s="399"/>
      <c r="AS434" s="399"/>
      <c r="AT434" s="399"/>
      <c r="AU434" s="399"/>
      <c r="AV434" s="399"/>
      <c r="AW434" s="399"/>
      <c r="AX434" s="399"/>
      <c r="AY434" s="399"/>
      <c r="AZ434" s="399">
        <v>0</v>
      </c>
      <c r="BA434" s="399"/>
      <c r="BB434" s="399"/>
      <c r="BC434" s="399"/>
      <c r="BD434" s="399"/>
      <c r="BE434" s="399"/>
      <c r="BF434" s="399"/>
      <c r="BG434" s="399"/>
      <c r="BH434" s="399"/>
      <c r="BI434" s="399">
        <v>0</v>
      </c>
      <c r="BJ434" s="399">
        <v>0</v>
      </c>
      <c r="BK434" s="399">
        <v>1072157.48</v>
      </c>
      <c r="BL434" s="399">
        <v>22</v>
      </c>
      <c r="BM434" s="399"/>
      <c r="BN434" s="399"/>
      <c r="BO434" s="399"/>
      <c r="BP434" s="399"/>
      <c r="BQ434" s="399"/>
      <c r="BR434" s="399"/>
      <c r="BS434" s="399"/>
      <c r="BT434" s="399"/>
      <c r="BU434" s="399"/>
      <c r="BV434" s="399"/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/>
      <c r="CJ434" s="399">
        <v>-0.03</v>
      </c>
      <c r="CK434" s="399"/>
      <c r="CL434" s="399"/>
      <c r="CM434" s="399"/>
      <c r="CN434" s="399"/>
      <c r="CO434" s="399">
        <v>0</v>
      </c>
      <c r="CP434" s="399">
        <v>0</v>
      </c>
      <c r="CQ434" s="399">
        <v>30</v>
      </c>
      <c r="CR434" s="399"/>
      <c r="CS434" s="399"/>
      <c r="CT434" s="399"/>
      <c r="CU434" s="399"/>
      <c r="CV434" s="399"/>
      <c r="CW434" s="399"/>
      <c r="CX434" s="399"/>
      <c r="CY434" s="399"/>
      <c r="CZ434" s="399"/>
      <c r="DA434" s="399"/>
      <c r="DB434" s="399"/>
      <c r="DC434" s="399"/>
      <c r="DD434" s="399"/>
      <c r="DE434" s="399"/>
      <c r="DF434" s="399"/>
      <c r="DG434" s="399"/>
      <c r="DH434" s="399"/>
      <c r="DI434" s="399"/>
      <c r="DJ434" s="399"/>
      <c r="DK434" s="399">
        <v>0</v>
      </c>
      <c r="DL434" s="399"/>
      <c r="DM434" s="399"/>
      <c r="DN434" s="399"/>
      <c r="DO434" s="399"/>
      <c r="DP434" s="399"/>
      <c r="DQ434" s="399"/>
      <c r="DR434" s="399"/>
      <c r="DS434" s="399"/>
      <c r="DT434" s="399"/>
      <c r="DU434" s="399"/>
      <c r="DV434" s="399"/>
      <c r="DW434" s="399"/>
      <c r="DX434" s="399"/>
      <c r="DY434" s="399"/>
      <c r="DZ434" s="399"/>
      <c r="EA434" s="399"/>
      <c r="EB434" s="399"/>
      <c r="EC434" s="399"/>
      <c r="ED434" s="399"/>
      <c r="EE434" s="399"/>
      <c r="EF434" s="399"/>
      <c r="EG434" s="399"/>
      <c r="EH434" s="399"/>
      <c r="EI434" s="399"/>
      <c r="EJ434" s="399"/>
      <c r="EK434" s="399"/>
      <c r="EL434" s="399"/>
      <c r="EM434" s="399"/>
      <c r="EN434" s="399"/>
      <c r="EO434" s="399"/>
      <c r="EP434" s="399"/>
      <c r="EQ434" s="399"/>
      <c r="ER434" s="399"/>
      <c r="ES434" s="399"/>
      <c r="ET434" s="399"/>
      <c r="EU434" s="399"/>
      <c r="EV434" s="399">
        <v>215</v>
      </c>
      <c r="EW434" s="399"/>
      <c r="EX434" s="399"/>
      <c r="EY434" s="399"/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439</v>
      </c>
      <c r="B435" s="399" t="s">
        <v>2346</v>
      </c>
      <c r="C435" s="399" t="s">
        <v>2351</v>
      </c>
      <c r="D435" s="399" t="s">
        <v>533</v>
      </c>
      <c r="E435" s="399" t="s">
        <v>890</v>
      </c>
      <c r="F435" s="399" t="s">
        <v>1239</v>
      </c>
      <c r="G435" s="399" t="s">
        <v>1239</v>
      </c>
      <c r="H435" s="399" t="s">
        <v>1239</v>
      </c>
      <c r="I435" s="399" t="s">
        <v>1239</v>
      </c>
      <c r="J435" s="399" t="s">
        <v>2344</v>
      </c>
      <c r="K435" s="791">
        <v>44713</v>
      </c>
      <c r="L435" s="399">
        <v>0</v>
      </c>
      <c r="M435" s="399">
        <v>0</v>
      </c>
      <c r="N435" s="399">
        <v>0</v>
      </c>
      <c r="O435" s="399">
        <v>0</v>
      </c>
      <c r="P435" s="399">
        <v>0</v>
      </c>
      <c r="Q435" s="399">
        <v>0</v>
      </c>
      <c r="R435" s="399"/>
      <c r="S435" s="399"/>
      <c r="T435" s="399"/>
      <c r="U435" s="399"/>
      <c r="V435" s="399"/>
      <c r="W435" s="399"/>
      <c r="X435" s="399"/>
      <c r="Y435" s="399"/>
      <c r="Z435" s="399"/>
      <c r="AA435" s="399">
        <v>0</v>
      </c>
      <c r="AB435" s="399"/>
      <c r="AC435" s="399"/>
      <c r="AD435" s="399"/>
      <c r="AE435" s="399"/>
      <c r="AF435" s="399"/>
      <c r="AG435" s="399"/>
      <c r="AH435" s="399"/>
      <c r="AI435" s="399"/>
      <c r="AJ435" s="399"/>
      <c r="AK435" s="399"/>
      <c r="AL435" s="399"/>
      <c r="AM435" s="399"/>
      <c r="AN435" s="399"/>
      <c r="AO435" s="399"/>
      <c r="AP435" s="399"/>
      <c r="AQ435" s="399"/>
      <c r="AR435" s="399"/>
      <c r="AS435" s="399"/>
      <c r="AT435" s="399"/>
      <c r="AU435" s="399"/>
      <c r="AV435" s="399"/>
      <c r="AW435" s="399"/>
      <c r="AX435" s="399"/>
      <c r="AY435" s="399"/>
      <c r="AZ435" s="399">
        <v>0</v>
      </c>
      <c r="BA435" s="399"/>
      <c r="BB435" s="399"/>
      <c r="BC435" s="399"/>
      <c r="BD435" s="399"/>
      <c r="BE435" s="399"/>
      <c r="BF435" s="399"/>
      <c r="BG435" s="399"/>
      <c r="BH435" s="399"/>
      <c r="BI435" s="399">
        <v>0</v>
      </c>
      <c r="BJ435" s="399">
        <v>0</v>
      </c>
      <c r="BK435" s="399">
        <v>99194.26</v>
      </c>
      <c r="BL435" s="399">
        <v>3</v>
      </c>
      <c r="BM435" s="399"/>
      <c r="BN435" s="399"/>
      <c r="BO435" s="399"/>
      <c r="BP435" s="399"/>
      <c r="BQ435" s="399"/>
      <c r="BR435" s="399"/>
      <c r="BS435" s="399"/>
      <c r="BT435" s="399"/>
      <c r="BU435" s="399"/>
      <c r="BV435" s="399"/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/>
      <c r="CJ435" s="399">
        <v>-0.03</v>
      </c>
      <c r="CK435" s="399"/>
      <c r="CL435" s="399"/>
      <c r="CM435" s="399"/>
      <c r="CN435" s="399"/>
      <c r="CO435" s="399">
        <v>0</v>
      </c>
      <c r="CP435" s="399">
        <v>0</v>
      </c>
      <c r="CQ435" s="399">
        <v>30</v>
      </c>
      <c r="CR435" s="399"/>
      <c r="CS435" s="399"/>
      <c r="CT435" s="399"/>
      <c r="CU435" s="399"/>
      <c r="CV435" s="399"/>
      <c r="CW435" s="399"/>
      <c r="CX435" s="399"/>
      <c r="CY435" s="399"/>
      <c r="CZ435" s="399"/>
      <c r="DA435" s="399"/>
      <c r="DB435" s="399"/>
      <c r="DC435" s="399"/>
      <c r="DD435" s="399"/>
      <c r="DE435" s="399"/>
      <c r="DF435" s="399"/>
      <c r="DG435" s="399"/>
      <c r="DH435" s="399"/>
      <c r="DI435" s="399"/>
      <c r="DJ435" s="399"/>
      <c r="DK435" s="399">
        <v>0</v>
      </c>
      <c r="DL435" s="399"/>
      <c r="DM435" s="399"/>
      <c r="DN435" s="399"/>
      <c r="DO435" s="399"/>
      <c r="DP435" s="399"/>
      <c r="DQ435" s="399"/>
      <c r="DR435" s="399"/>
      <c r="DS435" s="399"/>
      <c r="DT435" s="399"/>
      <c r="DU435" s="399"/>
      <c r="DV435" s="399"/>
      <c r="DW435" s="399"/>
      <c r="DX435" s="399"/>
      <c r="DY435" s="399"/>
      <c r="DZ435" s="399"/>
      <c r="EA435" s="399"/>
      <c r="EB435" s="399"/>
      <c r="EC435" s="399"/>
      <c r="ED435" s="399"/>
      <c r="EE435" s="399"/>
      <c r="EF435" s="399"/>
      <c r="EG435" s="399"/>
      <c r="EH435" s="399"/>
      <c r="EI435" s="399"/>
      <c r="EJ435" s="399"/>
      <c r="EK435" s="399"/>
      <c r="EL435" s="399"/>
      <c r="EM435" s="399"/>
      <c r="EN435" s="399"/>
      <c r="EO435" s="399"/>
      <c r="EP435" s="399"/>
      <c r="EQ435" s="399"/>
      <c r="ER435" s="399"/>
      <c r="ES435" s="399"/>
      <c r="ET435" s="399"/>
      <c r="EU435" s="399"/>
      <c r="EV435" s="399">
        <v>215</v>
      </c>
      <c r="EW435" s="399"/>
      <c r="EX435" s="399"/>
      <c r="EY435" s="399"/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440</v>
      </c>
      <c r="B436" s="399" t="s">
        <v>956</v>
      </c>
      <c r="C436" s="399" t="s">
        <v>2352</v>
      </c>
      <c r="D436" s="399" t="s">
        <v>533</v>
      </c>
      <c r="E436" s="399" t="s">
        <v>890</v>
      </c>
      <c r="F436" s="399" t="s">
        <v>1239</v>
      </c>
      <c r="G436" s="399" t="s">
        <v>1239</v>
      </c>
      <c r="H436" s="399" t="s">
        <v>1239</v>
      </c>
      <c r="I436" s="399" t="s">
        <v>893</v>
      </c>
      <c r="J436" s="399" t="s">
        <v>2344</v>
      </c>
      <c r="K436" s="791">
        <v>44713</v>
      </c>
      <c r="L436" s="399">
        <v>0</v>
      </c>
      <c r="M436" s="399">
        <v>0</v>
      </c>
      <c r="N436" s="399">
        <v>156.93</v>
      </c>
      <c r="O436" s="399">
        <v>156.93</v>
      </c>
      <c r="P436" s="399">
        <v>156.93</v>
      </c>
      <c r="Q436" s="399">
        <v>156.93</v>
      </c>
      <c r="R436" s="399"/>
      <c r="S436" s="399">
        <v>984.21</v>
      </c>
      <c r="T436" s="399">
        <v>171.61</v>
      </c>
      <c r="U436" s="399"/>
      <c r="V436" s="399">
        <v>181382.83260000002</v>
      </c>
      <c r="W436" s="399">
        <v>181382.83260000002</v>
      </c>
      <c r="X436" s="399">
        <v>169147.00050000002</v>
      </c>
      <c r="Y436" s="399">
        <v>0</v>
      </c>
      <c r="Z436" s="399">
        <v>8254.180663748235</v>
      </c>
      <c r="AA436" s="399">
        <v>0</v>
      </c>
      <c r="AB436" s="399">
        <v>0</v>
      </c>
      <c r="AC436" s="399">
        <v>0</v>
      </c>
      <c r="AD436" s="399">
        <v>61784.700861197991</v>
      </c>
      <c r="AE436" s="399">
        <v>80361.047218411361</v>
      </c>
      <c r="AF436" s="399">
        <v>25952.17755323249</v>
      </c>
      <c r="AG436" s="399">
        <v>978.51456563554996</v>
      </c>
      <c r="AH436" s="399">
        <v>0</v>
      </c>
      <c r="AI436" s="399">
        <v>0</v>
      </c>
      <c r="AJ436" s="399">
        <v>0</v>
      </c>
      <c r="AK436" s="399">
        <v>0</v>
      </c>
      <c r="AL436" s="399">
        <v>1466.9990242990345</v>
      </c>
      <c r="AM436" s="399"/>
      <c r="AN436" s="399">
        <v>41.439010320979534</v>
      </c>
      <c r="AO436" s="399">
        <v>0</v>
      </c>
      <c r="AP436" s="399">
        <v>0</v>
      </c>
      <c r="AQ436" s="399">
        <v>0</v>
      </c>
      <c r="AR436" s="399">
        <v>0</v>
      </c>
      <c r="AS436" s="399">
        <v>0</v>
      </c>
      <c r="AT436" s="399">
        <v>0</v>
      </c>
      <c r="AU436" s="399">
        <v>0</v>
      </c>
      <c r="AV436" s="399">
        <v>0</v>
      </c>
      <c r="AW436" s="399">
        <v>0</v>
      </c>
      <c r="AX436" s="399">
        <v>0</v>
      </c>
      <c r="AY436" s="399">
        <v>0</v>
      </c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>
        <v>0</v>
      </c>
      <c r="BG436" s="399">
        <v>970.02964590970737</v>
      </c>
      <c r="BH436" s="399">
        <v>0</v>
      </c>
      <c r="BI436" s="399">
        <v>0</v>
      </c>
      <c r="BJ436" s="399">
        <v>0</v>
      </c>
      <c r="BK436" s="399">
        <v>0</v>
      </c>
      <c r="BL436" s="399">
        <v>0</v>
      </c>
      <c r="BM436" s="399"/>
      <c r="BN436" s="399"/>
      <c r="BO436" s="399"/>
      <c r="BP436" s="399"/>
      <c r="BQ436" s="399"/>
      <c r="BR436" s="399"/>
      <c r="BS436" s="399"/>
      <c r="BT436" s="399"/>
      <c r="BU436" s="399"/>
      <c r="BV436" s="399">
        <v>26922.207199142198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169147.00050000002</v>
      </c>
      <c r="CJ436" s="399">
        <v>-12235.862100000028</v>
      </c>
      <c r="CK436" s="399"/>
      <c r="CL436" s="399"/>
      <c r="CM436" s="399"/>
      <c r="CN436" s="399"/>
      <c r="CO436" s="399">
        <v>-15768.326400000004</v>
      </c>
      <c r="CP436" s="399">
        <v>3532.4942999999989</v>
      </c>
      <c r="CQ436" s="399">
        <v>30</v>
      </c>
      <c r="CR436" s="399">
        <v>5138.4451202540076</v>
      </c>
      <c r="CS436" s="399">
        <v>0</v>
      </c>
      <c r="CT436" s="399">
        <v>0</v>
      </c>
      <c r="CU436" s="399">
        <v>0</v>
      </c>
      <c r="CV436" s="399">
        <v>0</v>
      </c>
      <c r="CW436" s="399">
        <v>0</v>
      </c>
      <c r="CX436" s="399">
        <v>0</v>
      </c>
      <c r="CY436" s="399">
        <v>0</v>
      </c>
      <c r="CZ436" s="399">
        <v>2782.3272700306479</v>
      </c>
      <c r="DA436" s="399">
        <v>0</v>
      </c>
      <c r="DB436" s="399">
        <v>0</v>
      </c>
      <c r="DC436" s="399">
        <v>3533.3333498544889</v>
      </c>
      <c r="DD436" s="399">
        <v>0</v>
      </c>
      <c r="DE436" s="399">
        <v>0</v>
      </c>
      <c r="DF436" s="399">
        <v>0</v>
      </c>
      <c r="DG436" s="399">
        <v>132.06745719930223</v>
      </c>
      <c r="DH436" s="399">
        <v>0</v>
      </c>
      <c r="DI436" s="399">
        <v>-1133.7344422465721</v>
      </c>
      <c r="DJ436" s="399"/>
      <c r="DK436" s="399">
        <v>0</v>
      </c>
      <c r="DL436" s="399">
        <v>0</v>
      </c>
      <c r="DM436" s="399">
        <v>0</v>
      </c>
      <c r="DN436" s="399">
        <v>0</v>
      </c>
      <c r="DO436" s="399">
        <v>-169.06226529936043</v>
      </c>
      <c r="DP436" s="399">
        <v>-6.4862492845080766</v>
      </c>
      <c r="DQ436" s="399">
        <v>0</v>
      </c>
      <c r="DR436" s="399">
        <v>0</v>
      </c>
      <c r="DS436" s="399"/>
      <c r="DT436" s="399"/>
      <c r="DU436" s="399"/>
      <c r="DV436" s="399">
        <v>80361.047218411361</v>
      </c>
      <c r="DW436" s="399">
        <v>0</v>
      </c>
      <c r="DX436" s="399">
        <v>0</v>
      </c>
      <c r="DY436" s="399">
        <v>-15768.32640000002</v>
      </c>
      <c r="DZ436" s="399">
        <v>3532.4942999999985</v>
      </c>
      <c r="EA436" s="399">
        <v>0</v>
      </c>
      <c r="EB436" s="399">
        <v>0</v>
      </c>
      <c r="EC436" s="399">
        <v>-17373.624814029921</v>
      </c>
      <c r="ED436" s="399">
        <v>0</v>
      </c>
      <c r="EE436" s="399">
        <v>0</v>
      </c>
      <c r="EF436" s="399">
        <v>0</v>
      </c>
      <c r="EG436" s="399">
        <v>0</v>
      </c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>
        <v>0</v>
      </c>
      <c r="EN436" s="399">
        <v>0</v>
      </c>
      <c r="EO436" s="399">
        <v>0</v>
      </c>
      <c r="EP436" s="399">
        <v>1574.0435292135098</v>
      </c>
      <c r="EQ436" s="399">
        <v>0</v>
      </c>
      <c r="ER436" s="399">
        <v>0</v>
      </c>
      <c r="ES436" s="399">
        <v>0</v>
      </c>
      <c r="ET436" s="399">
        <v>0</v>
      </c>
      <c r="EU436" s="399">
        <v>0</v>
      </c>
      <c r="EV436" s="399">
        <v>215</v>
      </c>
      <c r="EW436" s="399">
        <v>0</v>
      </c>
      <c r="EX436" s="399">
        <v>0</v>
      </c>
      <c r="EY436" s="399">
        <v>0</v>
      </c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441</v>
      </c>
      <c r="B437" s="399" t="s">
        <v>2346</v>
      </c>
      <c r="C437" s="399" t="s">
        <v>2352</v>
      </c>
      <c r="D437" s="399" t="s">
        <v>533</v>
      </c>
      <c r="E437" s="399" t="s">
        <v>890</v>
      </c>
      <c r="F437" s="399" t="s">
        <v>1239</v>
      </c>
      <c r="G437" s="399" t="s">
        <v>1239</v>
      </c>
      <c r="H437" s="399" t="s">
        <v>1239</v>
      </c>
      <c r="I437" s="399" t="s">
        <v>893</v>
      </c>
      <c r="J437" s="399" t="s">
        <v>2344</v>
      </c>
      <c r="K437" s="791">
        <v>44713</v>
      </c>
      <c r="L437" s="399">
        <v>0</v>
      </c>
      <c r="M437" s="399">
        <v>0</v>
      </c>
      <c r="N437" s="399">
        <v>1.1639999999999999</v>
      </c>
      <c r="O437" s="399">
        <v>1.1639999999999999</v>
      </c>
      <c r="P437" s="399">
        <v>1.1639999999999999</v>
      </c>
      <c r="Q437" s="399">
        <v>1.1639999999999999</v>
      </c>
      <c r="R437" s="399"/>
      <c r="S437" s="399">
        <v>984.21</v>
      </c>
      <c r="T437" s="399">
        <v>171.61</v>
      </c>
      <c r="U437" s="399"/>
      <c r="V437" s="399">
        <v>1345.3744799999999</v>
      </c>
      <c r="W437" s="399">
        <v>1345.3744799999999</v>
      </c>
      <c r="X437" s="399">
        <v>1254.6174000000001</v>
      </c>
      <c r="Y437" s="399">
        <v>0</v>
      </c>
      <c r="Z437" s="399">
        <v>61.223897869132387</v>
      </c>
      <c r="AA437" s="399">
        <v>0</v>
      </c>
      <c r="AB437" s="399">
        <v>0</v>
      </c>
      <c r="AC437" s="399">
        <v>0</v>
      </c>
      <c r="AD437" s="399">
        <v>458.2768865254219</v>
      </c>
      <c r="AE437" s="399">
        <v>596.0635886206004</v>
      </c>
      <c r="AF437" s="399">
        <v>192.49560104481372</v>
      </c>
      <c r="AG437" s="399">
        <v>7.2579554858840245</v>
      </c>
      <c r="AH437" s="399">
        <v>0</v>
      </c>
      <c r="AI437" s="399">
        <v>0</v>
      </c>
      <c r="AJ437" s="399">
        <v>0</v>
      </c>
      <c r="AK437" s="399">
        <v>0</v>
      </c>
      <c r="AL437" s="399">
        <v>10.881200944905856</v>
      </c>
      <c r="AM437" s="399"/>
      <c r="AN437" s="399">
        <v>0.30736639274593874</v>
      </c>
      <c r="AO437" s="399">
        <v>0</v>
      </c>
      <c r="AP437" s="399">
        <v>0</v>
      </c>
      <c r="AQ437" s="399">
        <v>0</v>
      </c>
      <c r="AR437" s="399">
        <v>0</v>
      </c>
      <c r="AS437" s="399">
        <v>0</v>
      </c>
      <c r="AT437" s="399">
        <v>0</v>
      </c>
      <c r="AU437" s="399">
        <v>0</v>
      </c>
      <c r="AV437" s="399">
        <v>0</v>
      </c>
      <c r="AW437" s="399">
        <v>0</v>
      </c>
      <c r="AX437" s="399">
        <v>0</v>
      </c>
      <c r="AY437" s="399">
        <v>0</v>
      </c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>
        <v>0</v>
      </c>
      <c r="BG437" s="399">
        <v>7.1950201225954196</v>
      </c>
      <c r="BH437" s="399">
        <v>0</v>
      </c>
      <c r="BI437" s="399">
        <v>0</v>
      </c>
      <c r="BJ437" s="399">
        <v>0</v>
      </c>
      <c r="BK437" s="399">
        <v>0</v>
      </c>
      <c r="BL437" s="399">
        <v>0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>
        <v>199.69062116740915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1250.306</v>
      </c>
      <c r="CJ437" s="399">
        <v>-95.098479999999881</v>
      </c>
      <c r="CK437" s="399"/>
      <c r="CL437" s="399"/>
      <c r="CM437" s="399"/>
      <c r="CN437" s="399"/>
      <c r="CO437" s="399">
        <v>-116.95872000000001</v>
      </c>
      <c r="CP437" s="399">
        <v>26.201639999999987</v>
      </c>
      <c r="CQ437" s="399">
        <v>30</v>
      </c>
      <c r="CR437" s="399">
        <v>38.113490855640407</v>
      </c>
      <c r="CS437" s="399">
        <v>0</v>
      </c>
      <c r="CT437" s="399">
        <v>0</v>
      </c>
      <c r="CU437" s="399">
        <v>0</v>
      </c>
      <c r="CV437" s="399">
        <v>0</v>
      </c>
      <c r="CW437" s="399">
        <v>0</v>
      </c>
      <c r="CX437" s="399">
        <v>0</v>
      </c>
      <c r="CY437" s="399">
        <v>0</v>
      </c>
      <c r="CZ437" s="399">
        <v>20.63741121720301</v>
      </c>
      <c r="DA437" s="399">
        <v>0</v>
      </c>
      <c r="DB437" s="399">
        <v>0</v>
      </c>
      <c r="DC437" s="399">
        <v>26.207863501119135</v>
      </c>
      <c r="DD437" s="399">
        <v>0</v>
      </c>
      <c r="DE437" s="399">
        <v>0</v>
      </c>
      <c r="DF437" s="399">
        <v>0</v>
      </c>
      <c r="DG437" s="399">
        <v>0.97958656840621749</v>
      </c>
      <c r="DH437" s="399">
        <v>0</v>
      </c>
      <c r="DI437" s="399">
        <v>-8.4092709537692656</v>
      </c>
      <c r="DJ437" s="399"/>
      <c r="DK437" s="399">
        <v>0</v>
      </c>
      <c r="DL437" s="399">
        <v>0</v>
      </c>
      <c r="DM437" s="399">
        <v>0</v>
      </c>
      <c r="DN437" s="399">
        <v>0</v>
      </c>
      <c r="DO437" s="399">
        <v>-1.2539888919164941</v>
      </c>
      <c r="DP437" s="399">
        <v>-4.8110585402200978E-2</v>
      </c>
      <c r="DQ437" s="399">
        <v>0</v>
      </c>
      <c r="DR437" s="399">
        <v>0</v>
      </c>
      <c r="DS437" s="399"/>
      <c r="DT437" s="399"/>
      <c r="DU437" s="399"/>
      <c r="DV437" s="399">
        <v>596.0635886206004</v>
      </c>
      <c r="DW437" s="399">
        <v>0</v>
      </c>
      <c r="DX437" s="399">
        <v>0</v>
      </c>
      <c r="DY437" s="399">
        <v>-116.95871999999986</v>
      </c>
      <c r="DZ437" s="399">
        <v>26.201639999999998</v>
      </c>
      <c r="EA437" s="399">
        <v>0</v>
      </c>
      <c r="EB437" s="399">
        <v>0</v>
      </c>
      <c r="EC437" s="399">
        <v>-128.86573175002127</v>
      </c>
      <c r="ED437" s="399">
        <v>0</v>
      </c>
      <c r="EE437" s="399">
        <v>0</v>
      </c>
      <c r="EF437" s="399">
        <v>0</v>
      </c>
      <c r="EG437" s="399">
        <v>0</v>
      </c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>
        <v>0</v>
      </c>
      <c r="EN437" s="399">
        <v>0</v>
      </c>
      <c r="EO437" s="399">
        <v>0</v>
      </c>
      <c r="EP437" s="399">
        <v>11.675184273271684</v>
      </c>
      <c r="EQ437" s="399">
        <v>0</v>
      </c>
      <c r="ER437" s="399">
        <v>0</v>
      </c>
      <c r="ES437" s="399">
        <v>0</v>
      </c>
      <c r="ET437" s="399">
        <v>0</v>
      </c>
      <c r="EU437" s="399">
        <v>0</v>
      </c>
      <c r="EV437" s="399">
        <v>215</v>
      </c>
      <c r="EW437" s="399">
        <v>0</v>
      </c>
      <c r="EX437" s="399">
        <v>0</v>
      </c>
      <c r="EY437" s="399">
        <v>0</v>
      </c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442</v>
      </c>
      <c r="B438" s="399" t="s">
        <v>956</v>
      </c>
      <c r="C438" s="399" t="s">
        <v>2352</v>
      </c>
      <c r="D438" s="399" t="s">
        <v>533</v>
      </c>
      <c r="E438" s="399" t="s">
        <v>890</v>
      </c>
      <c r="F438" s="399" t="s">
        <v>1239</v>
      </c>
      <c r="G438" s="399" t="s">
        <v>1239</v>
      </c>
      <c r="H438" s="399" t="s">
        <v>1239</v>
      </c>
      <c r="I438" s="399" t="s">
        <v>2326</v>
      </c>
      <c r="J438" s="399" t="s">
        <v>2344</v>
      </c>
      <c r="K438" s="791">
        <v>44713</v>
      </c>
      <c r="L438" s="399">
        <v>0</v>
      </c>
      <c r="M438" s="399">
        <v>0</v>
      </c>
      <c r="N438" s="399">
        <v>1942.432</v>
      </c>
      <c r="O438" s="399">
        <v>1942.432</v>
      </c>
      <c r="P438" s="399">
        <v>1942.432</v>
      </c>
      <c r="Q438" s="399">
        <v>1942.432</v>
      </c>
      <c r="R438" s="399"/>
      <c r="S438" s="399">
        <v>78.42</v>
      </c>
      <c r="T438" s="399">
        <v>171.61</v>
      </c>
      <c r="U438" s="399"/>
      <c r="V438" s="399">
        <v>485666.27295999997</v>
      </c>
      <c r="W438" s="399">
        <v>485666.27295999997</v>
      </c>
      <c r="X438" s="399">
        <v>514822.17728000006</v>
      </c>
      <c r="Y438" s="399">
        <v>0</v>
      </c>
      <c r="Z438" s="399">
        <v>102167.7477540675</v>
      </c>
      <c r="AA438" s="399">
        <v>0</v>
      </c>
      <c r="AB438" s="399">
        <v>0</v>
      </c>
      <c r="AC438" s="399">
        <v>0</v>
      </c>
      <c r="AD438" s="399">
        <v>0</v>
      </c>
      <c r="AE438" s="399">
        <v>0</v>
      </c>
      <c r="AF438" s="399">
        <v>321228.19186312682</v>
      </c>
      <c r="AG438" s="399">
        <v>12111.756864567593</v>
      </c>
      <c r="AH438" s="399">
        <v>0</v>
      </c>
      <c r="AI438" s="399">
        <v>0</v>
      </c>
      <c r="AJ438" s="399">
        <v>0</v>
      </c>
      <c r="AK438" s="399">
        <v>0</v>
      </c>
      <c r="AL438" s="399">
        <v>18158.069513587092</v>
      </c>
      <c r="AM438" s="399"/>
      <c r="AN438" s="399">
        <v>512.91951631810946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12006.733098602463</v>
      </c>
      <c r="BH438" s="399">
        <v>0</v>
      </c>
      <c r="BI438" s="399">
        <v>0</v>
      </c>
      <c r="BJ438" s="399">
        <v>0</v>
      </c>
      <c r="BK438" s="399">
        <v>0</v>
      </c>
      <c r="BL438" s="399">
        <v>0</v>
      </c>
      <c r="BM438" s="399"/>
      <c r="BN438" s="399"/>
      <c r="BO438" s="399"/>
      <c r="BP438" s="399"/>
      <c r="BQ438" s="399"/>
      <c r="BR438" s="399"/>
      <c r="BS438" s="399"/>
      <c r="BT438" s="399"/>
      <c r="BU438" s="399"/>
      <c r="BV438" s="399">
        <v>333234.92496172927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514821.64720000001</v>
      </c>
      <c r="CJ438" s="399">
        <v>29155.344240000006</v>
      </c>
      <c r="CK438" s="399"/>
      <c r="CL438" s="399"/>
      <c r="CM438" s="399"/>
      <c r="CN438" s="399"/>
      <c r="CO438" s="399">
        <v>-14568.24</v>
      </c>
      <c r="CP438" s="399">
        <v>43724.144319999985</v>
      </c>
      <c r="CQ438" s="399">
        <v>30</v>
      </c>
      <c r="CR438" s="399">
        <v>29163.312993341184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0</v>
      </c>
      <c r="DA438" s="399">
        <v>0</v>
      </c>
      <c r="DB438" s="399">
        <v>0</v>
      </c>
      <c r="DC438" s="399">
        <v>43734.529824919126</v>
      </c>
      <c r="DD438" s="399">
        <v>0</v>
      </c>
      <c r="DE438" s="399">
        <v>0</v>
      </c>
      <c r="DF438" s="399">
        <v>0</v>
      </c>
      <c r="DG438" s="399">
        <v>1634.6909770123948</v>
      </c>
      <c r="DH438" s="399">
        <v>0</v>
      </c>
      <c r="DI438" s="399">
        <v>-14033.021475319532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-2092.6015045559634</v>
      </c>
      <c r="DP438" s="399">
        <v>-80.284828714749267</v>
      </c>
      <c r="DQ438" s="399">
        <v>0</v>
      </c>
      <c r="DR438" s="399">
        <v>0</v>
      </c>
      <c r="DS438" s="399"/>
      <c r="DT438" s="399"/>
      <c r="DU438" s="399"/>
      <c r="DV438" s="399">
        <v>0</v>
      </c>
      <c r="DW438" s="399">
        <v>0</v>
      </c>
      <c r="DX438" s="399">
        <v>0</v>
      </c>
      <c r="DY438" s="399">
        <v>-14568.239999999991</v>
      </c>
      <c r="DZ438" s="399">
        <v>43724.144320000021</v>
      </c>
      <c r="EA438" s="399">
        <v>0</v>
      </c>
      <c r="EB438" s="399">
        <v>0</v>
      </c>
      <c r="EC438" s="399">
        <v>0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19483.033967611394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215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443</v>
      </c>
      <c r="B439" s="399" t="s">
        <v>2346</v>
      </c>
      <c r="C439" s="399" t="s">
        <v>2352</v>
      </c>
      <c r="D439" s="399" t="s">
        <v>533</v>
      </c>
      <c r="E439" s="399" t="s">
        <v>890</v>
      </c>
      <c r="F439" s="399" t="s">
        <v>1239</v>
      </c>
      <c r="G439" s="399" t="s">
        <v>1239</v>
      </c>
      <c r="H439" s="399" t="s">
        <v>1239</v>
      </c>
      <c r="I439" s="399" t="s">
        <v>2326</v>
      </c>
      <c r="J439" s="399" t="s">
        <v>2344</v>
      </c>
      <c r="K439" s="791">
        <v>44713</v>
      </c>
      <c r="L439" s="399">
        <v>0</v>
      </c>
      <c r="M439" s="399">
        <v>0</v>
      </c>
      <c r="N439" s="399">
        <v>4.2329999999999997</v>
      </c>
      <c r="O439" s="399">
        <v>4.2329999999999997</v>
      </c>
      <c r="P439" s="399">
        <v>4.2329999999999997</v>
      </c>
      <c r="Q439" s="399">
        <v>4.2329999999999997</v>
      </c>
      <c r="R439" s="399"/>
      <c r="S439" s="399">
        <v>78.42</v>
      </c>
      <c r="T439" s="399">
        <v>171.61</v>
      </c>
      <c r="U439" s="399"/>
      <c r="V439" s="399">
        <v>1058.37699</v>
      </c>
      <c r="W439" s="399">
        <v>1058.37699</v>
      </c>
      <c r="X439" s="399">
        <v>1121.9143199999999</v>
      </c>
      <c r="Y439" s="399">
        <v>0</v>
      </c>
      <c r="Z439" s="399">
        <v>222.64670075604585</v>
      </c>
      <c r="AA439" s="399">
        <v>0</v>
      </c>
      <c r="AB439" s="399">
        <v>0</v>
      </c>
      <c r="AC439" s="399">
        <v>0</v>
      </c>
      <c r="AD439" s="399">
        <v>0</v>
      </c>
      <c r="AE439" s="399">
        <v>0</v>
      </c>
      <c r="AF439" s="399">
        <v>700.02910586142309</v>
      </c>
      <c r="AG439" s="399">
        <v>26.394265955109173</v>
      </c>
      <c r="AH439" s="399">
        <v>0</v>
      </c>
      <c r="AI439" s="399">
        <v>0</v>
      </c>
      <c r="AJ439" s="399">
        <v>0</v>
      </c>
      <c r="AK439" s="399">
        <v>0</v>
      </c>
      <c r="AL439" s="399">
        <v>39.570552920778773</v>
      </c>
      <c r="AM439" s="399"/>
      <c r="AN439" s="399">
        <v>1.1177679901147413</v>
      </c>
      <c r="AO439" s="399">
        <v>0</v>
      </c>
      <c r="AP439" s="399">
        <v>0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26.165395342737465</v>
      </c>
      <c r="BH439" s="399">
        <v>0</v>
      </c>
      <c r="BI439" s="399">
        <v>0</v>
      </c>
      <c r="BJ439" s="399">
        <v>0</v>
      </c>
      <c r="BK439" s="399">
        <v>0</v>
      </c>
      <c r="BL439" s="399">
        <v>0</v>
      </c>
      <c r="BM439" s="399"/>
      <c r="BN439" s="399"/>
      <c r="BO439" s="399"/>
      <c r="BP439" s="399"/>
      <c r="BQ439" s="399"/>
      <c r="BR439" s="399"/>
      <c r="BS439" s="399"/>
      <c r="BT439" s="399"/>
      <c r="BU439" s="399"/>
      <c r="BV439" s="399">
        <v>726.19450120416059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1121.1192000000001</v>
      </c>
      <c r="CJ439" s="399">
        <v>62.712210000000141</v>
      </c>
      <c r="CK439" s="399"/>
      <c r="CL439" s="399"/>
      <c r="CM439" s="399"/>
      <c r="CN439" s="399"/>
      <c r="CO439" s="399">
        <v>-31.747499999999999</v>
      </c>
      <c r="CP439" s="399">
        <v>95.284829999999957</v>
      </c>
      <c r="CQ439" s="399">
        <v>30</v>
      </c>
      <c r="CR439" s="399">
        <v>63.553475179987345</v>
      </c>
      <c r="CS439" s="399">
        <v>0</v>
      </c>
      <c r="CT439" s="399">
        <v>0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0</v>
      </c>
      <c r="DA439" s="399">
        <v>0</v>
      </c>
      <c r="DB439" s="399">
        <v>0</v>
      </c>
      <c r="DC439" s="399">
        <v>95.307462371337806</v>
      </c>
      <c r="DD439" s="399">
        <v>0</v>
      </c>
      <c r="DE439" s="399">
        <v>0</v>
      </c>
      <c r="DF439" s="399">
        <v>0</v>
      </c>
      <c r="DG439" s="399">
        <v>3.5623624948999328</v>
      </c>
      <c r="DH439" s="399">
        <v>0</v>
      </c>
      <c r="DI439" s="399">
        <v>-30.581137411774279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-4.5602534187994195</v>
      </c>
      <c r="DP439" s="399">
        <v>-0.17495885567656089</v>
      </c>
      <c r="DQ439" s="399">
        <v>0</v>
      </c>
      <c r="DR439" s="399">
        <v>0</v>
      </c>
      <c r="DS439" s="399"/>
      <c r="DT439" s="399"/>
      <c r="DU439" s="399"/>
      <c r="DV439" s="399">
        <v>0</v>
      </c>
      <c r="DW439" s="399">
        <v>0</v>
      </c>
      <c r="DX439" s="399">
        <v>0</v>
      </c>
      <c r="DY439" s="399">
        <v>-31.747499999999945</v>
      </c>
      <c r="DZ439" s="399">
        <v>95.284829999999943</v>
      </c>
      <c r="EA439" s="399">
        <v>0</v>
      </c>
      <c r="EB439" s="399">
        <v>0</v>
      </c>
      <c r="EC439" s="399">
        <v>0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42.457951055634908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215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444</v>
      </c>
      <c r="B440" s="399" t="s">
        <v>956</v>
      </c>
      <c r="C440" s="399" t="s">
        <v>2352</v>
      </c>
      <c r="D440" s="399" t="s">
        <v>533</v>
      </c>
      <c r="E440" s="399" t="s">
        <v>890</v>
      </c>
      <c r="F440" s="399" t="s">
        <v>1239</v>
      </c>
      <c r="G440" s="399" t="s">
        <v>1239</v>
      </c>
      <c r="H440" s="399" t="s">
        <v>1239</v>
      </c>
      <c r="I440" s="399" t="s">
        <v>1239</v>
      </c>
      <c r="J440" s="399" t="s">
        <v>2344</v>
      </c>
      <c r="K440" s="791">
        <v>44713</v>
      </c>
      <c r="L440" s="399">
        <v>9986</v>
      </c>
      <c r="M440" s="399">
        <v>9986</v>
      </c>
      <c r="N440" s="399">
        <v>0</v>
      </c>
      <c r="O440" s="399">
        <v>0</v>
      </c>
      <c r="P440" s="399">
        <v>0</v>
      </c>
      <c r="Q440" s="399">
        <v>0</v>
      </c>
      <c r="R440" s="399">
        <v>12.58</v>
      </c>
      <c r="S440" s="399"/>
      <c r="T440" s="399"/>
      <c r="U440" s="399">
        <v>125623.88</v>
      </c>
      <c r="V440" s="399"/>
      <c r="W440" s="399">
        <v>125623.88</v>
      </c>
      <c r="X440" s="399">
        <v>115737.74</v>
      </c>
      <c r="Y440" s="399">
        <v>0</v>
      </c>
      <c r="Z440" s="399">
        <v>0</v>
      </c>
      <c r="AA440" s="399">
        <v>0</v>
      </c>
      <c r="AB440" s="399">
        <v>0</v>
      </c>
      <c r="AC440" s="399">
        <v>0</v>
      </c>
      <c r="AD440" s="399">
        <v>66181.610073000324</v>
      </c>
      <c r="AE440" s="399">
        <v>59413.794327726384</v>
      </c>
      <c r="AF440" s="399"/>
      <c r="AG440" s="399"/>
      <c r="AH440" s="399"/>
      <c r="AI440" s="399">
        <v>0</v>
      </c>
      <c r="AJ440" s="399">
        <v>0</v>
      </c>
      <c r="AK440" s="399">
        <v>0</v>
      </c>
      <c r="AL440" s="399">
        <v>0</v>
      </c>
      <c r="AM440" s="399"/>
      <c r="AN440" s="399">
        <v>0</v>
      </c>
      <c r="AO440" s="399">
        <v>0</v>
      </c>
      <c r="AP440" s="399">
        <v>0</v>
      </c>
      <c r="AQ440" s="399">
        <v>0</v>
      </c>
      <c r="AR440" s="399">
        <v>0</v>
      </c>
      <c r="AS440" s="399"/>
      <c r="AT440" s="399"/>
      <c r="AU440" s="399">
        <v>0</v>
      </c>
      <c r="AV440" s="399">
        <v>0</v>
      </c>
      <c r="AW440" s="399">
        <v>0</v>
      </c>
      <c r="AX440" s="399"/>
      <c r="AY440" s="399"/>
      <c r="AZ440" s="399">
        <v>0</v>
      </c>
      <c r="BA440" s="399"/>
      <c r="BB440" s="399">
        <v>0</v>
      </c>
      <c r="BC440" s="399">
        <v>0</v>
      </c>
      <c r="BD440" s="399">
        <v>0</v>
      </c>
      <c r="BE440" s="399">
        <v>0</v>
      </c>
      <c r="BF440" s="399"/>
      <c r="BG440" s="399">
        <v>0</v>
      </c>
      <c r="BH440" s="399">
        <v>0</v>
      </c>
      <c r="BI440" s="399">
        <v>0</v>
      </c>
      <c r="BJ440" s="399">
        <v>0</v>
      </c>
      <c r="BK440" s="399">
        <v>266270.98</v>
      </c>
      <c r="BL440" s="399">
        <v>52</v>
      </c>
      <c r="BM440" s="399"/>
      <c r="BN440" s="399"/>
      <c r="BO440" s="399"/>
      <c r="BP440" s="399"/>
      <c r="BQ440" s="399"/>
      <c r="BR440" s="399"/>
      <c r="BS440" s="399"/>
      <c r="BT440" s="399"/>
      <c r="BU440" s="399"/>
      <c r="BV440" s="399">
        <v>0</v>
      </c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>
        <v>115737.74</v>
      </c>
      <c r="CJ440" s="399">
        <v>-9886.1699999999837</v>
      </c>
      <c r="CK440" s="399"/>
      <c r="CL440" s="399"/>
      <c r="CM440" s="399"/>
      <c r="CN440" s="399"/>
      <c r="CO440" s="399">
        <v>-9886.1400000000012</v>
      </c>
      <c r="CP440" s="399">
        <v>0</v>
      </c>
      <c r="CQ440" s="399">
        <v>30</v>
      </c>
      <c r="CR440" s="399">
        <v>2980.3316341097379</v>
      </c>
      <c r="CS440" s="399">
        <v>0</v>
      </c>
      <c r="CT440" s="399">
        <v>0</v>
      </c>
      <c r="CU440" s="399">
        <v>0</v>
      </c>
      <c r="CV440" s="399">
        <v>0</v>
      </c>
      <c r="CW440" s="399"/>
      <c r="CX440" s="399"/>
      <c r="CY440" s="399"/>
      <c r="CZ440" s="399">
        <v>2980.3316341097379</v>
      </c>
      <c r="DA440" s="399">
        <v>0</v>
      </c>
      <c r="DB440" s="399">
        <v>0</v>
      </c>
      <c r="DC440" s="399"/>
      <c r="DD440" s="399"/>
      <c r="DE440" s="399">
        <v>0</v>
      </c>
      <c r="DF440" s="399">
        <v>0</v>
      </c>
      <c r="DG440" s="399">
        <v>0</v>
      </c>
      <c r="DH440" s="399">
        <v>0</v>
      </c>
      <c r="DI440" s="399">
        <v>0</v>
      </c>
      <c r="DJ440" s="399"/>
      <c r="DK440" s="399">
        <v>0</v>
      </c>
      <c r="DL440" s="399">
        <v>0</v>
      </c>
      <c r="DM440" s="399"/>
      <c r="DN440" s="399">
        <v>0</v>
      </c>
      <c r="DO440" s="399">
        <v>0</v>
      </c>
      <c r="DP440" s="399">
        <v>0</v>
      </c>
      <c r="DQ440" s="399">
        <v>0</v>
      </c>
      <c r="DR440" s="399">
        <v>0</v>
      </c>
      <c r="DS440" s="399"/>
      <c r="DT440" s="399"/>
      <c r="DU440" s="399">
        <v>59413.794327726384</v>
      </c>
      <c r="DV440" s="399"/>
      <c r="DW440" s="399">
        <v>0</v>
      </c>
      <c r="DX440" s="399">
        <v>0</v>
      </c>
      <c r="DY440" s="399">
        <v>-9886.14</v>
      </c>
      <c r="DZ440" s="399"/>
      <c r="EA440" s="399">
        <v>0</v>
      </c>
      <c r="EB440" s="399"/>
      <c r="EC440" s="399">
        <v>-12844.941761676862</v>
      </c>
      <c r="ED440" s="399"/>
      <c r="EE440" s="399">
        <v>0</v>
      </c>
      <c r="EF440" s="399">
        <v>0</v>
      </c>
      <c r="EG440" s="399"/>
      <c r="EH440" s="399">
        <v>0</v>
      </c>
      <c r="EI440" s="399">
        <v>0</v>
      </c>
      <c r="EJ440" s="399">
        <v>0</v>
      </c>
      <c r="EK440" s="399">
        <v>0</v>
      </c>
      <c r="EL440" s="399">
        <v>0</v>
      </c>
      <c r="EM440" s="399"/>
      <c r="EN440" s="399"/>
      <c r="EO440" s="399">
        <v>0</v>
      </c>
      <c r="EP440" s="399">
        <v>0</v>
      </c>
      <c r="EQ440" s="399"/>
      <c r="ER440" s="399">
        <v>0</v>
      </c>
      <c r="ES440" s="399"/>
      <c r="ET440" s="399">
        <v>0</v>
      </c>
      <c r="EU440" s="399"/>
      <c r="EV440" s="399">
        <v>215</v>
      </c>
      <c r="EW440" s="399"/>
      <c r="EX440" s="399"/>
      <c r="EY440" s="399"/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445</v>
      </c>
      <c r="B441" s="399" t="s">
        <v>2346</v>
      </c>
      <c r="C441" s="399" t="s">
        <v>2352</v>
      </c>
      <c r="D441" s="399" t="s">
        <v>533</v>
      </c>
      <c r="E441" s="399" t="s">
        <v>890</v>
      </c>
      <c r="F441" s="399" t="s">
        <v>1239</v>
      </c>
      <c r="G441" s="399" t="s">
        <v>1239</v>
      </c>
      <c r="H441" s="399" t="s">
        <v>1239</v>
      </c>
      <c r="I441" s="399" t="s">
        <v>1239</v>
      </c>
      <c r="J441" s="399" t="s">
        <v>2344</v>
      </c>
      <c r="K441" s="791">
        <v>44713</v>
      </c>
      <c r="L441" s="399">
        <v>821</v>
      </c>
      <c r="M441" s="399">
        <v>821</v>
      </c>
      <c r="N441" s="399">
        <v>0</v>
      </c>
      <c r="O441" s="399">
        <v>0</v>
      </c>
      <c r="P441" s="399">
        <v>0</v>
      </c>
      <c r="Q441" s="399">
        <v>0</v>
      </c>
      <c r="R441" s="399">
        <v>12.58</v>
      </c>
      <c r="S441" s="399"/>
      <c r="T441" s="399"/>
      <c r="U441" s="399">
        <v>10328.18</v>
      </c>
      <c r="V441" s="399"/>
      <c r="W441" s="399">
        <v>10328.18</v>
      </c>
      <c r="X441" s="399">
        <v>9515.39</v>
      </c>
      <c r="Y441" s="399">
        <v>0</v>
      </c>
      <c r="Z441" s="399">
        <v>0</v>
      </c>
      <c r="AA441" s="399">
        <v>0</v>
      </c>
      <c r="AB441" s="399">
        <v>0</v>
      </c>
      <c r="AC441" s="399">
        <v>0</v>
      </c>
      <c r="AD441" s="399">
        <v>5441.1277658655381</v>
      </c>
      <c r="AE441" s="399">
        <v>4884.7111098601408</v>
      </c>
      <c r="AF441" s="399"/>
      <c r="AG441" s="399"/>
      <c r="AH441" s="399"/>
      <c r="AI441" s="399">
        <v>0</v>
      </c>
      <c r="AJ441" s="399">
        <v>0</v>
      </c>
      <c r="AK441" s="399">
        <v>0</v>
      </c>
      <c r="AL441" s="399">
        <v>0</v>
      </c>
      <c r="AM441" s="399"/>
      <c r="AN441" s="399">
        <v>0</v>
      </c>
      <c r="AO441" s="399">
        <v>0</v>
      </c>
      <c r="AP441" s="399">
        <v>0</v>
      </c>
      <c r="AQ441" s="399">
        <v>0</v>
      </c>
      <c r="AR441" s="399">
        <v>0</v>
      </c>
      <c r="AS441" s="399"/>
      <c r="AT441" s="399"/>
      <c r="AU441" s="399">
        <v>0</v>
      </c>
      <c r="AV441" s="399">
        <v>0</v>
      </c>
      <c r="AW441" s="399">
        <v>0</v>
      </c>
      <c r="AX441" s="399"/>
      <c r="AY441" s="399"/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/>
      <c r="BG441" s="399">
        <v>0</v>
      </c>
      <c r="BH441" s="399">
        <v>0</v>
      </c>
      <c r="BI441" s="399">
        <v>0</v>
      </c>
      <c r="BJ441" s="399">
        <v>0</v>
      </c>
      <c r="BK441" s="399">
        <v>6291.6</v>
      </c>
      <c r="BL441" s="399">
        <v>3</v>
      </c>
      <c r="BM441" s="399"/>
      <c r="BN441" s="399"/>
      <c r="BO441" s="399"/>
      <c r="BP441" s="399"/>
      <c r="BQ441" s="399"/>
      <c r="BR441" s="399"/>
      <c r="BS441" s="399"/>
      <c r="BT441" s="399"/>
      <c r="BU441" s="399"/>
      <c r="BV441" s="399">
        <v>0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9515.39</v>
      </c>
      <c r="CJ441" s="399">
        <v>-812.82000000000153</v>
      </c>
      <c r="CK441" s="399"/>
      <c r="CL441" s="399"/>
      <c r="CM441" s="399"/>
      <c r="CN441" s="399"/>
      <c r="CO441" s="399">
        <v>-812.79000000000019</v>
      </c>
      <c r="CP441" s="399">
        <v>0</v>
      </c>
      <c r="CQ441" s="399">
        <v>30</v>
      </c>
      <c r="CR441" s="399">
        <v>245.02826673383697</v>
      </c>
      <c r="CS441" s="399">
        <v>0</v>
      </c>
      <c r="CT441" s="399">
        <v>0</v>
      </c>
      <c r="CU441" s="399">
        <v>0</v>
      </c>
      <c r="CV441" s="399">
        <v>0</v>
      </c>
      <c r="CW441" s="399"/>
      <c r="CX441" s="399"/>
      <c r="CY441" s="399"/>
      <c r="CZ441" s="399">
        <v>245.02826673383697</v>
      </c>
      <c r="DA441" s="399">
        <v>0</v>
      </c>
      <c r="DB441" s="399">
        <v>0</v>
      </c>
      <c r="DC441" s="399"/>
      <c r="DD441" s="399"/>
      <c r="DE441" s="399">
        <v>0</v>
      </c>
      <c r="DF441" s="399">
        <v>0</v>
      </c>
      <c r="DG441" s="399">
        <v>0</v>
      </c>
      <c r="DH441" s="399">
        <v>0</v>
      </c>
      <c r="DI441" s="399">
        <v>0</v>
      </c>
      <c r="DJ441" s="399"/>
      <c r="DK441" s="399">
        <v>0</v>
      </c>
      <c r="DL441" s="399">
        <v>0</v>
      </c>
      <c r="DM441" s="399"/>
      <c r="DN441" s="399">
        <v>0</v>
      </c>
      <c r="DO441" s="399">
        <v>0</v>
      </c>
      <c r="DP441" s="399">
        <v>0</v>
      </c>
      <c r="DQ441" s="399">
        <v>0</v>
      </c>
      <c r="DR441" s="399">
        <v>0</v>
      </c>
      <c r="DS441" s="399"/>
      <c r="DT441" s="399"/>
      <c r="DU441" s="399">
        <v>4884.7111098601408</v>
      </c>
      <c r="DV441" s="399"/>
      <c r="DW441" s="399">
        <v>0</v>
      </c>
      <c r="DX441" s="399">
        <v>0</v>
      </c>
      <c r="DY441" s="399">
        <v>-812.79000000000087</v>
      </c>
      <c r="DZ441" s="399"/>
      <c r="EA441" s="399">
        <v>0</v>
      </c>
      <c r="EB441" s="399"/>
      <c r="EC441" s="399">
        <v>-1056.0481860942032</v>
      </c>
      <c r="ED441" s="399"/>
      <c r="EE441" s="399">
        <v>0</v>
      </c>
      <c r="EF441" s="399">
        <v>0</v>
      </c>
      <c r="EG441" s="399"/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/>
      <c r="EN441" s="399"/>
      <c r="EO441" s="399">
        <v>0</v>
      </c>
      <c r="EP441" s="399">
        <v>0</v>
      </c>
      <c r="EQ441" s="399"/>
      <c r="ER441" s="399">
        <v>0</v>
      </c>
      <c r="ES441" s="399"/>
      <c r="ET441" s="399">
        <v>0</v>
      </c>
      <c r="EU441" s="399"/>
      <c r="EV441" s="399">
        <v>215</v>
      </c>
      <c r="EW441" s="399"/>
      <c r="EX441" s="399"/>
      <c r="EY441" s="399"/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446</v>
      </c>
      <c r="B442" s="399" t="s">
        <v>956</v>
      </c>
      <c r="C442" s="399" t="s">
        <v>2343</v>
      </c>
      <c r="D442" s="399" t="s">
        <v>1826</v>
      </c>
      <c r="E442" s="399" t="s">
        <v>918</v>
      </c>
      <c r="F442" s="399" t="s">
        <v>1239</v>
      </c>
      <c r="G442" s="399" t="s">
        <v>1239</v>
      </c>
      <c r="H442" s="399" t="s">
        <v>1239</v>
      </c>
      <c r="I442" s="399" t="s">
        <v>1239</v>
      </c>
      <c r="J442" s="399" t="s">
        <v>2344</v>
      </c>
      <c r="K442" s="791">
        <v>44713</v>
      </c>
      <c r="L442" s="399">
        <v>0</v>
      </c>
      <c r="M442" s="399">
        <v>0</v>
      </c>
      <c r="N442" s="399">
        <v>503.46300000000002</v>
      </c>
      <c r="O442" s="399">
        <v>503.46300000000002</v>
      </c>
      <c r="P442" s="399">
        <v>503.46300000000002</v>
      </c>
      <c r="Q442" s="399">
        <v>503.46300000000002</v>
      </c>
      <c r="R442" s="399"/>
      <c r="S442" s="399">
        <v>239.69</v>
      </c>
      <c r="T442" s="399">
        <v>171.61</v>
      </c>
      <c r="U442" s="399"/>
      <c r="V442" s="399">
        <v>207074.33189999999</v>
      </c>
      <c r="W442" s="399">
        <v>207074.33189999999</v>
      </c>
      <c r="X442" s="399">
        <v>206314.10277</v>
      </c>
      <c r="Y442" s="399">
        <v>0</v>
      </c>
      <c r="Z442" s="399">
        <v>30438.013284440305</v>
      </c>
      <c r="AA442" s="399">
        <v>0</v>
      </c>
      <c r="AB442" s="399">
        <v>0</v>
      </c>
      <c r="AC442" s="399">
        <v>0</v>
      </c>
      <c r="AD442" s="399">
        <v>26852.699057978258</v>
      </c>
      <c r="AE442" s="399">
        <v>44614.235920953477</v>
      </c>
      <c r="AF442" s="399">
        <v>83259.804801396094</v>
      </c>
      <c r="AG442" s="399">
        <v>3139.2715144240801</v>
      </c>
      <c r="AH442" s="399">
        <v>0</v>
      </c>
      <c r="AI442" s="399">
        <v>0</v>
      </c>
      <c r="AJ442" s="399">
        <v>0</v>
      </c>
      <c r="AK442" s="399">
        <v>0</v>
      </c>
      <c r="AL442" s="399">
        <v>4706.4278963274382</v>
      </c>
      <c r="AM442" s="399"/>
      <c r="AN442" s="399">
        <v>199.39735006046851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8060.398789777094</v>
      </c>
      <c r="BH442" s="399">
        <v>0</v>
      </c>
      <c r="BI442" s="399">
        <v>0</v>
      </c>
      <c r="BJ442" s="399">
        <v>0</v>
      </c>
      <c r="BK442" s="399">
        <v>68675.3</v>
      </c>
      <c r="BL442" s="399">
        <v>570</v>
      </c>
      <c r="BM442" s="399"/>
      <c r="BN442" s="399"/>
      <c r="BO442" s="399"/>
      <c r="BP442" s="399"/>
      <c r="BQ442" s="399"/>
      <c r="BR442" s="399"/>
      <c r="BS442" s="399"/>
      <c r="BT442" s="399"/>
      <c r="BU442" s="399"/>
      <c r="BV442" s="399">
        <v>91320.203591173195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206312.87339999998</v>
      </c>
      <c r="CJ442" s="399">
        <v>-761.48850000003586</v>
      </c>
      <c r="CK442" s="399"/>
      <c r="CL442" s="399"/>
      <c r="CM442" s="399"/>
      <c r="CN442" s="399"/>
      <c r="CO442" s="399">
        <v>-12093.181260000005</v>
      </c>
      <c r="CP442" s="399">
        <v>11332.952129999996</v>
      </c>
      <c r="CQ442" s="399">
        <v>30</v>
      </c>
      <c r="CR442" s="399">
        <v>8887.9561260583578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1209.2475292675263</v>
      </c>
      <c r="DA442" s="399">
        <v>0</v>
      </c>
      <c r="DB442" s="399">
        <v>0</v>
      </c>
      <c r="DC442" s="399">
        <v>11335.643970673496</v>
      </c>
      <c r="DD442" s="399">
        <v>0</v>
      </c>
      <c r="DE442" s="399">
        <v>0</v>
      </c>
      <c r="DF442" s="399">
        <v>0</v>
      </c>
      <c r="DG442" s="399">
        <v>1097.4060191530507</v>
      </c>
      <c r="DH442" s="399">
        <v>0</v>
      </c>
      <c r="DI442" s="399">
        <v>-4180.7449364039712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-542.38574698535649</v>
      </c>
      <c r="DP442" s="399">
        <v>-31.210709646405888</v>
      </c>
      <c r="DQ442" s="399">
        <v>0</v>
      </c>
      <c r="DR442" s="399">
        <v>0</v>
      </c>
      <c r="DS442" s="399"/>
      <c r="DT442" s="399"/>
      <c r="DU442" s="399"/>
      <c r="DV442" s="399">
        <v>44614.235920953477</v>
      </c>
      <c r="DW442" s="399">
        <v>0</v>
      </c>
      <c r="DX442" s="399">
        <v>0</v>
      </c>
      <c r="DY442" s="399">
        <v>-12093.181259999998</v>
      </c>
      <c r="DZ442" s="399">
        <v>11332.952130000005</v>
      </c>
      <c r="EA442" s="399">
        <v>0</v>
      </c>
      <c r="EB442" s="399">
        <v>0</v>
      </c>
      <c r="EC442" s="399">
        <v>-9645.357086358119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5804.4232134279337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215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447</v>
      </c>
      <c r="B443" s="399" t="s">
        <v>2345</v>
      </c>
      <c r="C443" s="399" t="s">
        <v>2343</v>
      </c>
      <c r="D443" s="399" t="s">
        <v>1826</v>
      </c>
      <c r="E443" s="399" t="s">
        <v>918</v>
      </c>
      <c r="F443" s="399" t="s">
        <v>1239</v>
      </c>
      <c r="G443" s="399" t="s">
        <v>1239</v>
      </c>
      <c r="H443" s="399" t="s">
        <v>1239</v>
      </c>
      <c r="I443" s="399" t="s">
        <v>1239</v>
      </c>
      <c r="J443" s="399" t="s">
        <v>2344</v>
      </c>
      <c r="K443" s="791">
        <v>44713</v>
      </c>
      <c r="L443" s="399">
        <v>0</v>
      </c>
      <c r="M443" s="399">
        <v>0</v>
      </c>
      <c r="N443" s="399">
        <v>-0.75900000000000001</v>
      </c>
      <c r="O443" s="399">
        <v>-0.75900000000000001</v>
      </c>
      <c r="P443" s="399">
        <v>-0.75900000000000001</v>
      </c>
      <c r="Q443" s="399">
        <v>-0.75900000000000001</v>
      </c>
      <c r="R443" s="399"/>
      <c r="S443" s="399">
        <v>239.69</v>
      </c>
      <c r="T443" s="399">
        <v>171.61</v>
      </c>
      <c r="U443" s="399"/>
      <c r="V443" s="399">
        <v>-312.17669999999998</v>
      </c>
      <c r="W443" s="399">
        <v>-312.17669999999998</v>
      </c>
      <c r="X443" s="399">
        <v>-311.03061000000002</v>
      </c>
      <c r="Y443" s="399">
        <v>0</v>
      </c>
      <c r="Z443" s="399">
        <v>-45.887090179199248</v>
      </c>
      <c r="AA443" s="399">
        <v>0</v>
      </c>
      <c r="AB443" s="399">
        <v>0</v>
      </c>
      <c r="AC443" s="399">
        <v>0</v>
      </c>
      <c r="AD443" s="399">
        <v>-40.482018708436364</v>
      </c>
      <c r="AE443" s="399">
        <v>-67.25857722216665</v>
      </c>
      <c r="AF443" s="399">
        <v>-125.51903882561308</v>
      </c>
      <c r="AG443" s="399">
        <v>-4.7326359224965424</v>
      </c>
      <c r="AH443" s="399">
        <v>0</v>
      </c>
      <c r="AI443" s="399">
        <v>0</v>
      </c>
      <c r="AJ443" s="399">
        <v>0</v>
      </c>
      <c r="AK443" s="399">
        <v>0</v>
      </c>
      <c r="AL443" s="399">
        <v>-7.0952160800545929</v>
      </c>
      <c r="AM443" s="399"/>
      <c r="AN443" s="399">
        <v>-0.3006031996311459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-12.151523908292791</v>
      </c>
      <c r="BH443" s="399">
        <v>0</v>
      </c>
      <c r="BI443" s="399">
        <v>0</v>
      </c>
      <c r="BJ443" s="399">
        <v>0</v>
      </c>
      <c r="BK443" s="399">
        <v>-103.69</v>
      </c>
      <c r="BL443" s="399">
        <v>0</v>
      </c>
      <c r="BM443" s="399"/>
      <c r="BN443" s="399"/>
      <c r="BO443" s="399"/>
      <c r="BP443" s="399"/>
      <c r="BQ443" s="399"/>
      <c r="BR443" s="399"/>
      <c r="BS443" s="399"/>
      <c r="BT443" s="399"/>
      <c r="BU443" s="399"/>
      <c r="BV443" s="399">
        <v>-137.67056273390588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-311.44040000000001</v>
      </c>
      <c r="CJ443" s="399">
        <v>0.70629999999999882</v>
      </c>
      <c r="CK443" s="399"/>
      <c r="CL443" s="399"/>
      <c r="CM443" s="399"/>
      <c r="CN443" s="399"/>
      <c r="CO443" s="399">
        <v>18.231180000000009</v>
      </c>
      <c r="CP443" s="399">
        <v>-17.085089999999994</v>
      </c>
      <c r="CQ443" s="399">
        <v>30</v>
      </c>
      <c r="CR443" s="399">
        <v>-13.399115127980167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-1.8230115712853774</v>
      </c>
      <c r="DA443" s="399">
        <v>0</v>
      </c>
      <c r="DB443" s="399">
        <v>0</v>
      </c>
      <c r="DC443" s="399">
        <v>-17.089148107688516</v>
      </c>
      <c r="DD443" s="399">
        <v>0</v>
      </c>
      <c r="DE443" s="399">
        <v>0</v>
      </c>
      <c r="DF443" s="399">
        <v>0</v>
      </c>
      <c r="DG443" s="399">
        <v>-1.6544039354176299</v>
      </c>
      <c r="DH443" s="399">
        <v>0</v>
      </c>
      <c r="DI443" s="399">
        <v>6.3027181872960156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0.81767832385276673</v>
      </c>
      <c r="DP443" s="399">
        <v>4.7051975262575596E-2</v>
      </c>
      <c r="DQ443" s="399">
        <v>0</v>
      </c>
      <c r="DR443" s="399">
        <v>0</v>
      </c>
      <c r="DS443" s="399"/>
      <c r="DT443" s="399"/>
      <c r="DU443" s="399"/>
      <c r="DV443" s="399">
        <v>-67.25857722216665</v>
      </c>
      <c r="DW443" s="399">
        <v>0</v>
      </c>
      <c r="DX443" s="399">
        <v>0</v>
      </c>
      <c r="DY443" s="399">
        <v>18.231180000000023</v>
      </c>
      <c r="DZ443" s="399">
        <v>-17.085090000000008</v>
      </c>
      <c r="EA443" s="399">
        <v>0</v>
      </c>
      <c r="EB443" s="399">
        <v>0</v>
      </c>
      <c r="EC443" s="399">
        <v>14.540941496288333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-8.7505084166896108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215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448</v>
      </c>
      <c r="B444" s="399" t="s">
        <v>2346</v>
      </c>
      <c r="C444" s="399" t="s">
        <v>2343</v>
      </c>
      <c r="D444" s="399" t="s">
        <v>1826</v>
      </c>
      <c r="E444" s="399" t="s">
        <v>918</v>
      </c>
      <c r="F444" s="399" t="s">
        <v>1239</v>
      </c>
      <c r="G444" s="399" t="s">
        <v>1239</v>
      </c>
      <c r="H444" s="399" t="s">
        <v>1239</v>
      </c>
      <c r="I444" s="399" t="s">
        <v>1239</v>
      </c>
      <c r="J444" s="399" t="s">
        <v>2344</v>
      </c>
      <c r="K444" s="791">
        <v>44713</v>
      </c>
      <c r="L444" s="399">
        <v>0</v>
      </c>
      <c r="M444" s="399">
        <v>0</v>
      </c>
      <c r="N444" s="399">
        <v>8.6419999999999995</v>
      </c>
      <c r="O444" s="399">
        <v>8.6419999999999995</v>
      </c>
      <c r="P444" s="399">
        <v>8.6419999999999995</v>
      </c>
      <c r="Q444" s="399">
        <v>8.6419999999999995</v>
      </c>
      <c r="R444" s="399"/>
      <c r="S444" s="399">
        <v>239.69</v>
      </c>
      <c r="T444" s="399">
        <v>171.61</v>
      </c>
      <c r="U444" s="399"/>
      <c r="V444" s="399">
        <v>3554.4546</v>
      </c>
      <c r="W444" s="399">
        <v>3554.4546</v>
      </c>
      <c r="X444" s="399">
        <v>3541.4051799999997</v>
      </c>
      <c r="Y444" s="399">
        <v>0</v>
      </c>
      <c r="Z444" s="399">
        <v>522.47198067014472</v>
      </c>
      <c r="AA444" s="399">
        <v>0</v>
      </c>
      <c r="AB444" s="399">
        <v>0</v>
      </c>
      <c r="AC444" s="399">
        <v>0</v>
      </c>
      <c r="AD444" s="399">
        <v>460.92965175007515</v>
      </c>
      <c r="AE444" s="399">
        <v>765.80846423447178</v>
      </c>
      <c r="AF444" s="399">
        <v>1429.1640757983507</v>
      </c>
      <c r="AG444" s="399">
        <v>53.885954732826235</v>
      </c>
      <c r="AH444" s="399">
        <v>0</v>
      </c>
      <c r="AI444" s="399">
        <v>0</v>
      </c>
      <c r="AJ444" s="399">
        <v>0</v>
      </c>
      <c r="AK444" s="399">
        <v>0</v>
      </c>
      <c r="AL444" s="399">
        <v>80.786373338381807</v>
      </c>
      <c r="AM444" s="399"/>
      <c r="AN444" s="399">
        <v>3.4226783283430335</v>
      </c>
      <c r="AO444" s="399">
        <v>0</v>
      </c>
      <c r="AP444" s="399">
        <v>0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138.3576674775577</v>
      </c>
      <c r="BH444" s="399">
        <v>0</v>
      </c>
      <c r="BI444" s="399">
        <v>0</v>
      </c>
      <c r="BJ444" s="399">
        <v>0</v>
      </c>
      <c r="BK444" s="399">
        <v>1893.24</v>
      </c>
      <c r="BL444" s="399">
        <v>9</v>
      </c>
      <c r="BM444" s="399"/>
      <c r="BN444" s="399"/>
      <c r="BO444" s="399"/>
      <c r="BP444" s="399"/>
      <c r="BQ444" s="399"/>
      <c r="BR444" s="399"/>
      <c r="BS444" s="399"/>
      <c r="BT444" s="399"/>
      <c r="BU444" s="399"/>
      <c r="BV444" s="399">
        <v>1567.5217432759084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3540.5856000000003</v>
      </c>
      <c r="CJ444" s="399">
        <v>-13.899000000000342</v>
      </c>
      <c r="CK444" s="399"/>
      <c r="CL444" s="399"/>
      <c r="CM444" s="399"/>
      <c r="CN444" s="399"/>
      <c r="CO444" s="399">
        <v>-207.58084000000008</v>
      </c>
      <c r="CP444" s="399">
        <v>194.53141999999991</v>
      </c>
      <c r="CQ444" s="399">
        <v>30</v>
      </c>
      <c r="CR444" s="399">
        <v>152.56278384190318</v>
      </c>
      <c r="CS444" s="399">
        <v>0</v>
      </c>
      <c r="CT444" s="399">
        <v>0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20.756872199009536</v>
      </c>
      <c r="DA444" s="399">
        <v>0</v>
      </c>
      <c r="DB444" s="399">
        <v>0</v>
      </c>
      <c r="DC444" s="399">
        <v>194.57762575315405</v>
      </c>
      <c r="DD444" s="399">
        <v>0</v>
      </c>
      <c r="DE444" s="399">
        <v>0</v>
      </c>
      <c r="DF444" s="399">
        <v>0</v>
      </c>
      <c r="DG444" s="399">
        <v>18.837099881263697</v>
      </c>
      <c r="DH444" s="399">
        <v>0</v>
      </c>
      <c r="DI444" s="399">
        <v>-71.762965183942242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-9.3101134054487602</v>
      </c>
      <c r="DP444" s="399">
        <v>-0.53573540213330428</v>
      </c>
      <c r="DQ444" s="399">
        <v>0</v>
      </c>
      <c r="DR444" s="399">
        <v>0</v>
      </c>
      <c r="DS444" s="399"/>
      <c r="DT444" s="399"/>
      <c r="DU444" s="399"/>
      <c r="DV444" s="399">
        <v>765.80846423447178</v>
      </c>
      <c r="DW444" s="399">
        <v>0</v>
      </c>
      <c r="DX444" s="399">
        <v>0</v>
      </c>
      <c r="DY444" s="399">
        <v>-207.58084000000008</v>
      </c>
      <c r="DZ444" s="399">
        <v>194.5314199999998</v>
      </c>
      <c r="EA444" s="399">
        <v>0</v>
      </c>
      <c r="EB444" s="399">
        <v>0</v>
      </c>
      <c r="EC444" s="399">
        <v>-165.56365798540673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99.633588586339414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215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449</v>
      </c>
      <c r="B445" s="399" t="s">
        <v>956</v>
      </c>
      <c r="C445" s="399" t="s">
        <v>2352</v>
      </c>
      <c r="D445" s="399" t="s">
        <v>533</v>
      </c>
      <c r="E445" s="399" t="s">
        <v>918</v>
      </c>
      <c r="F445" s="399" t="s">
        <v>1239</v>
      </c>
      <c r="G445" s="399" t="s">
        <v>1239</v>
      </c>
      <c r="H445" s="399" t="s">
        <v>1239</v>
      </c>
      <c r="I445" s="399" t="s">
        <v>893</v>
      </c>
      <c r="J445" s="399" t="s">
        <v>2344</v>
      </c>
      <c r="K445" s="791">
        <v>44713</v>
      </c>
      <c r="L445" s="399">
        <v>0</v>
      </c>
      <c r="M445" s="399">
        <v>0</v>
      </c>
      <c r="N445" s="399">
        <v>9.0690000000000008</v>
      </c>
      <c r="O445" s="399">
        <v>9.0690000000000008</v>
      </c>
      <c r="P445" s="399">
        <v>9.0690000000000008</v>
      </c>
      <c r="Q445" s="399">
        <v>9.0690000000000008</v>
      </c>
      <c r="R445" s="399"/>
      <c r="S445" s="399">
        <v>984.21</v>
      </c>
      <c r="T445" s="399">
        <v>171.61</v>
      </c>
      <c r="U445" s="399"/>
      <c r="V445" s="399">
        <v>10482.131580000001</v>
      </c>
      <c r="W445" s="399">
        <v>10482.131580000001</v>
      </c>
      <c r="X445" s="399">
        <v>9775.0216500000006</v>
      </c>
      <c r="Y445" s="399">
        <v>0</v>
      </c>
      <c r="Z445" s="399">
        <v>477.00990530512172</v>
      </c>
      <c r="AA445" s="399">
        <v>0</v>
      </c>
      <c r="AB445" s="399">
        <v>0</v>
      </c>
      <c r="AC445" s="399">
        <v>0</v>
      </c>
      <c r="AD445" s="399">
        <v>3570.5438865112128</v>
      </c>
      <c r="AE445" s="399">
        <v>4644.0727536084414</v>
      </c>
      <c r="AF445" s="399">
        <v>1499.7788710269895</v>
      </c>
      <c r="AG445" s="399">
        <v>56.548452149039719</v>
      </c>
      <c r="AH445" s="399">
        <v>0</v>
      </c>
      <c r="AI445" s="399">
        <v>0</v>
      </c>
      <c r="AJ445" s="399">
        <v>0</v>
      </c>
      <c r="AK445" s="399">
        <v>0</v>
      </c>
      <c r="AL445" s="399">
        <v>84.778016640336105</v>
      </c>
      <c r="AM445" s="399"/>
      <c r="AN445" s="399">
        <v>2.3947644465746727</v>
      </c>
      <c r="AO445" s="399">
        <v>0</v>
      </c>
      <c r="AP445" s="399">
        <v>0</v>
      </c>
      <c r="AQ445" s="399">
        <v>0</v>
      </c>
      <c r="AR445" s="399">
        <v>0</v>
      </c>
      <c r="AS445" s="399">
        <v>0</v>
      </c>
      <c r="AT445" s="399">
        <v>0</v>
      </c>
      <c r="AU445" s="399">
        <v>0</v>
      </c>
      <c r="AV445" s="399">
        <v>0</v>
      </c>
      <c r="AW445" s="399">
        <v>0</v>
      </c>
      <c r="AX445" s="399">
        <v>0</v>
      </c>
      <c r="AY445" s="399">
        <v>0</v>
      </c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>
        <v>0</v>
      </c>
      <c r="BG445" s="399">
        <v>56.058107810840099</v>
      </c>
      <c r="BH445" s="399">
        <v>0</v>
      </c>
      <c r="BI445" s="399">
        <v>0</v>
      </c>
      <c r="BJ445" s="399">
        <v>0</v>
      </c>
      <c r="BK445" s="399">
        <v>0</v>
      </c>
      <c r="BL445" s="399">
        <v>0</v>
      </c>
      <c r="BM445" s="399"/>
      <c r="BN445" s="399"/>
      <c r="BO445" s="399"/>
      <c r="BP445" s="399"/>
      <c r="BQ445" s="399"/>
      <c r="BR445" s="399"/>
      <c r="BS445" s="399"/>
      <c r="BT445" s="399"/>
      <c r="BU445" s="399"/>
      <c r="BV445" s="399">
        <v>1555.8369788378295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9776.0995000000003</v>
      </c>
      <c r="CJ445" s="399">
        <v>-706.06208000000152</v>
      </c>
      <c r="CK445" s="399"/>
      <c r="CL445" s="399"/>
      <c r="CM445" s="399"/>
      <c r="CN445" s="399"/>
      <c r="CO445" s="399">
        <v>-911.25312000000019</v>
      </c>
      <c r="CP445" s="399">
        <v>204.14318999999995</v>
      </c>
      <c r="CQ445" s="399">
        <v>30</v>
      </c>
      <c r="CR445" s="399">
        <v>296.95124447577564</v>
      </c>
      <c r="CS445" s="399">
        <v>0</v>
      </c>
      <c r="CT445" s="399">
        <v>0</v>
      </c>
      <c r="CU445" s="399">
        <v>0</v>
      </c>
      <c r="CV445" s="399">
        <v>0</v>
      </c>
      <c r="CW445" s="399">
        <v>0</v>
      </c>
      <c r="CX445" s="399">
        <v>0</v>
      </c>
      <c r="CY445" s="399">
        <v>0</v>
      </c>
      <c r="CZ445" s="399">
        <v>160.79096420001224</v>
      </c>
      <c r="DA445" s="399">
        <v>0</v>
      </c>
      <c r="DB445" s="399">
        <v>0</v>
      </c>
      <c r="DC445" s="399">
        <v>204.19167877289487</v>
      </c>
      <c r="DD445" s="399">
        <v>0</v>
      </c>
      <c r="DE445" s="399">
        <v>0</v>
      </c>
      <c r="DF445" s="399">
        <v>0</v>
      </c>
      <c r="DG445" s="399">
        <v>7.6321912275566888</v>
      </c>
      <c r="DH445" s="399">
        <v>0</v>
      </c>
      <c r="DI445" s="399">
        <v>-65.518623951661027</v>
      </c>
      <c r="DJ445" s="399"/>
      <c r="DK445" s="399">
        <v>0</v>
      </c>
      <c r="DL445" s="399">
        <v>0</v>
      </c>
      <c r="DM445" s="399">
        <v>0</v>
      </c>
      <c r="DN445" s="399">
        <v>0</v>
      </c>
      <c r="DO445" s="399">
        <v>-9.7701247944937251</v>
      </c>
      <c r="DP445" s="399">
        <v>-0.3748409785331277</v>
      </c>
      <c r="DQ445" s="399">
        <v>0</v>
      </c>
      <c r="DR445" s="399">
        <v>0</v>
      </c>
      <c r="DS445" s="399"/>
      <c r="DT445" s="399"/>
      <c r="DU445" s="399"/>
      <c r="DV445" s="399">
        <v>4644.0727536084414</v>
      </c>
      <c r="DW445" s="399">
        <v>0</v>
      </c>
      <c r="DX445" s="399">
        <v>0</v>
      </c>
      <c r="DY445" s="399">
        <v>-911.25312000000031</v>
      </c>
      <c r="DZ445" s="399">
        <v>204.14318999999978</v>
      </c>
      <c r="EA445" s="399">
        <v>0</v>
      </c>
      <c r="EB445" s="399">
        <v>0</v>
      </c>
      <c r="EC445" s="399">
        <v>-1004.0234718564802</v>
      </c>
      <c r="ED445" s="399">
        <v>0</v>
      </c>
      <c r="EE445" s="399">
        <v>0</v>
      </c>
      <c r="EF445" s="399">
        <v>0</v>
      </c>
      <c r="EG445" s="399">
        <v>0</v>
      </c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>
        <v>0</v>
      </c>
      <c r="EN445" s="399">
        <v>0</v>
      </c>
      <c r="EO445" s="399">
        <v>0</v>
      </c>
      <c r="EP445" s="399">
        <v>90.964129015722435</v>
      </c>
      <c r="EQ445" s="399">
        <v>0</v>
      </c>
      <c r="ER445" s="399">
        <v>0</v>
      </c>
      <c r="ES445" s="399">
        <v>0</v>
      </c>
      <c r="ET445" s="399">
        <v>0</v>
      </c>
      <c r="EU445" s="399">
        <v>0</v>
      </c>
      <c r="EV445" s="399">
        <v>215</v>
      </c>
      <c r="EW445" s="399">
        <v>0</v>
      </c>
      <c r="EX445" s="399">
        <v>0</v>
      </c>
      <c r="EY445" s="399">
        <v>0</v>
      </c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450</v>
      </c>
      <c r="B446" s="399" t="s">
        <v>956</v>
      </c>
      <c r="C446" s="399" t="s">
        <v>2352</v>
      </c>
      <c r="D446" s="399" t="s">
        <v>533</v>
      </c>
      <c r="E446" s="399" t="s">
        <v>918</v>
      </c>
      <c r="F446" s="399" t="s">
        <v>1239</v>
      </c>
      <c r="G446" s="399" t="s">
        <v>1239</v>
      </c>
      <c r="H446" s="399" t="s">
        <v>1239</v>
      </c>
      <c r="I446" s="399" t="s">
        <v>2326</v>
      </c>
      <c r="J446" s="399" t="s">
        <v>2344</v>
      </c>
      <c r="K446" s="791">
        <v>44713</v>
      </c>
      <c r="L446" s="399">
        <v>0</v>
      </c>
      <c r="M446" s="399">
        <v>0</v>
      </c>
      <c r="N446" s="399">
        <v>102.345</v>
      </c>
      <c r="O446" s="399">
        <v>102.345</v>
      </c>
      <c r="P446" s="399">
        <v>102.345</v>
      </c>
      <c r="Q446" s="399">
        <v>102.345</v>
      </c>
      <c r="R446" s="399"/>
      <c r="S446" s="399">
        <v>78.42</v>
      </c>
      <c r="T446" s="399">
        <v>171.61</v>
      </c>
      <c r="U446" s="399"/>
      <c r="V446" s="399">
        <v>25589.320350000002</v>
      </c>
      <c r="W446" s="399">
        <v>25589.320350000002</v>
      </c>
      <c r="X446" s="399">
        <v>27125.518799999998</v>
      </c>
      <c r="Y446" s="399">
        <v>0</v>
      </c>
      <c r="Z446" s="399">
        <v>5383.126999498586</v>
      </c>
      <c r="AA446" s="399">
        <v>0</v>
      </c>
      <c r="AB446" s="399">
        <v>0</v>
      </c>
      <c r="AC446" s="399">
        <v>0</v>
      </c>
      <c r="AD446" s="399">
        <v>0</v>
      </c>
      <c r="AE446" s="399">
        <v>0</v>
      </c>
      <c r="AF446" s="399">
        <v>16925.225334133556</v>
      </c>
      <c r="AG446" s="399">
        <v>638.15760670343684</v>
      </c>
      <c r="AH446" s="399">
        <v>0</v>
      </c>
      <c r="AI446" s="399">
        <v>0</v>
      </c>
      <c r="AJ446" s="399">
        <v>0</v>
      </c>
      <c r="AK446" s="399">
        <v>0</v>
      </c>
      <c r="AL446" s="399">
        <v>956.73239751408073</v>
      </c>
      <c r="AM446" s="399"/>
      <c r="AN446" s="399">
        <v>27.025269300329128</v>
      </c>
      <c r="AO446" s="399">
        <v>0</v>
      </c>
      <c r="AP446" s="399">
        <v>0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632.62399866583189</v>
      </c>
      <c r="BH446" s="399">
        <v>0</v>
      </c>
      <c r="BI446" s="399">
        <v>0</v>
      </c>
      <c r="BJ446" s="399">
        <v>0</v>
      </c>
      <c r="BK446" s="399">
        <v>0</v>
      </c>
      <c r="BL446" s="399">
        <v>0</v>
      </c>
      <c r="BM446" s="399"/>
      <c r="BN446" s="399"/>
      <c r="BO446" s="399"/>
      <c r="BP446" s="399"/>
      <c r="BQ446" s="399"/>
      <c r="BR446" s="399"/>
      <c r="BS446" s="399"/>
      <c r="BT446" s="399"/>
      <c r="BU446" s="399"/>
      <c r="BV446" s="399">
        <v>17557.849332799389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27126.844000000001</v>
      </c>
      <c r="CJ446" s="399">
        <v>1537.4936500000003</v>
      </c>
      <c r="CK446" s="399"/>
      <c r="CL446" s="399"/>
      <c r="CM446" s="399"/>
      <c r="CN446" s="399"/>
      <c r="CO446" s="399">
        <v>-767.58749999999998</v>
      </c>
      <c r="CP446" s="399">
        <v>2303.785949999999</v>
      </c>
      <c r="CQ446" s="399">
        <v>30</v>
      </c>
      <c r="CR446" s="399">
        <v>1536.5888063538478</v>
      </c>
      <c r="CS446" s="399">
        <v>0</v>
      </c>
      <c r="CT446" s="399">
        <v>0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0</v>
      </c>
      <c r="DA446" s="399">
        <v>0</v>
      </c>
      <c r="DB446" s="399">
        <v>0</v>
      </c>
      <c r="DC446" s="399">
        <v>2304.3331529398965</v>
      </c>
      <c r="DD446" s="399">
        <v>0</v>
      </c>
      <c r="DE446" s="399">
        <v>0</v>
      </c>
      <c r="DF446" s="399">
        <v>0</v>
      </c>
      <c r="DG446" s="399">
        <v>86.130401497881735</v>
      </c>
      <c r="DH446" s="399">
        <v>0</v>
      </c>
      <c r="DI446" s="399">
        <v>-739.38731594803721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-110.25729651477127</v>
      </c>
      <c r="DP446" s="399">
        <v>-4.2301356211239352</v>
      </c>
      <c r="DQ446" s="399">
        <v>0</v>
      </c>
      <c r="DR446" s="399">
        <v>0</v>
      </c>
      <c r="DS446" s="399"/>
      <c r="DT446" s="399"/>
      <c r="DU446" s="399"/>
      <c r="DV446" s="399">
        <v>0</v>
      </c>
      <c r="DW446" s="399">
        <v>0</v>
      </c>
      <c r="DX446" s="399">
        <v>0</v>
      </c>
      <c r="DY446" s="399">
        <v>-767.58750000000055</v>
      </c>
      <c r="DZ446" s="399">
        <v>2303.7859499999977</v>
      </c>
      <c r="EA446" s="399">
        <v>0</v>
      </c>
      <c r="EB446" s="399">
        <v>0</v>
      </c>
      <c r="EC446" s="399">
        <v>0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1026.5435862955246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215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451</v>
      </c>
      <c r="B447" s="399" t="s">
        <v>956</v>
      </c>
      <c r="C447" s="399" t="s">
        <v>2352</v>
      </c>
      <c r="D447" s="399" t="s">
        <v>533</v>
      </c>
      <c r="E447" s="399" t="s">
        <v>918</v>
      </c>
      <c r="F447" s="399" t="s">
        <v>1239</v>
      </c>
      <c r="G447" s="399" t="s">
        <v>1239</v>
      </c>
      <c r="H447" s="399" t="s">
        <v>1239</v>
      </c>
      <c r="I447" s="399" t="s">
        <v>1239</v>
      </c>
      <c r="J447" s="399" t="s">
        <v>2344</v>
      </c>
      <c r="K447" s="791">
        <v>44713</v>
      </c>
      <c r="L447" s="399">
        <v>553</v>
      </c>
      <c r="M447" s="399">
        <v>553</v>
      </c>
      <c r="N447" s="399">
        <v>0</v>
      </c>
      <c r="O447" s="399">
        <v>0</v>
      </c>
      <c r="P447" s="399">
        <v>0</v>
      </c>
      <c r="Q447" s="399">
        <v>0</v>
      </c>
      <c r="R447" s="399">
        <v>12.58</v>
      </c>
      <c r="S447" s="399"/>
      <c r="T447" s="399"/>
      <c r="U447" s="399">
        <v>6956.74</v>
      </c>
      <c r="V447" s="399"/>
      <c r="W447" s="399">
        <v>6956.74</v>
      </c>
      <c r="X447" s="399">
        <v>6409.2699999999995</v>
      </c>
      <c r="Y447" s="399">
        <v>0</v>
      </c>
      <c r="Z447" s="399">
        <v>0</v>
      </c>
      <c r="AA447" s="399">
        <v>0</v>
      </c>
      <c r="AB447" s="399">
        <v>0</v>
      </c>
      <c r="AC447" s="399">
        <v>0</v>
      </c>
      <c r="AD447" s="399">
        <v>3664.9740006378106</v>
      </c>
      <c r="AE447" s="399">
        <v>3290.18909105074</v>
      </c>
      <c r="AF447" s="399"/>
      <c r="AG447" s="399"/>
      <c r="AH447" s="399"/>
      <c r="AI447" s="399">
        <v>0</v>
      </c>
      <c r="AJ447" s="399">
        <v>0</v>
      </c>
      <c r="AK447" s="399">
        <v>0</v>
      </c>
      <c r="AL447" s="399">
        <v>0</v>
      </c>
      <c r="AM447" s="399"/>
      <c r="AN447" s="399">
        <v>0</v>
      </c>
      <c r="AO447" s="399">
        <v>0</v>
      </c>
      <c r="AP447" s="399">
        <v>0</v>
      </c>
      <c r="AQ447" s="399">
        <v>0</v>
      </c>
      <c r="AR447" s="399">
        <v>0</v>
      </c>
      <c r="AS447" s="399"/>
      <c r="AT447" s="399"/>
      <c r="AU447" s="399">
        <v>0</v>
      </c>
      <c r="AV447" s="399">
        <v>0</v>
      </c>
      <c r="AW447" s="399">
        <v>0</v>
      </c>
      <c r="AX447" s="399"/>
      <c r="AY447" s="399"/>
      <c r="AZ447" s="399">
        <v>0</v>
      </c>
      <c r="BA447" s="399"/>
      <c r="BB447" s="399">
        <v>0</v>
      </c>
      <c r="BC447" s="399">
        <v>0</v>
      </c>
      <c r="BD447" s="399">
        <v>0</v>
      </c>
      <c r="BE447" s="399">
        <v>0</v>
      </c>
      <c r="BF447" s="399"/>
      <c r="BG447" s="399">
        <v>0</v>
      </c>
      <c r="BH447" s="399">
        <v>0</v>
      </c>
      <c r="BI447" s="399">
        <v>0</v>
      </c>
      <c r="BJ447" s="399">
        <v>0</v>
      </c>
      <c r="BK447" s="399">
        <v>14826.73</v>
      </c>
      <c r="BL447" s="399">
        <v>5</v>
      </c>
      <c r="BM447" s="399"/>
      <c r="BN447" s="399"/>
      <c r="BO447" s="399"/>
      <c r="BP447" s="399"/>
      <c r="BQ447" s="399"/>
      <c r="BR447" s="399"/>
      <c r="BS447" s="399"/>
      <c r="BT447" s="399"/>
      <c r="BU447" s="399"/>
      <c r="BV447" s="399">
        <v>0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6409.2699999999995</v>
      </c>
      <c r="CJ447" s="399">
        <v>-547.50000000000091</v>
      </c>
      <c r="CK447" s="399"/>
      <c r="CL447" s="399"/>
      <c r="CM447" s="399"/>
      <c r="CN447" s="399"/>
      <c r="CO447" s="399">
        <v>-547.47000000000014</v>
      </c>
      <c r="CP447" s="399">
        <v>0</v>
      </c>
      <c r="CQ447" s="399">
        <v>30</v>
      </c>
      <c r="CR447" s="399">
        <v>165.0434001264457</v>
      </c>
      <c r="CS447" s="399">
        <v>0</v>
      </c>
      <c r="CT447" s="399">
        <v>0</v>
      </c>
      <c r="CU447" s="399">
        <v>0</v>
      </c>
      <c r="CV447" s="399">
        <v>0</v>
      </c>
      <c r="CW447" s="399"/>
      <c r="CX447" s="399"/>
      <c r="CY447" s="399"/>
      <c r="CZ447" s="399">
        <v>165.0434001264457</v>
      </c>
      <c r="DA447" s="399">
        <v>0</v>
      </c>
      <c r="DB447" s="399">
        <v>0</v>
      </c>
      <c r="DC447" s="399"/>
      <c r="DD447" s="399"/>
      <c r="DE447" s="399">
        <v>0</v>
      </c>
      <c r="DF447" s="399">
        <v>0</v>
      </c>
      <c r="DG447" s="399">
        <v>0</v>
      </c>
      <c r="DH447" s="399">
        <v>0</v>
      </c>
      <c r="DI447" s="399">
        <v>0</v>
      </c>
      <c r="DJ447" s="399"/>
      <c r="DK447" s="399">
        <v>0</v>
      </c>
      <c r="DL447" s="399">
        <v>0</v>
      </c>
      <c r="DM447" s="399"/>
      <c r="DN447" s="399">
        <v>0</v>
      </c>
      <c r="DO447" s="399">
        <v>0</v>
      </c>
      <c r="DP447" s="399">
        <v>0</v>
      </c>
      <c r="DQ447" s="399">
        <v>0</v>
      </c>
      <c r="DR447" s="399">
        <v>0</v>
      </c>
      <c r="DS447" s="399"/>
      <c r="DT447" s="399"/>
      <c r="DU447" s="399">
        <v>3290.18909105074</v>
      </c>
      <c r="DV447" s="399"/>
      <c r="DW447" s="399">
        <v>0</v>
      </c>
      <c r="DX447" s="399">
        <v>0</v>
      </c>
      <c r="DY447" s="399">
        <v>-547.47000000000025</v>
      </c>
      <c r="DZ447" s="399"/>
      <c r="EA447" s="399">
        <v>0</v>
      </c>
      <c r="EB447" s="399"/>
      <c r="EC447" s="399">
        <v>-711.32112900133234</v>
      </c>
      <c r="ED447" s="399"/>
      <c r="EE447" s="399">
        <v>0</v>
      </c>
      <c r="EF447" s="399">
        <v>0</v>
      </c>
      <c r="EG447" s="399"/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/>
      <c r="EN447" s="399"/>
      <c r="EO447" s="399">
        <v>0</v>
      </c>
      <c r="EP447" s="399">
        <v>0</v>
      </c>
      <c r="EQ447" s="399"/>
      <c r="ER447" s="399">
        <v>0</v>
      </c>
      <c r="ES447" s="399"/>
      <c r="ET447" s="399">
        <v>0</v>
      </c>
      <c r="EU447" s="399"/>
      <c r="EV447" s="399">
        <v>215</v>
      </c>
      <c r="EW447" s="399"/>
      <c r="EX447" s="399"/>
      <c r="EY447" s="399"/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452</v>
      </c>
      <c r="B448" s="399" t="s">
        <v>956</v>
      </c>
      <c r="C448" s="399" t="s">
        <v>2343</v>
      </c>
      <c r="D448" s="399" t="s">
        <v>2353</v>
      </c>
      <c r="E448" s="399" t="s">
        <v>894</v>
      </c>
      <c r="F448" s="399" t="s">
        <v>1239</v>
      </c>
      <c r="G448" s="399" t="s">
        <v>1239</v>
      </c>
      <c r="H448" s="399" t="s">
        <v>1239</v>
      </c>
      <c r="I448" s="399" t="s">
        <v>1239</v>
      </c>
      <c r="J448" s="399" t="s">
        <v>2344</v>
      </c>
      <c r="K448" s="791">
        <v>44713</v>
      </c>
      <c r="L448" s="399">
        <v>0</v>
      </c>
      <c r="M448" s="399">
        <v>0</v>
      </c>
      <c r="N448" s="399">
        <v>514.18499999999995</v>
      </c>
      <c r="O448" s="399">
        <v>514.18499999999995</v>
      </c>
      <c r="P448" s="399">
        <v>514.18499999999995</v>
      </c>
      <c r="Q448" s="399">
        <v>514.18499999999995</v>
      </c>
      <c r="R448" s="399"/>
      <c r="S448" s="399">
        <v>239.69</v>
      </c>
      <c r="T448" s="399">
        <v>171.61</v>
      </c>
      <c r="U448" s="399"/>
      <c r="V448" s="399">
        <v>211484.29049999997</v>
      </c>
      <c r="W448" s="399">
        <v>211484.29049999997</v>
      </c>
      <c r="X448" s="399">
        <v>210707.87114999996</v>
      </c>
      <c r="Y448" s="399">
        <v>0</v>
      </c>
      <c r="Z448" s="399">
        <v>31086.236447683215</v>
      </c>
      <c r="AA448" s="399">
        <v>0</v>
      </c>
      <c r="AB448" s="399">
        <v>0</v>
      </c>
      <c r="AC448" s="399">
        <v>0</v>
      </c>
      <c r="AD448" s="399">
        <v>27424.567575227073</v>
      </c>
      <c r="AE448" s="399">
        <v>45564.363015783601</v>
      </c>
      <c r="AF448" s="399">
        <v>85032.947270814038</v>
      </c>
      <c r="AG448" s="399">
        <v>3206.1270116059081</v>
      </c>
      <c r="AH448" s="399">
        <v>0</v>
      </c>
      <c r="AI448" s="399">
        <v>0</v>
      </c>
      <c r="AJ448" s="399">
        <v>0</v>
      </c>
      <c r="AK448" s="399">
        <v>0</v>
      </c>
      <c r="AL448" s="399">
        <v>4806.6583400828331</v>
      </c>
      <c r="AM448" s="399"/>
      <c r="AN448" s="399">
        <v>203.64381581336065</v>
      </c>
      <c r="AO448" s="399">
        <v>0</v>
      </c>
      <c r="AP448" s="399">
        <v>0</v>
      </c>
      <c r="AQ448" s="399">
        <v>0</v>
      </c>
      <c r="AR448" s="399">
        <v>0</v>
      </c>
      <c r="AS448" s="399">
        <v>0</v>
      </c>
      <c r="AT448" s="399">
        <v>0</v>
      </c>
      <c r="AU448" s="399">
        <v>0</v>
      </c>
      <c r="AV448" s="399">
        <v>0</v>
      </c>
      <c r="AW448" s="399">
        <v>0</v>
      </c>
      <c r="AX448" s="399">
        <v>0</v>
      </c>
      <c r="AY448" s="399">
        <v>0</v>
      </c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>
        <v>0</v>
      </c>
      <c r="BG448" s="399">
        <v>8232.0570761337658</v>
      </c>
      <c r="BH448" s="399">
        <v>0</v>
      </c>
      <c r="BI448" s="399">
        <v>0</v>
      </c>
      <c r="BJ448" s="399">
        <v>0</v>
      </c>
      <c r="BK448" s="399">
        <v>49807.15</v>
      </c>
      <c r="BL448" s="399">
        <v>706</v>
      </c>
      <c r="BM448" s="399"/>
      <c r="BN448" s="399"/>
      <c r="BO448" s="399"/>
      <c r="BP448" s="399"/>
      <c r="BQ448" s="399"/>
      <c r="BR448" s="399">
        <v>25282.476449999991</v>
      </c>
      <c r="BS448" s="399"/>
      <c r="BT448" s="399"/>
      <c r="BU448" s="399"/>
      <c r="BV448" s="399">
        <v>93265.004346947797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185427.19780000002</v>
      </c>
      <c r="CJ448" s="399">
        <v>-682.092949999962</v>
      </c>
      <c r="CK448" s="399"/>
      <c r="CL448" s="399"/>
      <c r="CM448" s="399"/>
      <c r="CN448" s="399"/>
      <c r="CO448" s="399">
        <v>-12350.723700000004</v>
      </c>
      <c r="CP448" s="399">
        <v>11574.304349999995</v>
      </c>
      <c r="CQ448" s="399">
        <v>30</v>
      </c>
      <c r="CR448" s="399">
        <v>9077.2384875895805</v>
      </c>
      <c r="CS448" s="399">
        <v>0</v>
      </c>
      <c r="CT448" s="399">
        <v>0</v>
      </c>
      <c r="CU448" s="399">
        <v>0</v>
      </c>
      <c r="CV448" s="399">
        <v>0</v>
      </c>
      <c r="CW448" s="399">
        <v>0</v>
      </c>
      <c r="CX448" s="399">
        <v>0</v>
      </c>
      <c r="CY448" s="399">
        <v>0</v>
      </c>
      <c r="CZ448" s="399">
        <v>1235.0002698041826</v>
      </c>
      <c r="DA448" s="399">
        <v>0</v>
      </c>
      <c r="DB448" s="399">
        <v>0</v>
      </c>
      <c r="DC448" s="399">
        <v>11577.053517459572</v>
      </c>
      <c r="DD448" s="399">
        <v>0</v>
      </c>
      <c r="DE448" s="399">
        <v>0</v>
      </c>
      <c r="DF448" s="399">
        <v>0</v>
      </c>
      <c r="DG448" s="399">
        <v>1120.776926920571</v>
      </c>
      <c r="DH448" s="399">
        <v>0</v>
      </c>
      <c r="DI448" s="399">
        <v>-4269.7801727731239</v>
      </c>
      <c r="DJ448" s="399"/>
      <c r="DK448" s="399">
        <v>0</v>
      </c>
      <c r="DL448" s="399">
        <v>0</v>
      </c>
      <c r="DM448" s="399">
        <v>0</v>
      </c>
      <c r="DN448" s="399">
        <v>0</v>
      </c>
      <c r="DO448" s="399">
        <v>-553.93666528357608</v>
      </c>
      <c r="DP448" s="399">
        <v>-31.875388538059838</v>
      </c>
      <c r="DQ448" s="399">
        <v>0</v>
      </c>
      <c r="DR448" s="399">
        <v>0</v>
      </c>
      <c r="DS448" s="399"/>
      <c r="DT448" s="399"/>
      <c r="DU448" s="399"/>
      <c r="DV448" s="399">
        <v>45564.363015783601</v>
      </c>
      <c r="DW448" s="399">
        <v>0</v>
      </c>
      <c r="DX448" s="399">
        <v>0</v>
      </c>
      <c r="DY448" s="399">
        <v>-12350.723700000002</v>
      </c>
      <c r="DZ448" s="399">
        <v>11574.304349999991</v>
      </c>
      <c r="EA448" s="399">
        <v>0</v>
      </c>
      <c r="EB448" s="399">
        <v>0</v>
      </c>
      <c r="EC448" s="399">
        <v>-9850.7694377720909</v>
      </c>
      <c r="ED448" s="399">
        <v>0</v>
      </c>
      <c r="EE448" s="399">
        <v>0</v>
      </c>
      <c r="EF448" s="399">
        <v>0</v>
      </c>
      <c r="EG448" s="399">
        <v>0</v>
      </c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>
        <v>0</v>
      </c>
      <c r="EN448" s="399">
        <v>0</v>
      </c>
      <c r="EO448" s="399">
        <v>0</v>
      </c>
      <c r="EP448" s="399">
        <v>5928.0371149348448</v>
      </c>
      <c r="EQ448" s="399">
        <v>0</v>
      </c>
      <c r="ER448" s="399">
        <v>0</v>
      </c>
      <c r="ES448" s="399">
        <v>0</v>
      </c>
      <c r="ET448" s="399">
        <v>0</v>
      </c>
      <c r="EU448" s="399">
        <v>0</v>
      </c>
      <c r="EV448" s="399">
        <v>215</v>
      </c>
      <c r="EW448" s="399">
        <v>0</v>
      </c>
      <c r="EX448" s="399">
        <v>0</v>
      </c>
      <c r="EY448" s="399">
        <v>0</v>
      </c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453</v>
      </c>
      <c r="B449" s="399" t="s">
        <v>2345</v>
      </c>
      <c r="C449" s="399" t="s">
        <v>2343</v>
      </c>
      <c r="D449" s="399" t="s">
        <v>2353</v>
      </c>
      <c r="E449" s="399" t="s">
        <v>894</v>
      </c>
      <c r="F449" s="399" t="s">
        <v>1239</v>
      </c>
      <c r="G449" s="399" t="s">
        <v>1239</v>
      </c>
      <c r="H449" s="399" t="s">
        <v>1239</v>
      </c>
      <c r="I449" s="399" t="s">
        <v>1239</v>
      </c>
      <c r="J449" s="399" t="s">
        <v>2344</v>
      </c>
      <c r="K449" s="791">
        <v>44713</v>
      </c>
      <c r="L449" s="399">
        <v>0</v>
      </c>
      <c r="M449" s="399">
        <v>0</v>
      </c>
      <c r="N449" s="399">
        <v>-0.625</v>
      </c>
      <c r="O449" s="399">
        <v>-0.625</v>
      </c>
      <c r="P449" s="399">
        <v>-0.625</v>
      </c>
      <c r="Q449" s="399">
        <v>-0.625</v>
      </c>
      <c r="R449" s="399"/>
      <c r="S449" s="399">
        <v>239.69</v>
      </c>
      <c r="T449" s="399">
        <v>171.61</v>
      </c>
      <c r="U449" s="399"/>
      <c r="V449" s="399">
        <v>-257.0625</v>
      </c>
      <c r="W449" s="399">
        <v>-257.0625</v>
      </c>
      <c r="X449" s="399">
        <v>-256.11874999999998</v>
      </c>
      <c r="Y449" s="399">
        <v>0</v>
      </c>
      <c r="Z449" s="399">
        <v>-37.785812071145621</v>
      </c>
      <c r="AA449" s="399">
        <v>0</v>
      </c>
      <c r="AB449" s="399">
        <v>0</v>
      </c>
      <c r="AC449" s="399">
        <v>0</v>
      </c>
      <c r="AD449" s="399">
        <v>-33.334995642651812</v>
      </c>
      <c r="AE449" s="399">
        <v>-55.384203904946183</v>
      </c>
      <c r="AF449" s="399">
        <v>-103.35889231358125</v>
      </c>
      <c r="AG449" s="399">
        <v>-3.8970980916473503</v>
      </c>
      <c r="AH449" s="399">
        <v>0</v>
      </c>
      <c r="AI449" s="399">
        <v>0</v>
      </c>
      <c r="AJ449" s="399">
        <v>0</v>
      </c>
      <c r="AK449" s="399">
        <v>0</v>
      </c>
      <c r="AL449" s="399">
        <v>-5.8425692358815819</v>
      </c>
      <c r="AM449" s="399"/>
      <c r="AN449" s="399">
        <v>-0.24753227901115438</v>
      </c>
      <c r="AO449" s="399">
        <v>0</v>
      </c>
      <c r="AP449" s="399">
        <v>0</v>
      </c>
      <c r="AQ449" s="399">
        <v>0</v>
      </c>
      <c r="AR449" s="399">
        <v>0</v>
      </c>
      <c r="AS449" s="399">
        <v>0</v>
      </c>
      <c r="AT449" s="399">
        <v>0</v>
      </c>
      <c r="AU449" s="399">
        <v>0</v>
      </c>
      <c r="AV449" s="399">
        <v>0</v>
      </c>
      <c r="AW449" s="399">
        <v>0</v>
      </c>
      <c r="AX449" s="399">
        <v>0</v>
      </c>
      <c r="AY449" s="399">
        <v>0</v>
      </c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>
        <v>0</v>
      </c>
      <c r="BG449" s="399">
        <v>-10.006195576657436</v>
      </c>
      <c r="BH449" s="399">
        <v>0</v>
      </c>
      <c r="BI449" s="399">
        <v>0</v>
      </c>
      <c r="BJ449" s="399">
        <v>0</v>
      </c>
      <c r="BK449" s="399">
        <v>-39.82</v>
      </c>
      <c r="BL449" s="399">
        <v>0</v>
      </c>
      <c r="BM449" s="399"/>
      <c r="BN449" s="399"/>
      <c r="BO449" s="399"/>
      <c r="BP449" s="399"/>
      <c r="BQ449" s="399"/>
      <c r="BR449" s="399">
        <v>-30.731249999999992</v>
      </c>
      <c r="BS449" s="399"/>
      <c r="BT449" s="399"/>
      <c r="BU449" s="399"/>
      <c r="BV449" s="399">
        <v>-113.36508789023868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-227.19060000000002</v>
      </c>
      <c r="CJ449" s="399">
        <v>-1.0018499999999904</v>
      </c>
      <c r="CK449" s="399"/>
      <c r="CL449" s="399"/>
      <c r="CM449" s="399"/>
      <c r="CN449" s="399"/>
      <c r="CO449" s="399">
        <v>15.012500000000006</v>
      </c>
      <c r="CP449" s="399">
        <v>-14.068749999999994</v>
      </c>
      <c r="CQ449" s="399">
        <v>30</v>
      </c>
      <c r="CR449" s="399">
        <v>-11.033526949917785</v>
      </c>
      <c r="CS449" s="399">
        <v>0</v>
      </c>
      <c r="CT449" s="399">
        <v>0</v>
      </c>
      <c r="CU449" s="399">
        <v>0</v>
      </c>
      <c r="CV449" s="399">
        <v>0</v>
      </c>
      <c r="CW449" s="399">
        <v>0</v>
      </c>
      <c r="CX449" s="399">
        <v>0</v>
      </c>
      <c r="CY449" s="399">
        <v>0</v>
      </c>
      <c r="CZ449" s="399">
        <v>-1.5011623610716285</v>
      </c>
      <c r="DA449" s="399">
        <v>0</v>
      </c>
      <c r="DB449" s="399">
        <v>0</v>
      </c>
      <c r="DC449" s="399">
        <v>-14.072091656528741</v>
      </c>
      <c r="DD449" s="399">
        <v>0</v>
      </c>
      <c r="DE449" s="399">
        <v>0</v>
      </c>
      <c r="DF449" s="399">
        <v>0</v>
      </c>
      <c r="DG449" s="399">
        <v>-1.3623220812068766</v>
      </c>
      <c r="DH449" s="399">
        <v>0</v>
      </c>
      <c r="DI449" s="399">
        <v>5.1899853320948708</v>
      </c>
      <c r="DJ449" s="399"/>
      <c r="DK449" s="399">
        <v>0</v>
      </c>
      <c r="DL449" s="399">
        <v>0</v>
      </c>
      <c r="DM449" s="399">
        <v>0</v>
      </c>
      <c r="DN449" s="399">
        <v>0</v>
      </c>
      <c r="DO449" s="399">
        <v>0.67331877787612537</v>
      </c>
      <c r="DP449" s="399">
        <v>3.8745038918458125E-2</v>
      </c>
      <c r="DQ449" s="399">
        <v>0</v>
      </c>
      <c r="DR449" s="399">
        <v>0</v>
      </c>
      <c r="DS449" s="399"/>
      <c r="DT449" s="399"/>
      <c r="DU449" s="399"/>
      <c r="DV449" s="399">
        <v>-55.384203904946183</v>
      </c>
      <c r="DW449" s="399">
        <v>0</v>
      </c>
      <c r="DX449" s="399">
        <v>0</v>
      </c>
      <c r="DY449" s="399">
        <v>15.012500000000017</v>
      </c>
      <c r="DZ449" s="399">
        <v>-14.068749999999994</v>
      </c>
      <c r="EA449" s="399">
        <v>0</v>
      </c>
      <c r="EB449" s="399">
        <v>0</v>
      </c>
      <c r="EC449" s="399">
        <v>11.973766054255869</v>
      </c>
      <c r="ED449" s="399">
        <v>0</v>
      </c>
      <c r="EE449" s="399">
        <v>0</v>
      </c>
      <c r="EF449" s="399">
        <v>0</v>
      </c>
      <c r="EG449" s="399">
        <v>0</v>
      </c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>
        <v>0</v>
      </c>
      <c r="EN449" s="399">
        <v>0</v>
      </c>
      <c r="EO449" s="399">
        <v>0</v>
      </c>
      <c r="EP449" s="399">
        <v>-7.2056228727681244</v>
      </c>
      <c r="EQ449" s="399">
        <v>0</v>
      </c>
      <c r="ER449" s="399">
        <v>0</v>
      </c>
      <c r="ES449" s="399">
        <v>0</v>
      </c>
      <c r="ET449" s="399">
        <v>0</v>
      </c>
      <c r="EU449" s="399">
        <v>0</v>
      </c>
      <c r="EV449" s="399">
        <v>215</v>
      </c>
      <c r="EW449" s="399">
        <v>0</v>
      </c>
      <c r="EX449" s="399">
        <v>0</v>
      </c>
      <c r="EY449" s="399">
        <v>0</v>
      </c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454</v>
      </c>
      <c r="B450" s="399" t="s">
        <v>2346</v>
      </c>
      <c r="C450" s="399" t="s">
        <v>2343</v>
      </c>
      <c r="D450" s="399" t="s">
        <v>2353</v>
      </c>
      <c r="E450" s="399" t="s">
        <v>894</v>
      </c>
      <c r="F450" s="399" t="s">
        <v>1239</v>
      </c>
      <c r="G450" s="399" t="s">
        <v>1239</v>
      </c>
      <c r="H450" s="399" t="s">
        <v>1239</v>
      </c>
      <c r="I450" s="399" t="s">
        <v>1239</v>
      </c>
      <c r="J450" s="399" t="s">
        <v>2344</v>
      </c>
      <c r="K450" s="791">
        <v>44713</v>
      </c>
      <c r="L450" s="399">
        <v>0</v>
      </c>
      <c r="M450" s="399">
        <v>0</v>
      </c>
      <c r="N450" s="399">
        <v>13.432</v>
      </c>
      <c r="O450" s="399">
        <v>13.432</v>
      </c>
      <c r="P450" s="399">
        <v>13.432</v>
      </c>
      <c r="Q450" s="399">
        <v>13.432</v>
      </c>
      <c r="R450" s="399"/>
      <c r="S450" s="399">
        <v>239.69</v>
      </c>
      <c r="T450" s="399">
        <v>171.61</v>
      </c>
      <c r="U450" s="399"/>
      <c r="V450" s="399">
        <v>5524.5815999999995</v>
      </c>
      <c r="W450" s="399">
        <v>5524.5815999999995</v>
      </c>
      <c r="X450" s="399">
        <v>5504.2992799999993</v>
      </c>
      <c r="Y450" s="399">
        <v>0</v>
      </c>
      <c r="Z450" s="399">
        <v>812.0624443834048</v>
      </c>
      <c r="AA450" s="399">
        <v>0</v>
      </c>
      <c r="AB450" s="399">
        <v>0</v>
      </c>
      <c r="AC450" s="399">
        <v>0</v>
      </c>
      <c r="AD450" s="399">
        <v>716.40905835535875</v>
      </c>
      <c r="AE450" s="399">
        <v>1190.2730029619795</v>
      </c>
      <c r="AF450" s="399">
        <v>2221.3066264896374</v>
      </c>
      <c r="AG450" s="399">
        <v>83.753314507211542</v>
      </c>
      <c r="AH450" s="399">
        <v>0</v>
      </c>
      <c r="AI450" s="399">
        <v>0</v>
      </c>
      <c r="AJ450" s="399">
        <v>0</v>
      </c>
      <c r="AK450" s="399">
        <v>0</v>
      </c>
      <c r="AL450" s="399">
        <v>125.56382396217825</v>
      </c>
      <c r="AM450" s="399"/>
      <c r="AN450" s="399">
        <v>5.3197657146845216</v>
      </c>
      <c r="AO450" s="399">
        <v>0</v>
      </c>
      <c r="AP450" s="399">
        <v>0</v>
      </c>
      <c r="AQ450" s="399">
        <v>0</v>
      </c>
      <c r="AR450" s="399">
        <v>0</v>
      </c>
      <c r="AS450" s="399">
        <v>0</v>
      </c>
      <c r="AT450" s="399">
        <v>0</v>
      </c>
      <c r="AU450" s="399">
        <v>0</v>
      </c>
      <c r="AV450" s="399">
        <v>0</v>
      </c>
      <c r="AW450" s="399">
        <v>0</v>
      </c>
      <c r="AX450" s="399">
        <v>0</v>
      </c>
      <c r="AY450" s="399">
        <v>0</v>
      </c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>
        <v>0</v>
      </c>
      <c r="BG450" s="399">
        <v>215.04515037706031</v>
      </c>
      <c r="BH450" s="399">
        <v>0</v>
      </c>
      <c r="BI450" s="399">
        <v>0</v>
      </c>
      <c r="BJ450" s="399">
        <v>0</v>
      </c>
      <c r="BK450" s="399">
        <v>3826.45</v>
      </c>
      <c r="BL450" s="399">
        <v>17</v>
      </c>
      <c r="BM450" s="399"/>
      <c r="BN450" s="399"/>
      <c r="BO450" s="399"/>
      <c r="BP450" s="399"/>
      <c r="BQ450" s="399"/>
      <c r="BR450" s="399">
        <v>660.45143999999982</v>
      </c>
      <c r="BS450" s="399"/>
      <c r="BT450" s="399"/>
      <c r="BU450" s="399"/>
      <c r="BV450" s="399">
        <v>2436.3517768666979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4843.1265999999996</v>
      </c>
      <c r="CJ450" s="399">
        <v>-18.6158000000014</v>
      </c>
      <c r="CK450" s="399"/>
      <c r="CL450" s="399"/>
      <c r="CM450" s="399"/>
      <c r="CN450" s="399"/>
      <c r="CO450" s="399">
        <v>-322.63664000000017</v>
      </c>
      <c r="CP450" s="399">
        <v>302.35431999999986</v>
      </c>
      <c r="CQ450" s="399">
        <v>30</v>
      </c>
      <c r="CR450" s="399">
        <v>237.12373438607119</v>
      </c>
      <c r="CS450" s="399">
        <v>0</v>
      </c>
      <c r="CT450" s="399">
        <v>0</v>
      </c>
      <c r="CU450" s="399">
        <v>0</v>
      </c>
      <c r="CV450" s="399">
        <v>0</v>
      </c>
      <c r="CW450" s="399">
        <v>0</v>
      </c>
      <c r="CX450" s="399">
        <v>0</v>
      </c>
      <c r="CY450" s="399">
        <v>0</v>
      </c>
      <c r="CZ450" s="399">
        <v>32.261780534262471</v>
      </c>
      <c r="DA450" s="399">
        <v>0</v>
      </c>
      <c r="DB450" s="399">
        <v>0</v>
      </c>
      <c r="DC450" s="399">
        <v>302.42613620879047</v>
      </c>
      <c r="DD450" s="399">
        <v>0</v>
      </c>
      <c r="DE450" s="399">
        <v>0</v>
      </c>
      <c r="DF450" s="399">
        <v>0</v>
      </c>
      <c r="DG450" s="399">
        <v>29.277936311633198</v>
      </c>
      <c r="DH450" s="399">
        <v>0</v>
      </c>
      <c r="DI450" s="399">
        <v>-111.53901276911733</v>
      </c>
      <c r="DJ450" s="399"/>
      <c r="DK450" s="399">
        <v>0</v>
      </c>
      <c r="DL450" s="399">
        <v>0</v>
      </c>
      <c r="DM450" s="399">
        <v>0</v>
      </c>
      <c r="DN450" s="399">
        <v>0</v>
      </c>
      <c r="DO450" s="399">
        <v>-14.470428519091371</v>
      </c>
      <c r="DP450" s="399">
        <v>-0.8326773804043679</v>
      </c>
      <c r="DQ450" s="399">
        <v>0</v>
      </c>
      <c r="DR450" s="399">
        <v>0</v>
      </c>
      <c r="DS450" s="399"/>
      <c r="DT450" s="399"/>
      <c r="DU450" s="399"/>
      <c r="DV450" s="399">
        <v>1190.2730029619795</v>
      </c>
      <c r="DW450" s="399">
        <v>0</v>
      </c>
      <c r="DX450" s="399">
        <v>0</v>
      </c>
      <c r="DY450" s="399">
        <v>-322.63664000000017</v>
      </c>
      <c r="DZ450" s="399">
        <v>302.35431999999992</v>
      </c>
      <c r="EA450" s="399">
        <v>0</v>
      </c>
      <c r="EB450" s="399">
        <v>0</v>
      </c>
      <c r="EC450" s="399">
        <v>-257.33060102522381</v>
      </c>
      <c r="ED450" s="399">
        <v>0</v>
      </c>
      <c r="EE450" s="399">
        <v>0</v>
      </c>
      <c r="EF450" s="399">
        <v>0</v>
      </c>
      <c r="EG450" s="399">
        <v>0</v>
      </c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>
        <v>0</v>
      </c>
      <c r="EN450" s="399">
        <v>0</v>
      </c>
      <c r="EO450" s="399">
        <v>0</v>
      </c>
      <c r="EP450" s="399">
        <v>154.85748228323433</v>
      </c>
      <c r="EQ450" s="399">
        <v>0</v>
      </c>
      <c r="ER450" s="399">
        <v>0</v>
      </c>
      <c r="ES450" s="399">
        <v>0</v>
      </c>
      <c r="ET450" s="399">
        <v>0</v>
      </c>
      <c r="EU450" s="399">
        <v>0</v>
      </c>
      <c r="EV450" s="399">
        <v>215</v>
      </c>
      <c r="EW450" s="399">
        <v>0</v>
      </c>
      <c r="EX450" s="399">
        <v>0</v>
      </c>
      <c r="EY450" s="399">
        <v>0</v>
      </c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455</v>
      </c>
      <c r="B451" s="399" t="s">
        <v>2346</v>
      </c>
      <c r="C451" s="399" t="s">
        <v>2343</v>
      </c>
      <c r="D451" s="399" t="s">
        <v>2353</v>
      </c>
      <c r="E451" s="399" t="s">
        <v>894</v>
      </c>
      <c r="F451" s="399" t="s">
        <v>1239</v>
      </c>
      <c r="G451" s="399" t="s">
        <v>1239</v>
      </c>
      <c r="H451" s="399" t="s">
        <v>1239</v>
      </c>
      <c r="I451" s="399" t="s">
        <v>1239</v>
      </c>
      <c r="J451" s="399" t="s">
        <v>2344</v>
      </c>
      <c r="K451" s="791">
        <v>44713</v>
      </c>
      <c r="L451" s="399">
        <v>0</v>
      </c>
      <c r="M451" s="399">
        <v>0</v>
      </c>
      <c r="N451" s="399">
        <v>0</v>
      </c>
      <c r="O451" s="399">
        <v>0</v>
      </c>
      <c r="P451" s="399">
        <v>0</v>
      </c>
      <c r="Q451" s="399">
        <v>0</v>
      </c>
      <c r="R451" s="399"/>
      <c r="S451" s="399"/>
      <c r="T451" s="399"/>
      <c r="U451" s="399"/>
      <c r="V451" s="399"/>
      <c r="W451" s="399"/>
      <c r="X451" s="399"/>
      <c r="Y451" s="399"/>
      <c r="Z451" s="399"/>
      <c r="AA451" s="399">
        <v>0</v>
      </c>
      <c r="AB451" s="399"/>
      <c r="AC451" s="399"/>
      <c r="AD451" s="399"/>
      <c r="AE451" s="399"/>
      <c r="AF451" s="399"/>
      <c r="AG451" s="399"/>
      <c r="AH451" s="399"/>
      <c r="AI451" s="399"/>
      <c r="AJ451" s="399"/>
      <c r="AK451" s="399"/>
      <c r="AL451" s="399"/>
      <c r="AM451" s="399"/>
      <c r="AN451" s="399"/>
      <c r="AO451" s="399"/>
      <c r="AP451" s="399"/>
      <c r="AQ451" s="399"/>
      <c r="AR451" s="399"/>
      <c r="AS451" s="399"/>
      <c r="AT451" s="399"/>
      <c r="AU451" s="399"/>
      <c r="AV451" s="399"/>
      <c r="AW451" s="399"/>
      <c r="AX451" s="399"/>
      <c r="AY451" s="399"/>
      <c r="AZ451" s="399">
        <v>0</v>
      </c>
      <c r="BA451" s="399"/>
      <c r="BB451" s="399"/>
      <c r="BC451" s="399"/>
      <c r="BD451" s="399"/>
      <c r="BE451" s="399"/>
      <c r="BF451" s="399"/>
      <c r="BG451" s="399"/>
      <c r="BH451" s="399"/>
      <c r="BI451" s="399">
        <v>0</v>
      </c>
      <c r="BJ451" s="399">
        <v>0</v>
      </c>
      <c r="BK451" s="399">
        <v>0</v>
      </c>
      <c r="BL451" s="399">
        <v>2</v>
      </c>
      <c r="BM451" s="399"/>
      <c r="BN451" s="399"/>
      <c r="BO451" s="399"/>
      <c r="BP451" s="399"/>
      <c r="BQ451" s="399"/>
      <c r="BR451" s="399"/>
      <c r="BS451" s="399"/>
      <c r="BT451" s="399"/>
      <c r="BU451" s="399"/>
      <c r="BV451" s="399"/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/>
      <c r="CJ451" s="399">
        <v>-0.03</v>
      </c>
      <c r="CK451" s="399"/>
      <c r="CL451" s="399"/>
      <c r="CM451" s="399"/>
      <c r="CN451" s="399"/>
      <c r="CO451" s="399">
        <v>0</v>
      </c>
      <c r="CP451" s="399">
        <v>0</v>
      </c>
      <c r="CQ451" s="399">
        <v>30</v>
      </c>
      <c r="CR451" s="399"/>
      <c r="CS451" s="399"/>
      <c r="CT451" s="399"/>
      <c r="CU451" s="399"/>
      <c r="CV451" s="399"/>
      <c r="CW451" s="399"/>
      <c r="CX451" s="399"/>
      <c r="CY451" s="399"/>
      <c r="CZ451" s="399"/>
      <c r="DA451" s="399"/>
      <c r="DB451" s="399"/>
      <c r="DC451" s="399"/>
      <c r="DD451" s="399"/>
      <c r="DE451" s="399"/>
      <c r="DF451" s="399"/>
      <c r="DG451" s="399"/>
      <c r="DH451" s="399"/>
      <c r="DI451" s="399"/>
      <c r="DJ451" s="399"/>
      <c r="DK451" s="399">
        <v>0</v>
      </c>
      <c r="DL451" s="399"/>
      <c r="DM451" s="399"/>
      <c r="DN451" s="399"/>
      <c r="DO451" s="399"/>
      <c r="DP451" s="399"/>
      <c r="DQ451" s="399"/>
      <c r="DR451" s="399"/>
      <c r="DS451" s="399"/>
      <c r="DT451" s="399"/>
      <c r="DU451" s="399"/>
      <c r="DV451" s="399"/>
      <c r="DW451" s="399"/>
      <c r="DX451" s="399"/>
      <c r="DY451" s="399"/>
      <c r="DZ451" s="399"/>
      <c r="EA451" s="399"/>
      <c r="EB451" s="399"/>
      <c r="EC451" s="399"/>
      <c r="ED451" s="399"/>
      <c r="EE451" s="399"/>
      <c r="EF451" s="399"/>
      <c r="EG451" s="399"/>
      <c r="EH451" s="399"/>
      <c r="EI451" s="399"/>
      <c r="EJ451" s="399"/>
      <c r="EK451" s="399"/>
      <c r="EL451" s="399"/>
      <c r="EM451" s="399"/>
      <c r="EN451" s="399"/>
      <c r="EO451" s="399"/>
      <c r="EP451" s="399"/>
      <c r="EQ451" s="399"/>
      <c r="ER451" s="399"/>
      <c r="ES451" s="399"/>
      <c r="ET451" s="399"/>
      <c r="EU451" s="399"/>
      <c r="EV451" s="399">
        <v>215</v>
      </c>
      <c r="EW451" s="399"/>
      <c r="EX451" s="399"/>
      <c r="EY451" s="399"/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456</v>
      </c>
      <c r="B452" s="399" t="s">
        <v>956</v>
      </c>
      <c r="C452" s="399" t="s">
        <v>2352</v>
      </c>
      <c r="D452" s="399" t="s">
        <v>533</v>
      </c>
      <c r="E452" s="399" t="s">
        <v>894</v>
      </c>
      <c r="F452" s="399" t="s">
        <v>1239</v>
      </c>
      <c r="G452" s="399" t="s">
        <v>1239</v>
      </c>
      <c r="H452" s="399" t="s">
        <v>1239</v>
      </c>
      <c r="I452" s="399" t="s">
        <v>893</v>
      </c>
      <c r="J452" s="399" t="s">
        <v>2344</v>
      </c>
      <c r="K452" s="791">
        <v>44713</v>
      </c>
      <c r="L452" s="399">
        <v>0</v>
      </c>
      <c r="M452" s="399">
        <v>0</v>
      </c>
      <c r="N452" s="399">
        <v>8.5589999999999993</v>
      </c>
      <c r="O452" s="399">
        <v>8.2166399999999999</v>
      </c>
      <c r="P452" s="399">
        <v>8.5589999999999993</v>
      </c>
      <c r="Q452" s="399">
        <v>8.2166399999999999</v>
      </c>
      <c r="R452" s="399"/>
      <c r="S452" s="399">
        <v>984.21</v>
      </c>
      <c r="T452" s="399">
        <v>171.61</v>
      </c>
      <c r="U452" s="399"/>
      <c r="V452" s="399">
        <v>9892.66338</v>
      </c>
      <c r="W452" s="399">
        <v>9892.66338</v>
      </c>
      <c r="X452" s="399">
        <v>9225.3181499999992</v>
      </c>
      <c r="Y452" s="399">
        <v>0</v>
      </c>
      <c r="Z452" s="399">
        <v>450.18500159957392</v>
      </c>
      <c r="AA452" s="399">
        <v>0</v>
      </c>
      <c r="AB452" s="399">
        <v>0</v>
      </c>
      <c r="AC452" s="399">
        <v>0</v>
      </c>
      <c r="AD452" s="399">
        <v>3369.7524671572901</v>
      </c>
      <c r="AE452" s="399">
        <v>4382.9108719963215</v>
      </c>
      <c r="AF452" s="399">
        <v>1415.438014899107</v>
      </c>
      <c r="AG452" s="399">
        <v>53.368420106255471</v>
      </c>
      <c r="AH452" s="399">
        <v>0</v>
      </c>
      <c r="AI452" s="399">
        <v>0</v>
      </c>
      <c r="AJ452" s="399">
        <v>0</v>
      </c>
      <c r="AK452" s="399">
        <v>0</v>
      </c>
      <c r="AL452" s="399">
        <v>80.010480143856725</v>
      </c>
      <c r="AM452" s="399"/>
      <c r="AN452" s="399">
        <v>2.2600936043921735</v>
      </c>
      <c r="AO452" s="399">
        <v>0</v>
      </c>
      <c r="AP452" s="399">
        <v>0</v>
      </c>
      <c r="AQ452" s="399">
        <v>0</v>
      </c>
      <c r="AR452" s="399">
        <v>0</v>
      </c>
      <c r="AS452" s="399">
        <v>0</v>
      </c>
      <c r="AT452" s="399">
        <v>0</v>
      </c>
      <c r="AU452" s="399">
        <v>0</v>
      </c>
      <c r="AV452" s="399">
        <v>0</v>
      </c>
      <c r="AW452" s="399">
        <v>0</v>
      </c>
      <c r="AX452" s="399">
        <v>0</v>
      </c>
      <c r="AY452" s="399">
        <v>0</v>
      </c>
      <c r="AZ452" s="399">
        <v>0</v>
      </c>
      <c r="BA452" s="399"/>
      <c r="BB452" s="399">
        <v>0</v>
      </c>
      <c r="BC452" s="399">
        <v>0</v>
      </c>
      <c r="BD452" s="399">
        <v>0</v>
      </c>
      <c r="BE452" s="399">
        <v>0</v>
      </c>
      <c r="BF452" s="399">
        <v>0</v>
      </c>
      <c r="BG452" s="399">
        <v>52.905650540630752</v>
      </c>
      <c r="BH452" s="399">
        <v>0</v>
      </c>
      <c r="BI452" s="399">
        <v>0</v>
      </c>
      <c r="BJ452" s="399">
        <v>0</v>
      </c>
      <c r="BK452" s="399">
        <v>0</v>
      </c>
      <c r="BL452" s="399">
        <v>0</v>
      </c>
      <c r="BM452" s="399"/>
      <c r="BN452" s="399"/>
      <c r="BO452" s="399"/>
      <c r="BP452" s="399"/>
      <c r="BQ452" s="399"/>
      <c r="BR452" s="399">
        <v>369.01272599999925</v>
      </c>
      <c r="BS452" s="399"/>
      <c r="BT452" s="399"/>
      <c r="BU452" s="399"/>
      <c r="BV452" s="399">
        <v>1468.3436654397378</v>
      </c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>
        <v>8859.9269999999997</v>
      </c>
      <c r="CJ452" s="399">
        <v>-637.05984480000188</v>
      </c>
      <c r="CK452" s="399"/>
      <c r="CL452" s="399"/>
      <c r="CM452" s="399"/>
      <c r="CN452" s="399"/>
      <c r="CO452" s="399">
        <v>-860.00832000000003</v>
      </c>
      <c r="CP452" s="399">
        <v>192.6630899999999</v>
      </c>
      <c r="CQ452" s="399">
        <v>30</v>
      </c>
      <c r="CR452" s="399">
        <v>280.25203456479994</v>
      </c>
      <c r="CS452" s="399">
        <v>0</v>
      </c>
      <c r="CT452" s="399">
        <v>0</v>
      </c>
      <c r="CU452" s="399">
        <v>0</v>
      </c>
      <c r="CV452" s="399">
        <v>0</v>
      </c>
      <c r="CW452" s="399">
        <v>0</v>
      </c>
      <c r="CX452" s="399">
        <v>0</v>
      </c>
      <c r="CY452" s="399">
        <v>0</v>
      </c>
      <c r="CZ452" s="399">
        <v>151.74879949144406</v>
      </c>
      <c r="DA452" s="399">
        <v>0</v>
      </c>
      <c r="DB452" s="399">
        <v>0</v>
      </c>
      <c r="DC452" s="399">
        <v>192.7088519811673</v>
      </c>
      <c r="DD452" s="399">
        <v>0</v>
      </c>
      <c r="DE452" s="399">
        <v>0</v>
      </c>
      <c r="DF452" s="399">
        <v>0</v>
      </c>
      <c r="DG452" s="399">
        <v>7.2029909269663364</v>
      </c>
      <c r="DH452" s="399">
        <v>0</v>
      </c>
      <c r="DI452" s="399">
        <v>-61.834149564700226</v>
      </c>
      <c r="DJ452" s="399"/>
      <c r="DK452" s="399">
        <v>0</v>
      </c>
      <c r="DL452" s="399">
        <v>0</v>
      </c>
      <c r="DM452" s="399">
        <v>0</v>
      </c>
      <c r="DN452" s="399">
        <v>0</v>
      </c>
      <c r="DO452" s="399">
        <v>-9.2206966717468077</v>
      </c>
      <c r="DP452" s="399">
        <v>-0.35376159833113263</v>
      </c>
      <c r="DQ452" s="399">
        <v>0</v>
      </c>
      <c r="DR452" s="399">
        <v>0</v>
      </c>
      <c r="DS452" s="399"/>
      <c r="DT452" s="399"/>
      <c r="DU452" s="399"/>
      <c r="DV452" s="399">
        <v>4382.9108719963215</v>
      </c>
      <c r="DW452" s="399">
        <v>0</v>
      </c>
      <c r="DX452" s="399">
        <v>0</v>
      </c>
      <c r="DY452" s="399">
        <v>-860.00832000000082</v>
      </c>
      <c r="DZ452" s="399">
        <v>192.66309000000001</v>
      </c>
      <c r="EA452" s="399">
        <v>0</v>
      </c>
      <c r="EB452" s="399">
        <v>0</v>
      </c>
      <c r="EC452" s="399">
        <v>-947.56168217219192</v>
      </c>
      <c r="ED452" s="399">
        <v>0</v>
      </c>
      <c r="EE452" s="399">
        <v>0</v>
      </c>
      <c r="EF452" s="399">
        <v>0</v>
      </c>
      <c r="EG452" s="399">
        <v>0</v>
      </c>
      <c r="EH452" s="399">
        <v>0</v>
      </c>
      <c r="EI452" s="399">
        <v>0</v>
      </c>
      <c r="EJ452" s="399">
        <v>0</v>
      </c>
      <c r="EK452" s="399">
        <v>0</v>
      </c>
      <c r="EL452" s="399">
        <v>0</v>
      </c>
      <c r="EM452" s="399">
        <v>0</v>
      </c>
      <c r="EN452" s="399">
        <v>0</v>
      </c>
      <c r="EO452" s="399">
        <v>0</v>
      </c>
      <c r="EP452" s="399">
        <v>85.848713225886883</v>
      </c>
      <c r="EQ452" s="399">
        <v>0</v>
      </c>
      <c r="ER452" s="399">
        <v>0</v>
      </c>
      <c r="ES452" s="399">
        <v>0</v>
      </c>
      <c r="ET452" s="399">
        <v>0</v>
      </c>
      <c r="EU452" s="399">
        <v>0</v>
      </c>
      <c r="EV452" s="399">
        <v>215</v>
      </c>
      <c r="EW452" s="399">
        <v>0</v>
      </c>
      <c r="EX452" s="399">
        <v>0</v>
      </c>
      <c r="EY452" s="399">
        <v>0</v>
      </c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457</v>
      </c>
      <c r="B453" s="399" t="s">
        <v>956</v>
      </c>
      <c r="C453" s="399" t="s">
        <v>2352</v>
      </c>
      <c r="D453" s="399" t="s">
        <v>533</v>
      </c>
      <c r="E453" s="399" t="s">
        <v>894</v>
      </c>
      <c r="F453" s="399" t="s">
        <v>1239</v>
      </c>
      <c r="G453" s="399" t="s">
        <v>1239</v>
      </c>
      <c r="H453" s="399" t="s">
        <v>1239</v>
      </c>
      <c r="I453" s="399" t="s">
        <v>2326</v>
      </c>
      <c r="J453" s="399" t="s">
        <v>2344</v>
      </c>
      <c r="K453" s="791">
        <v>44713</v>
      </c>
      <c r="L453" s="399">
        <v>0</v>
      </c>
      <c r="M453" s="399">
        <v>0</v>
      </c>
      <c r="N453" s="399">
        <v>132.434</v>
      </c>
      <c r="O453" s="399">
        <v>127.13664</v>
      </c>
      <c r="P453" s="399">
        <v>132.434</v>
      </c>
      <c r="Q453" s="399">
        <v>127.13664</v>
      </c>
      <c r="R453" s="399"/>
      <c r="S453" s="399">
        <v>78.42</v>
      </c>
      <c r="T453" s="399">
        <v>171.61</v>
      </c>
      <c r="U453" s="399"/>
      <c r="V453" s="399">
        <v>33112.473020000005</v>
      </c>
      <c r="W453" s="399">
        <v>33112.473020000005</v>
      </c>
      <c r="X453" s="399">
        <v>35100.307359999999</v>
      </c>
      <c r="Y453" s="399">
        <v>0</v>
      </c>
      <c r="Z453" s="399">
        <v>6965.7437202754973</v>
      </c>
      <c r="AA453" s="399">
        <v>0</v>
      </c>
      <c r="AB453" s="399">
        <v>0</v>
      </c>
      <c r="AC453" s="399">
        <v>0</v>
      </c>
      <c r="AD453" s="399">
        <v>0</v>
      </c>
      <c r="AE453" s="399">
        <v>0</v>
      </c>
      <c r="AF453" s="399">
        <v>21901.170471450911</v>
      </c>
      <c r="AG453" s="399">
        <v>825.77326187076028</v>
      </c>
      <c r="AH453" s="399">
        <v>0</v>
      </c>
      <c r="AI453" s="399">
        <v>0</v>
      </c>
      <c r="AJ453" s="399">
        <v>0</v>
      </c>
      <c r="AK453" s="399">
        <v>0</v>
      </c>
      <c r="AL453" s="399">
        <v>1238.0077026955862</v>
      </c>
      <c r="AM453" s="399"/>
      <c r="AN453" s="399">
        <v>34.970584928621697</v>
      </c>
      <c r="AO453" s="399">
        <v>0</v>
      </c>
      <c r="AP453" s="399">
        <v>0</v>
      </c>
      <c r="AQ453" s="399">
        <v>0</v>
      </c>
      <c r="AR453" s="399">
        <v>0</v>
      </c>
      <c r="AS453" s="399">
        <v>0</v>
      </c>
      <c r="AT453" s="399">
        <v>0</v>
      </c>
      <c r="AU453" s="399">
        <v>0</v>
      </c>
      <c r="AV453" s="399">
        <v>0</v>
      </c>
      <c r="AW453" s="399">
        <v>0</v>
      </c>
      <c r="AX453" s="399">
        <v>0</v>
      </c>
      <c r="AY453" s="399">
        <v>0</v>
      </c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>
        <v>0</v>
      </c>
      <c r="BG453" s="399">
        <v>818.61279631941738</v>
      </c>
      <c r="BH453" s="399">
        <v>0</v>
      </c>
      <c r="BI453" s="399">
        <v>0</v>
      </c>
      <c r="BJ453" s="399">
        <v>0</v>
      </c>
      <c r="BK453" s="399">
        <v>0</v>
      </c>
      <c r="BL453" s="399">
        <v>0</v>
      </c>
      <c r="BM453" s="399"/>
      <c r="BN453" s="399"/>
      <c r="BO453" s="399"/>
      <c r="BP453" s="399"/>
      <c r="BQ453" s="399"/>
      <c r="BR453" s="399">
        <v>1404.0122943999993</v>
      </c>
      <c r="BS453" s="399"/>
      <c r="BT453" s="399"/>
      <c r="BU453" s="399"/>
      <c r="BV453" s="399">
        <v>22719.783267770326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33697.185599999997</v>
      </c>
      <c r="CJ453" s="399">
        <v>1909.181500799994</v>
      </c>
      <c r="CK453" s="399"/>
      <c r="CL453" s="399"/>
      <c r="CM453" s="399"/>
      <c r="CN453" s="399"/>
      <c r="CO453" s="399">
        <v>-993.255</v>
      </c>
      <c r="CP453" s="399">
        <v>2981.0893399999986</v>
      </c>
      <c r="CQ453" s="399">
        <v>30</v>
      </c>
      <c r="CR453" s="399">
        <v>1988.3394594818019</v>
      </c>
      <c r="CS453" s="399">
        <v>0</v>
      </c>
      <c r="CT453" s="399">
        <v>0</v>
      </c>
      <c r="CU453" s="399">
        <v>0</v>
      </c>
      <c r="CV453" s="399">
        <v>0</v>
      </c>
      <c r="CW453" s="399">
        <v>0</v>
      </c>
      <c r="CX453" s="399">
        <v>0</v>
      </c>
      <c r="CY453" s="399">
        <v>0</v>
      </c>
      <c r="CZ453" s="399">
        <v>0</v>
      </c>
      <c r="DA453" s="399">
        <v>0</v>
      </c>
      <c r="DB453" s="399">
        <v>0</v>
      </c>
      <c r="DC453" s="399">
        <v>2981.7974183051665</v>
      </c>
      <c r="DD453" s="399">
        <v>0</v>
      </c>
      <c r="DE453" s="399">
        <v>0</v>
      </c>
      <c r="DF453" s="399">
        <v>0</v>
      </c>
      <c r="DG453" s="399">
        <v>111.45237766349578</v>
      </c>
      <c r="DH453" s="399">
        <v>0</v>
      </c>
      <c r="DI453" s="399">
        <v>-956.76408031913979</v>
      </c>
      <c r="DJ453" s="399"/>
      <c r="DK453" s="399">
        <v>0</v>
      </c>
      <c r="DL453" s="399">
        <v>0</v>
      </c>
      <c r="DM453" s="399">
        <v>0</v>
      </c>
      <c r="DN453" s="399">
        <v>0</v>
      </c>
      <c r="DO453" s="399">
        <v>-142.67247844679491</v>
      </c>
      <c r="DP453" s="399">
        <v>-5.4737777209236143</v>
      </c>
      <c r="DQ453" s="399">
        <v>0</v>
      </c>
      <c r="DR453" s="399">
        <v>0</v>
      </c>
      <c r="DS453" s="399"/>
      <c r="DT453" s="399"/>
      <c r="DU453" s="399"/>
      <c r="DV453" s="399">
        <v>0</v>
      </c>
      <c r="DW453" s="399">
        <v>0</v>
      </c>
      <c r="DX453" s="399">
        <v>0</v>
      </c>
      <c r="DY453" s="399">
        <v>-993.25500000000102</v>
      </c>
      <c r="DZ453" s="399">
        <v>2981.0893399999986</v>
      </c>
      <c r="EA453" s="399">
        <v>0</v>
      </c>
      <c r="EB453" s="399">
        <v>0</v>
      </c>
      <c r="EC453" s="399">
        <v>0</v>
      </c>
      <c r="ED453" s="399">
        <v>0</v>
      </c>
      <c r="EE453" s="399">
        <v>0</v>
      </c>
      <c r="EF453" s="399">
        <v>0</v>
      </c>
      <c r="EG453" s="399">
        <v>0</v>
      </c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>
        <v>0</v>
      </c>
      <c r="EN453" s="399">
        <v>0</v>
      </c>
      <c r="EO453" s="399">
        <v>0</v>
      </c>
      <c r="EP453" s="399">
        <v>1328.3430876687819</v>
      </c>
      <c r="EQ453" s="399">
        <v>0</v>
      </c>
      <c r="ER453" s="399">
        <v>0</v>
      </c>
      <c r="ES453" s="399">
        <v>0</v>
      </c>
      <c r="ET453" s="399">
        <v>0</v>
      </c>
      <c r="EU453" s="399">
        <v>0</v>
      </c>
      <c r="EV453" s="399">
        <v>215</v>
      </c>
      <c r="EW453" s="399">
        <v>0</v>
      </c>
      <c r="EX453" s="399">
        <v>0</v>
      </c>
      <c r="EY453" s="399">
        <v>0</v>
      </c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458</v>
      </c>
      <c r="B454" s="399" t="s">
        <v>956</v>
      </c>
      <c r="C454" s="399" t="s">
        <v>2352</v>
      </c>
      <c r="D454" s="399" t="s">
        <v>533</v>
      </c>
      <c r="E454" s="399" t="s">
        <v>894</v>
      </c>
      <c r="F454" s="399" t="s">
        <v>1239</v>
      </c>
      <c r="G454" s="399" t="s">
        <v>1239</v>
      </c>
      <c r="H454" s="399" t="s">
        <v>1239</v>
      </c>
      <c r="I454" s="399" t="s">
        <v>1239</v>
      </c>
      <c r="J454" s="399" t="s">
        <v>2344</v>
      </c>
      <c r="K454" s="791">
        <v>44713</v>
      </c>
      <c r="L454" s="399">
        <v>887</v>
      </c>
      <c r="M454" s="399">
        <v>851.52</v>
      </c>
      <c r="N454" s="399">
        <v>0</v>
      </c>
      <c r="O454" s="399">
        <v>0</v>
      </c>
      <c r="P454" s="399">
        <v>0</v>
      </c>
      <c r="Q454" s="399">
        <v>0</v>
      </c>
      <c r="R454" s="399">
        <v>12.58</v>
      </c>
      <c r="S454" s="399"/>
      <c r="T454" s="399"/>
      <c r="U454" s="399">
        <v>11158.460000000001</v>
      </c>
      <c r="V454" s="399"/>
      <c r="W454" s="399">
        <v>11158.460000000001</v>
      </c>
      <c r="X454" s="399">
        <v>10280.33</v>
      </c>
      <c r="Y454" s="399">
        <v>0</v>
      </c>
      <c r="Z454" s="399">
        <v>0</v>
      </c>
      <c r="AA454" s="399">
        <v>0</v>
      </c>
      <c r="AB454" s="399">
        <v>0</v>
      </c>
      <c r="AC454" s="399">
        <v>0</v>
      </c>
      <c r="AD454" s="399">
        <v>5878.5387677499784</v>
      </c>
      <c r="AE454" s="399">
        <v>5277.3919055370825</v>
      </c>
      <c r="AF454" s="399"/>
      <c r="AG454" s="399"/>
      <c r="AH454" s="399"/>
      <c r="AI454" s="399">
        <v>0</v>
      </c>
      <c r="AJ454" s="399">
        <v>0</v>
      </c>
      <c r="AK454" s="399">
        <v>0</v>
      </c>
      <c r="AL454" s="399">
        <v>0</v>
      </c>
      <c r="AM454" s="399"/>
      <c r="AN454" s="399">
        <v>0</v>
      </c>
      <c r="AO454" s="399">
        <v>0</v>
      </c>
      <c r="AP454" s="399">
        <v>0</v>
      </c>
      <c r="AQ454" s="399">
        <v>0</v>
      </c>
      <c r="AR454" s="399">
        <v>0</v>
      </c>
      <c r="AS454" s="399"/>
      <c r="AT454" s="399"/>
      <c r="AU454" s="399">
        <v>0</v>
      </c>
      <c r="AV454" s="399">
        <v>0</v>
      </c>
      <c r="AW454" s="399">
        <v>0</v>
      </c>
      <c r="AX454" s="399"/>
      <c r="AY454" s="399"/>
      <c r="AZ454" s="399">
        <v>0</v>
      </c>
      <c r="BA454" s="399"/>
      <c r="BB454" s="399">
        <v>0</v>
      </c>
      <c r="BC454" s="399">
        <v>0</v>
      </c>
      <c r="BD454" s="399">
        <v>0</v>
      </c>
      <c r="BE454" s="399">
        <v>0</v>
      </c>
      <c r="BF454" s="399"/>
      <c r="BG454" s="399">
        <v>0</v>
      </c>
      <c r="BH454" s="399">
        <v>0</v>
      </c>
      <c r="BI454" s="399">
        <v>0</v>
      </c>
      <c r="BJ454" s="399">
        <v>0</v>
      </c>
      <c r="BK454" s="399">
        <v>17968.82</v>
      </c>
      <c r="BL454" s="399">
        <v>11</v>
      </c>
      <c r="BM454" s="399"/>
      <c r="BN454" s="399"/>
      <c r="BO454" s="399"/>
      <c r="BP454" s="399"/>
      <c r="BQ454" s="399"/>
      <c r="BR454" s="399">
        <v>411.2132000000002</v>
      </c>
      <c r="BS454" s="399"/>
      <c r="BT454" s="399"/>
      <c r="BU454" s="399"/>
      <c r="BV454" s="399">
        <v>0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9869.1167999999998</v>
      </c>
      <c r="CJ454" s="399">
        <v>-843.03480000000127</v>
      </c>
      <c r="CK454" s="399"/>
      <c r="CL454" s="399"/>
      <c r="CM454" s="399"/>
      <c r="CN454" s="399"/>
      <c r="CO454" s="399">
        <v>-878.13000000000022</v>
      </c>
      <c r="CP454" s="399">
        <v>0</v>
      </c>
      <c r="CQ454" s="399">
        <v>30</v>
      </c>
      <c r="CR454" s="399">
        <v>264.7260323908813</v>
      </c>
      <c r="CS454" s="399">
        <v>0</v>
      </c>
      <c r="CT454" s="399">
        <v>0</v>
      </c>
      <c r="CU454" s="399">
        <v>0</v>
      </c>
      <c r="CV454" s="399">
        <v>0</v>
      </c>
      <c r="CW454" s="399"/>
      <c r="CX454" s="399"/>
      <c r="CY454" s="399"/>
      <c r="CZ454" s="399">
        <v>264.7260323908813</v>
      </c>
      <c r="DA454" s="399">
        <v>0</v>
      </c>
      <c r="DB454" s="399">
        <v>0</v>
      </c>
      <c r="DC454" s="399"/>
      <c r="DD454" s="399"/>
      <c r="DE454" s="399">
        <v>0</v>
      </c>
      <c r="DF454" s="399">
        <v>0</v>
      </c>
      <c r="DG454" s="399">
        <v>0</v>
      </c>
      <c r="DH454" s="399">
        <v>0</v>
      </c>
      <c r="DI454" s="399">
        <v>0</v>
      </c>
      <c r="DJ454" s="399"/>
      <c r="DK454" s="399">
        <v>0</v>
      </c>
      <c r="DL454" s="399">
        <v>0</v>
      </c>
      <c r="DM454" s="399"/>
      <c r="DN454" s="399">
        <v>0</v>
      </c>
      <c r="DO454" s="399">
        <v>0</v>
      </c>
      <c r="DP454" s="399">
        <v>0</v>
      </c>
      <c r="DQ454" s="399">
        <v>0</v>
      </c>
      <c r="DR454" s="399">
        <v>0</v>
      </c>
      <c r="DS454" s="399"/>
      <c r="DT454" s="399"/>
      <c r="DU454" s="399">
        <v>5277.3919055370825</v>
      </c>
      <c r="DV454" s="399"/>
      <c r="DW454" s="399">
        <v>0</v>
      </c>
      <c r="DX454" s="399">
        <v>0</v>
      </c>
      <c r="DY454" s="399">
        <v>-878.13000000000102</v>
      </c>
      <c r="DZ454" s="399"/>
      <c r="EA454" s="399">
        <v>0</v>
      </c>
      <c r="EB454" s="399"/>
      <c r="EC454" s="399">
        <v>-1140.943655378268</v>
      </c>
      <c r="ED454" s="399"/>
      <c r="EE454" s="399">
        <v>0</v>
      </c>
      <c r="EF454" s="399">
        <v>0</v>
      </c>
      <c r="EG454" s="399"/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/>
      <c r="EN454" s="399"/>
      <c r="EO454" s="399">
        <v>0</v>
      </c>
      <c r="EP454" s="399">
        <v>0</v>
      </c>
      <c r="EQ454" s="399"/>
      <c r="ER454" s="399">
        <v>0</v>
      </c>
      <c r="ES454" s="399"/>
      <c r="ET454" s="399">
        <v>0</v>
      </c>
      <c r="EU454" s="399"/>
      <c r="EV454" s="399">
        <v>215</v>
      </c>
      <c r="EW454" s="399"/>
      <c r="EX454" s="399"/>
      <c r="EY454" s="399"/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459</v>
      </c>
      <c r="B455" s="399" t="s">
        <v>956</v>
      </c>
      <c r="C455" s="399" t="s">
        <v>2343</v>
      </c>
      <c r="D455" s="399" t="s">
        <v>1826</v>
      </c>
      <c r="E455" s="399" t="s">
        <v>2354</v>
      </c>
      <c r="F455" s="399" t="s">
        <v>1239</v>
      </c>
      <c r="G455" s="399" t="s">
        <v>1239</v>
      </c>
      <c r="H455" s="399" t="s">
        <v>1239</v>
      </c>
      <c r="I455" s="399" t="s">
        <v>1239</v>
      </c>
      <c r="J455" s="399" t="s">
        <v>2344</v>
      </c>
      <c r="K455" s="791">
        <v>44713</v>
      </c>
      <c r="L455" s="399">
        <v>0</v>
      </c>
      <c r="M455" s="399">
        <v>0</v>
      </c>
      <c r="N455" s="399">
        <v>40.136000000000003</v>
      </c>
      <c r="O455" s="399">
        <v>40.136000000000003</v>
      </c>
      <c r="P455" s="399">
        <v>40.136000000000003</v>
      </c>
      <c r="Q455" s="399">
        <v>40.136000000000003</v>
      </c>
      <c r="R455" s="399"/>
      <c r="S455" s="399">
        <v>239.69</v>
      </c>
      <c r="T455" s="399">
        <v>171.61</v>
      </c>
      <c r="U455" s="399"/>
      <c r="V455" s="399">
        <v>16507.936800000003</v>
      </c>
      <c r="W455" s="399">
        <v>16507.936800000003</v>
      </c>
      <c r="X455" s="399">
        <v>16447.331440000002</v>
      </c>
      <c r="Y455" s="399">
        <v>0</v>
      </c>
      <c r="Z455" s="399">
        <v>2426.5141652600014</v>
      </c>
      <c r="AA455" s="399">
        <v>0</v>
      </c>
      <c r="AB455" s="399">
        <v>0</v>
      </c>
      <c r="AC455" s="399">
        <v>0</v>
      </c>
      <c r="AD455" s="399">
        <v>2140.6934161815575</v>
      </c>
      <c r="AE455" s="399">
        <v>3556.6406526862725</v>
      </c>
      <c r="AF455" s="399">
        <v>6637.4600030366364</v>
      </c>
      <c r="AG455" s="399">
        <v>250.26228641017289</v>
      </c>
      <c r="AH455" s="399">
        <v>0</v>
      </c>
      <c r="AI455" s="399">
        <v>0</v>
      </c>
      <c r="AJ455" s="399">
        <v>0</v>
      </c>
      <c r="AK455" s="399">
        <v>0</v>
      </c>
      <c r="AL455" s="399">
        <v>375.19577416214906</v>
      </c>
      <c r="AM455" s="399"/>
      <c r="AN455" s="399">
        <v>15.895928880626709</v>
      </c>
      <c r="AO455" s="399">
        <v>0</v>
      </c>
      <c r="AP455" s="399">
        <v>0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642.5738650635567</v>
      </c>
      <c r="BH455" s="399">
        <v>0</v>
      </c>
      <c r="BI455" s="399">
        <v>0</v>
      </c>
      <c r="BJ455" s="399">
        <v>0</v>
      </c>
      <c r="BK455" s="399">
        <v>4948.66</v>
      </c>
      <c r="BL455" s="399">
        <v>44</v>
      </c>
      <c r="BM455" s="399"/>
      <c r="BN455" s="399"/>
      <c r="BO455" s="399"/>
      <c r="BP455" s="399"/>
      <c r="BQ455" s="399"/>
      <c r="BR455" s="399"/>
      <c r="BS455" s="399"/>
      <c r="BT455" s="399"/>
      <c r="BU455" s="399"/>
      <c r="BV455" s="399">
        <v>7280.0338681001931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16448.970600000001</v>
      </c>
      <c r="CJ455" s="399">
        <v>-58.996199999997771</v>
      </c>
      <c r="CK455" s="399"/>
      <c r="CL455" s="399"/>
      <c r="CM455" s="399"/>
      <c r="CN455" s="399"/>
      <c r="CO455" s="399">
        <v>-964.06672000000049</v>
      </c>
      <c r="CP455" s="399">
        <v>903.46135999999967</v>
      </c>
      <c r="CQ455" s="399">
        <v>30</v>
      </c>
      <c r="CR455" s="399">
        <v>708.54662025903781</v>
      </c>
      <c r="CS455" s="399">
        <v>0</v>
      </c>
      <c r="CT455" s="399">
        <v>0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96.40104403835312</v>
      </c>
      <c r="DA455" s="399">
        <v>0</v>
      </c>
      <c r="DB455" s="399">
        <v>0</v>
      </c>
      <c r="DC455" s="399">
        <v>903.67595316230017</v>
      </c>
      <c r="DD455" s="399">
        <v>0</v>
      </c>
      <c r="DE455" s="399">
        <v>0</v>
      </c>
      <c r="DF455" s="399">
        <v>0</v>
      </c>
      <c r="DG455" s="399">
        <v>87.485054482110627</v>
      </c>
      <c r="DH455" s="399">
        <v>0</v>
      </c>
      <c r="DI455" s="399">
        <v>-333.28840206233599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-43.238915950137823</v>
      </c>
      <c r="DP455" s="399">
        <v>-2.4881134112499783</v>
      </c>
      <c r="DQ455" s="399">
        <v>0</v>
      </c>
      <c r="DR455" s="399">
        <v>0</v>
      </c>
      <c r="DS455" s="399"/>
      <c r="DT455" s="399"/>
      <c r="DU455" s="399"/>
      <c r="DV455" s="399">
        <v>3556.6406526862725</v>
      </c>
      <c r="DW455" s="399">
        <v>0</v>
      </c>
      <c r="DX455" s="399">
        <v>0</v>
      </c>
      <c r="DY455" s="399">
        <v>-964.06672000000071</v>
      </c>
      <c r="DZ455" s="399">
        <v>903.46136000000024</v>
      </c>
      <c r="EA455" s="399">
        <v>0</v>
      </c>
      <c r="EB455" s="399">
        <v>0</v>
      </c>
      <c r="EC455" s="399">
        <v>-768.92651896578218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462.72780739427435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215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460</v>
      </c>
      <c r="B456" s="399" t="s">
        <v>956</v>
      </c>
      <c r="C456" s="399" t="s">
        <v>2352</v>
      </c>
      <c r="D456" s="399" t="s">
        <v>533</v>
      </c>
      <c r="E456" s="399" t="s">
        <v>2354</v>
      </c>
      <c r="F456" s="399" t="s">
        <v>1239</v>
      </c>
      <c r="G456" s="399" t="s">
        <v>1239</v>
      </c>
      <c r="H456" s="399" t="s">
        <v>1239</v>
      </c>
      <c r="I456" s="399" t="s">
        <v>893</v>
      </c>
      <c r="J456" s="399" t="s">
        <v>2344</v>
      </c>
      <c r="K456" s="791">
        <v>44713</v>
      </c>
      <c r="L456" s="399">
        <v>0</v>
      </c>
      <c r="M456" s="399">
        <v>0</v>
      </c>
      <c r="N456" s="399">
        <v>0.85399999999999998</v>
      </c>
      <c r="O456" s="399">
        <v>0.85399999999999998</v>
      </c>
      <c r="P456" s="399">
        <v>0.85399999999999998</v>
      </c>
      <c r="Q456" s="399">
        <v>0.85399999999999998</v>
      </c>
      <c r="R456" s="399"/>
      <c r="S456" s="399">
        <v>984.21</v>
      </c>
      <c r="T456" s="399">
        <v>171.61</v>
      </c>
      <c r="U456" s="399"/>
      <c r="V456" s="399">
        <v>987.07028000000003</v>
      </c>
      <c r="W456" s="399">
        <v>987.07028000000003</v>
      </c>
      <c r="X456" s="399">
        <v>920.48389999999995</v>
      </c>
      <c r="Y456" s="399">
        <v>0</v>
      </c>
      <c r="Z456" s="399">
        <v>44.918564244191629</v>
      </c>
      <c r="AA456" s="399">
        <v>0</v>
      </c>
      <c r="AB456" s="399">
        <v>0</v>
      </c>
      <c r="AC456" s="399">
        <v>0</v>
      </c>
      <c r="AD456" s="399">
        <v>336.22720025146936</v>
      </c>
      <c r="AE456" s="399">
        <v>437.31813117009688</v>
      </c>
      <c r="AF456" s="399">
        <v>141.22959045727742</v>
      </c>
      <c r="AG456" s="399">
        <v>5.3249948324269392</v>
      </c>
      <c r="AH456" s="399">
        <v>0</v>
      </c>
      <c r="AI456" s="399">
        <v>0</v>
      </c>
      <c r="AJ456" s="399">
        <v>0</v>
      </c>
      <c r="AK456" s="399">
        <v>0</v>
      </c>
      <c r="AL456" s="399">
        <v>7.983286603908593</v>
      </c>
      <c r="AM456" s="399"/>
      <c r="AN456" s="399">
        <v>0.22550764553696884</v>
      </c>
      <c r="AO456" s="399">
        <v>0</v>
      </c>
      <c r="AP456" s="399">
        <v>0</v>
      </c>
      <c r="AQ456" s="399">
        <v>0</v>
      </c>
      <c r="AR456" s="399">
        <v>0</v>
      </c>
      <c r="AS456" s="399">
        <v>0</v>
      </c>
      <c r="AT456" s="399">
        <v>0</v>
      </c>
      <c r="AU456" s="399">
        <v>0</v>
      </c>
      <c r="AV456" s="399">
        <v>0</v>
      </c>
      <c r="AW456" s="399">
        <v>0</v>
      </c>
      <c r="AX456" s="399">
        <v>0</v>
      </c>
      <c r="AY456" s="399">
        <v>0</v>
      </c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>
        <v>0</v>
      </c>
      <c r="BG456" s="399">
        <v>5.2788206054093543</v>
      </c>
      <c r="BH456" s="399">
        <v>0</v>
      </c>
      <c r="BI456" s="399">
        <v>0</v>
      </c>
      <c r="BJ456" s="399">
        <v>0</v>
      </c>
      <c r="BK456" s="399">
        <v>0</v>
      </c>
      <c r="BL456" s="399">
        <v>0</v>
      </c>
      <c r="BM456" s="399"/>
      <c r="BN456" s="399"/>
      <c r="BO456" s="399"/>
      <c r="BP456" s="399"/>
      <c r="BQ456" s="399"/>
      <c r="BR456" s="399"/>
      <c r="BS456" s="399"/>
      <c r="BT456" s="399"/>
      <c r="BU456" s="399"/>
      <c r="BV456" s="399">
        <v>146.50841106268678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916.1724999999999</v>
      </c>
      <c r="CJ456" s="399">
        <v>-70.927780000000098</v>
      </c>
      <c r="CK456" s="399"/>
      <c r="CL456" s="399"/>
      <c r="CM456" s="399"/>
      <c r="CN456" s="399"/>
      <c r="CO456" s="399">
        <v>-85.80992000000002</v>
      </c>
      <c r="CP456" s="399">
        <v>19.223539999999993</v>
      </c>
      <c r="CQ456" s="399">
        <v>30</v>
      </c>
      <c r="CR456" s="399">
        <v>27.962990713674344</v>
      </c>
      <c r="CS456" s="399">
        <v>0</v>
      </c>
      <c r="CT456" s="399">
        <v>0</v>
      </c>
      <c r="CU456" s="399">
        <v>0</v>
      </c>
      <c r="CV456" s="399">
        <v>0</v>
      </c>
      <c r="CW456" s="399">
        <v>0</v>
      </c>
      <c r="CX456" s="399">
        <v>0</v>
      </c>
      <c r="CY456" s="399">
        <v>0</v>
      </c>
      <c r="CZ456" s="399">
        <v>15.141193453171297</v>
      </c>
      <c r="DA456" s="399">
        <v>0</v>
      </c>
      <c r="DB456" s="399">
        <v>0</v>
      </c>
      <c r="DC456" s="399">
        <v>19.228106039480878</v>
      </c>
      <c r="DD456" s="399">
        <v>0</v>
      </c>
      <c r="DE456" s="399">
        <v>0</v>
      </c>
      <c r="DF456" s="399">
        <v>0</v>
      </c>
      <c r="DG456" s="399">
        <v>0.71870011118463051</v>
      </c>
      <c r="DH456" s="399">
        <v>0</v>
      </c>
      <c r="DI456" s="399">
        <v>-6.1696884832636982</v>
      </c>
      <c r="DJ456" s="399"/>
      <c r="DK456" s="399">
        <v>0</v>
      </c>
      <c r="DL456" s="399">
        <v>0</v>
      </c>
      <c r="DM456" s="399">
        <v>0</v>
      </c>
      <c r="DN456" s="399">
        <v>0</v>
      </c>
      <c r="DO456" s="399">
        <v>-0.92002277808993771</v>
      </c>
      <c r="DP456" s="399">
        <v>-3.5297628808831333E-2</v>
      </c>
      <c r="DQ456" s="399">
        <v>0</v>
      </c>
      <c r="DR456" s="399">
        <v>0</v>
      </c>
      <c r="DS456" s="399"/>
      <c r="DT456" s="399"/>
      <c r="DU456" s="399"/>
      <c r="DV456" s="399">
        <v>437.31813117009688</v>
      </c>
      <c r="DW456" s="399">
        <v>0</v>
      </c>
      <c r="DX456" s="399">
        <v>0</v>
      </c>
      <c r="DY456" s="399">
        <v>-85.809920000000034</v>
      </c>
      <c r="DZ456" s="399">
        <v>19.223539999999986</v>
      </c>
      <c r="EA456" s="399">
        <v>0</v>
      </c>
      <c r="EB456" s="399">
        <v>0</v>
      </c>
      <c r="EC456" s="399">
        <v>-94.545820373297374</v>
      </c>
      <c r="ED456" s="399">
        <v>0</v>
      </c>
      <c r="EE456" s="399">
        <v>0</v>
      </c>
      <c r="EF456" s="399">
        <v>0</v>
      </c>
      <c r="EG456" s="399">
        <v>0</v>
      </c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>
        <v>0</v>
      </c>
      <c r="EN456" s="399">
        <v>0</v>
      </c>
      <c r="EO456" s="399">
        <v>0</v>
      </c>
      <c r="EP456" s="399">
        <v>8.565813891214793</v>
      </c>
      <c r="EQ456" s="399">
        <v>0</v>
      </c>
      <c r="ER456" s="399">
        <v>0</v>
      </c>
      <c r="ES456" s="399">
        <v>0</v>
      </c>
      <c r="ET456" s="399">
        <v>0</v>
      </c>
      <c r="EU456" s="399">
        <v>0</v>
      </c>
      <c r="EV456" s="399">
        <v>215</v>
      </c>
      <c r="EW456" s="399">
        <v>0</v>
      </c>
      <c r="EX456" s="399">
        <v>0</v>
      </c>
      <c r="EY456" s="399">
        <v>0</v>
      </c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461</v>
      </c>
      <c r="B457" s="399" t="s">
        <v>956</v>
      </c>
      <c r="C457" s="399" t="s">
        <v>2352</v>
      </c>
      <c r="D457" s="399" t="s">
        <v>533</v>
      </c>
      <c r="E457" s="399" t="s">
        <v>2354</v>
      </c>
      <c r="F457" s="399" t="s">
        <v>1239</v>
      </c>
      <c r="G457" s="399" t="s">
        <v>1239</v>
      </c>
      <c r="H457" s="399" t="s">
        <v>1239</v>
      </c>
      <c r="I457" s="399" t="s">
        <v>2326</v>
      </c>
      <c r="J457" s="399" t="s">
        <v>2344</v>
      </c>
      <c r="K457" s="791">
        <v>44713</v>
      </c>
      <c r="L457" s="399">
        <v>0</v>
      </c>
      <c r="M457" s="399">
        <v>0</v>
      </c>
      <c r="N457" s="399">
        <v>6.181</v>
      </c>
      <c r="O457" s="399">
        <v>6.181</v>
      </c>
      <c r="P457" s="399">
        <v>6.181</v>
      </c>
      <c r="Q457" s="399">
        <v>6.181</v>
      </c>
      <c r="R457" s="399"/>
      <c r="S457" s="399">
        <v>78.42</v>
      </c>
      <c r="T457" s="399">
        <v>171.61</v>
      </c>
      <c r="U457" s="399"/>
      <c r="V457" s="399">
        <v>1545.43543</v>
      </c>
      <c r="W457" s="399">
        <v>1545.43543</v>
      </c>
      <c r="X457" s="399">
        <v>1638.2122400000001</v>
      </c>
      <c r="Y457" s="399">
        <v>0</v>
      </c>
      <c r="Z457" s="399">
        <v>325.10731334115746</v>
      </c>
      <c r="AA457" s="399">
        <v>0</v>
      </c>
      <c r="AB457" s="399">
        <v>0</v>
      </c>
      <c r="AC457" s="399">
        <v>0</v>
      </c>
      <c r="AD457" s="399">
        <v>0</v>
      </c>
      <c r="AE457" s="399">
        <v>0</v>
      </c>
      <c r="AF457" s="399">
        <v>1022.1781014243932</v>
      </c>
      <c r="AG457" s="399">
        <v>38.540741287155633</v>
      </c>
      <c r="AH457" s="399">
        <v>0</v>
      </c>
      <c r="AI457" s="399">
        <v>0</v>
      </c>
      <c r="AJ457" s="399">
        <v>0</v>
      </c>
      <c r="AK457" s="399">
        <v>0</v>
      </c>
      <c r="AL457" s="399">
        <v>57.780672715174489</v>
      </c>
      <c r="AM457" s="399"/>
      <c r="AN457" s="399">
        <v>1.6321577951569137</v>
      </c>
      <c r="AO457" s="399">
        <v>0</v>
      </c>
      <c r="AP457" s="399">
        <v>0</v>
      </c>
      <c r="AQ457" s="399">
        <v>0</v>
      </c>
      <c r="AR457" s="399">
        <v>0</v>
      </c>
      <c r="AS457" s="399">
        <v>0</v>
      </c>
      <c r="AT457" s="399">
        <v>0</v>
      </c>
      <c r="AU457" s="399">
        <v>0</v>
      </c>
      <c r="AV457" s="399">
        <v>0</v>
      </c>
      <c r="AW457" s="399">
        <v>0</v>
      </c>
      <c r="AX457" s="399">
        <v>0</v>
      </c>
      <c r="AY457" s="399">
        <v>0</v>
      </c>
      <c r="AZ457" s="399">
        <v>0</v>
      </c>
      <c r="BA457" s="399"/>
      <c r="BB457" s="399">
        <v>0</v>
      </c>
      <c r="BC457" s="399">
        <v>0</v>
      </c>
      <c r="BD457" s="399">
        <v>0</v>
      </c>
      <c r="BE457" s="399">
        <v>0</v>
      </c>
      <c r="BF457" s="399">
        <v>0</v>
      </c>
      <c r="BG457" s="399">
        <v>38.206545857184103</v>
      </c>
      <c r="BH457" s="399">
        <v>0</v>
      </c>
      <c r="BI457" s="399">
        <v>0</v>
      </c>
      <c r="BJ457" s="399">
        <v>0</v>
      </c>
      <c r="BK457" s="399">
        <v>0</v>
      </c>
      <c r="BL457" s="399">
        <v>0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>
        <v>1060.3846472815774</v>
      </c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>
        <v>1637.9471999999998</v>
      </c>
      <c r="CJ457" s="399">
        <v>92.481769999999869</v>
      </c>
      <c r="CK457" s="399"/>
      <c r="CL457" s="399"/>
      <c r="CM457" s="399"/>
      <c r="CN457" s="399"/>
      <c r="CO457" s="399">
        <v>-46.357500000000002</v>
      </c>
      <c r="CP457" s="399">
        <v>139.13430999999994</v>
      </c>
      <c r="CQ457" s="399">
        <v>30</v>
      </c>
      <c r="CR457" s="399">
        <v>92.80038509036217</v>
      </c>
      <c r="CS457" s="399">
        <v>0</v>
      </c>
      <c r="CT457" s="399">
        <v>0</v>
      </c>
      <c r="CU457" s="399">
        <v>0</v>
      </c>
      <c r="CV457" s="399">
        <v>0</v>
      </c>
      <c r="CW457" s="399">
        <v>0</v>
      </c>
      <c r="CX457" s="399">
        <v>0</v>
      </c>
      <c r="CY457" s="399">
        <v>0</v>
      </c>
      <c r="CZ457" s="399">
        <v>0</v>
      </c>
      <c r="DA457" s="399">
        <v>0</v>
      </c>
      <c r="DB457" s="399">
        <v>0</v>
      </c>
      <c r="DC457" s="399">
        <v>139.1673576464068</v>
      </c>
      <c r="DD457" s="399">
        <v>0</v>
      </c>
      <c r="DE457" s="399">
        <v>0</v>
      </c>
      <c r="DF457" s="399">
        <v>0</v>
      </c>
      <c r="DG457" s="399">
        <v>5.2017393293117067</v>
      </c>
      <c r="DH457" s="399">
        <v>0</v>
      </c>
      <c r="DI457" s="399">
        <v>-44.654384678047961</v>
      </c>
      <c r="DJ457" s="399"/>
      <c r="DK457" s="399">
        <v>0</v>
      </c>
      <c r="DL457" s="399">
        <v>0</v>
      </c>
      <c r="DM457" s="399">
        <v>0</v>
      </c>
      <c r="DN457" s="399">
        <v>0</v>
      </c>
      <c r="DO457" s="399">
        <v>-6.6588533856837273</v>
      </c>
      <c r="DP457" s="399">
        <v>-0.25547382162457422</v>
      </c>
      <c r="DQ457" s="399">
        <v>0</v>
      </c>
      <c r="DR457" s="399">
        <v>0</v>
      </c>
      <c r="DS457" s="399"/>
      <c r="DT457" s="399"/>
      <c r="DU457" s="399"/>
      <c r="DV457" s="399">
        <v>0</v>
      </c>
      <c r="DW457" s="399">
        <v>0</v>
      </c>
      <c r="DX457" s="399">
        <v>0</v>
      </c>
      <c r="DY457" s="399">
        <v>-46.357500000000016</v>
      </c>
      <c r="DZ457" s="399">
        <v>139.13430999999991</v>
      </c>
      <c r="EA457" s="399">
        <v>0</v>
      </c>
      <c r="EB457" s="399">
        <v>0</v>
      </c>
      <c r="EC457" s="399">
        <v>0</v>
      </c>
      <c r="ED457" s="399">
        <v>0</v>
      </c>
      <c r="EE457" s="399">
        <v>0</v>
      </c>
      <c r="EF457" s="399">
        <v>0</v>
      </c>
      <c r="EG457" s="399">
        <v>0</v>
      </c>
      <c r="EH457" s="399">
        <v>0</v>
      </c>
      <c r="EI457" s="399">
        <v>0</v>
      </c>
      <c r="EJ457" s="399">
        <v>0</v>
      </c>
      <c r="EK457" s="399">
        <v>0</v>
      </c>
      <c r="EL457" s="399">
        <v>0</v>
      </c>
      <c r="EM457" s="399">
        <v>0</v>
      </c>
      <c r="EN457" s="399">
        <v>0</v>
      </c>
      <c r="EO457" s="399">
        <v>0</v>
      </c>
      <c r="EP457" s="399">
        <v>61.996833327398868</v>
      </c>
      <c r="EQ457" s="399">
        <v>0</v>
      </c>
      <c r="ER457" s="399">
        <v>0</v>
      </c>
      <c r="ES457" s="399">
        <v>0</v>
      </c>
      <c r="ET457" s="399">
        <v>0</v>
      </c>
      <c r="EU457" s="399">
        <v>0</v>
      </c>
      <c r="EV457" s="399">
        <v>215</v>
      </c>
      <c r="EW457" s="399">
        <v>0</v>
      </c>
      <c r="EX457" s="399">
        <v>0</v>
      </c>
      <c r="EY457" s="399">
        <v>0</v>
      </c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462</v>
      </c>
      <c r="B458" s="399" t="s">
        <v>956</v>
      </c>
      <c r="C458" s="399" t="s">
        <v>2352</v>
      </c>
      <c r="D458" s="399" t="s">
        <v>533</v>
      </c>
      <c r="E458" s="399" t="s">
        <v>2354</v>
      </c>
      <c r="F458" s="399" t="s">
        <v>1239</v>
      </c>
      <c r="G458" s="399" t="s">
        <v>1239</v>
      </c>
      <c r="H458" s="399" t="s">
        <v>1239</v>
      </c>
      <c r="I458" s="399" t="s">
        <v>1239</v>
      </c>
      <c r="J458" s="399" t="s">
        <v>2344</v>
      </c>
      <c r="K458" s="791">
        <v>44713</v>
      </c>
      <c r="L458" s="399">
        <v>155</v>
      </c>
      <c r="M458" s="399">
        <v>155</v>
      </c>
      <c r="N458" s="399">
        <v>0</v>
      </c>
      <c r="O458" s="399">
        <v>0</v>
      </c>
      <c r="P458" s="399">
        <v>0</v>
      </c>
      <c r="Q458" s="399">
        <v>0</v>
      </c>
      <c r="R458" s="399">
        <v>12.58</v>
      </c>
      <c r="S458" s="399"/>
      <c r="T458" s="399"/>
      <c r="U458" s="399">
        <v>1949.9</v>
      </c>
      <c r="V458" s="399"/>
      <c r="W458" s="399">
        <v>1949.9</v>
      </c>
      <c r="X458" s="399">
        <v>1796.45</v>
      </c>
      <c r="Y458" s="399">
        <v>0</v>
      </c>
      <c r="Z458" s="399">
        <v>0</v>
      </c>
      <c r="AA458" s="399">
        <v>0</v>
      </c>
      <c r="AB458" s="399">
        <v>0</v>
      </c>
      <c r="AC458" s="399">
        <v>0</v>
      </c>
      <c r="AD458" s="399">
        <v>1027.2531104861855</v>
      </c>
      <c r="AE458" s="399">
        <v>922.20489893827255</v>
      </c>
      <c r="AF458" s="399"/>
      <c r="AG458" s="399"/>
      <c r="AH458" s="399"/>
      <c r="AI458" s="399">
        <v>0</v>
      </c>
      <c r="AJ458" s="399">
        <v>0</v>
      </c>
      <c r="AK458" s="399">
        <v>0</v>
      </c>
      <c r="AL458" s="399">
        <v>0</v>
      </c>
      <c r="AM458" s="399"/>
      <c r="AN458" s="399">
        <v>0</v>
      </c>
      <c r="AO458" s="399">
        <v>0</v>
      </c>
      <c r="AP458" s="399">
        <v>0</v>
      </c>
      <c r="AQ458" s="399">
        <v>0</v>
      </c>
      <c r="AR458" s="399">
        <v>0</v>
      </c>
      <c r="AS458" s="399"/>
      <c r="AT458" s="399"/>
      <c r="AU458" s="399">
        <v>0</v>
      </c>
      <c r="AV458" s="399">
        <v>0</v>
      </c>
      <c r="AW458" s="399">
        <v>0</v>
      </c>
      <c r="AX458" s="399"/>
      <c r="AY458" s="399"/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/>
      <c r="BG458" s="399">
        <v>0</v>
      </c>
      <c r="BH458" s="399">
        <v>0</v>
      </c>
      <c r="BI458" s="399">
        <v>0</v>
      </c>
      <c r="BJ458" s="399">
        <v>0</v>
      </c>
      <c r="BK458" s="399">
        <v>425.1</v>
      </c>
      <c r="BL458" s="399">
        <v>3</v>
      </c>
      <c r="BM458" s="399"/>
      <c r="BN458" s="399"/>
      <c r="BO458" s="399"/>
      <c r="BP458" s="399"/>
      <c r="BQ458" s="399"/>
      <c r="BR458" s="399"/>
      <c r="BS458" s="399"/>
      <c r="BT458" s="399"/>
      <c r="BU458" s="399"/>
      <c r="BV458" s="399">
        <v>0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1796.45</v>
      </c>
      <c r="CJ458" s="399">
        <v>-153.48000000000002</v>
      </c>
      <c r="CK458" s="399"/>
      <c r="CL458" s="399"/>
      <c r="CM458" s="399"/>
      <c r="CN458" s="399"/>
      <c r="CO458" s="399">
        <v>-153.45000000000005</v>
      </c>
      <c r="CP458" s="399">
        <v>0</v>
      </c>
      <c r="CQ458" s="399">
        <v>30</v>
      </c>
      <c r="CR458" s="399">
        <v>46.259904194573437</v>
      </c>
      <c r="CS458" s="399">
        <v>0</v>
      </c>
      <c r="CT458" s="399">
        <v>0</v>
      </c>
      <c r="CU458" s="399">
        <v>0</v>
      </c>
      <c r="CV458" s="399">
        <v>0</v>
      </c>
      <c r="CW458" s="399"/>
      <c r="CX458" s="399"/>
      <c r="CY458" s="399"/>
      <c r="CZ458" s="399">
        <v>46.259904194573437</v>
      </c>
      <c r="DA458" s="399">
        <v>0</v>
      </c>
      <c r="DB458" s="399">
        <v>0</v>
      </c>
      <c r="DC458" s="399"/>
      <c r="DD458" s="399"/>
      <c r="DE458" s="399">
        <v>0</v>
      </c>
      <c r="DF458" s="399">
        <v>0</v>
      </c>
      <c r="DG458" s="399">
        <v>0</v>
      </c>
      <c r="DH458" s="399">
        <v>0</v>
      </c>
      <c r="DI458" s="399">
        <v>0</v>
      </c>
      <c r="DJ458" s="399"/>
      <c r="DK458" s="399">
        <v>0</v>
      </c>
      <c r="DL458" s="399">
        <v>0</v>
      </c>
      <c r="DM458" s="399"/>
      <c r="DN458" s="399">
        <v>0</v>
      </c>
      <c r="DO458" s="399">
        <v>0</v>
      </c>
      <c r="DP458" s="399">
        <v>0</v>
      </c>
      <c r="DQ458" s="399">
        <v>0</v>
      </c>
      <c r="DR458" s="399">
        <v>0</v>
      </c>
      <c r="DS458" s="399"/>
      <c r="DT458" s="399"/>
      <c r="DU458" s="399">
        <v>922.20489893827255</v>
      </c>
      <c r="DV458" s="399"/>
      <c r="DW458" s="399">
        <v>0</v>
      </c>
      <c r="DX458" s="399">
        <v>0</v>
      </c>
      <c r="DY458" s="399">
        <v>-153.45000000000005</v>
      </c>
      <c r="DZ458" s="399"/>
      <c r="EA458" s="399">
        <v>0</v>
      </c>
      <c r="EB458" s="399"/>
      <c r="EC458" s="399">
        <v>-199.37572331863748</v>
      </c>
      <c r="ED458" s="399"/>
      <c r="EE458" s="399">
        <v>0</v>
      </c>
      <c r="EF458" s="399">
        <v>0</v>
      </c>
      <c r="EG458" s="399"/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/>
      <c r="EN458" s="399"/>
      <c r="EO458" s="399">
        <v>0</v>
      </c>
      <c r="EP458" s="399">
        <v>0</v>
      </c>
      <c r="EQ458" s="399"/>
      <c r="ER458" s="399">
        <v>0</v>
      </c>
      <c r="ES458" s="399"/>
      <c r="ET458" s="399">
        <v>0</v>
      </c>
      <c r="EU458" s="399"/>
      <c r="EV458" s="399">
        <v>215</v>
      </c>
      <c r="EW458" s="399"/>
      <c r="EX458" s="399"/>
      <c r="EY458" s="399"/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463</v>
      </c>
      <c r="B459" s="399" t="s">
        <v>956</v>
      </c>
      <c r="C459" s="399" t="s">
        <v>2343</v>
      </c>
      <c r="D459" s="399" t="s">
        <v>2355</v>
      </c>
      <c r="E459" s="399" t="s">
        <v>2356</v>
      </c>
      <c r="F459" s="399" t="s">
        <v>2357</v>
      </c>
      <c r="G459" s="399" t="s">
        <v>1239</v>
      </c>
      <c r="H459" s="399" t="s">
        <v>1239</v>
      </c>
      <c r="I459" s="399" t="s">
        <v>1239</v>
      </c>
      <c r="J459" s="399" t="s">
        <v>2344</v>
      </c>
      <c r="K459" s="791">
        <v>44713</v>
      </c>
      <c r="L459" s="399">
        <v>0</v>
      </c>
      <c r="M459" s="399">
        <v>0</v>
      </c>
      <c r="N459" s="399">
        <v>101.89100000000001</v>
      </c>
      <c r="O459" s="399">
        <v>101.89100000000001</v>
      </c>
      <c r="P459" s="399">
        <v>101.89100000000001</v>
      </c>
      <c r="Q459" s="399">
        <v>101.89100000000001</v>
      </c>
      <c r="R459" s="399"/>
      <c r="S459" s="399">
        <v>131.83000000000001</v>
      </c>
      <c r="T459" s="399">
        <v>94.39</v>
      </c>
      <c r="U459" s="399"/>
      <c r="V459" s="399">
        <v>23049.782020000002</v>
      </c>
      <c r="W459" s="399">
        <v>23049.782020000002</v>
      </c>
      <c r="X459" s="399">
        <v>22965.212490000002</v>
      </c>
      <c r="Y459" s="399">
        <v>0</v>
      </c>
      <c r="Z459" s="399">
        <v>3388.0300764121721</v>
      </c>
      <c r="AA459" s="399">
        <v>0</v>
      </c>
      <c r="AB459" s="399">
        <v>0</v>
      </c>
      <c r="AC459" s="399">
        <v>0</v>
      </c>
      <c r="AD459" s="399">
        <v>2988.9517161023841</v>
      </c>
      <c r="AE459" s="399">
        <v>4965.973689669403</v>
      </c>
      <c r="AF459" s="399">
        <v>9267.5799891163442</v>
      </c>
      <c r="AG459" s="399">
        <v>349.42971505731555</v>
      </c>
      <c r="AH459" s="399">
        <v>0</v>
      </c>
      <c r="AI459" s="399">
        <v>0</v>
      </c>
      <c r="AJ459" s="399">
        <v>0</v>
      </c>
      <c r="AK459" s="399">
        <v>0</v>
      </c>
      <c r="AL459" s="399">
        <v>523.86859537162479</v>
      </c>
      <c r="AM459" s="399"/>
      <c r="AN459" s="399">
        <v>22.194754067838485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897.19632068105716</v>
      </c>
      <c r="BH459" s="399">
        <v>0</v>
      </c>
      <c r="BI459" s="399">
        <v>0</v>
      </c>
      <c r="BJ459" s="399">
        <v>0</v>
      </c>
      <c r="BK459" s="399">
        <v>7655.03</v>
      </c>
      <c r="BL459" s="399">
        <v>7</v>
      </c>
      <c r="BM459" s="399"/>
      <c r="BN459" s="399"/>
      <c r="BO459" s="399"/>
      <c r="BP459" s="399"/>
      <c r="BQ459" s="399"/>
      <c r="BR459" s="399"/>
      <c r="BS459" s="399"/>
      <c r="BT459" s="399"/>
      <c r="BU459" s="399"/>
      <c r="BV459" s="399">
        <v>10164.776309797402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22964.987099999998</v>
      </c>
      <c r="CJ459" s="399">
        <v>-84.824920000002749</v>
      </c>
      <c r="CK459" s="399"/>
      <c r="CL459" s="399"/>
      <c r="CM459" s="399"/>
      <c r="CN459" s="399"/>
      <c r="CO459" s="399">
        <v>-1345.9801100000009</v>
      </c>
      <c r="CP459" s="399">
        <v>1261.4105799999995</v>
      </c>
      <c r="CQ459" s="399">
        <v>30</v>
      </c>
      <c r="CR459" s="399">
        <v>989.31104311960007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134.60034203611212</v>
      </c>
      <c r="DA459" s="399">
        <v>0</v>
      </c>
      <c r="DB459" s="399">
        <v>0</v>
      </c>
      <c r="DC459" s="399">
        <v>1261.7611520583378</v>
      </c>
      <c r="DD459" s="399">
        <v>0</v>
      </c>
      <c r="DE459" s="399">
        <v>0</v>
      </c>
      <c r="DF459" s="399">
        <v>0</v>
      </c>
      <c r="DG459" s="399">
        <v>122.15135607510172</v>
      </c>
      <c r="DH459" s="399">
        <v>0</v>
      </c>
      <c r="DI459" s="399">
        <v>-465.35526001578228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-60.37250876498706</v>
      </c>
      <c r="DP459" s="399">
        <v>-3.4740382691877301</v>
      </c>
      <c r="DQ459" s="399">
        <v>0</v>
      </c>
      <c r="DR459" s="399">
        <v>0</v>
      </c>
      <c r="DS459" s="399"/>
      <c r="DT459" s="399"/>
      <c r="DU459" s="399"/>
      <c r="DV459" s="399">
        <v>4965.973689669403</v>
      </c>
      <c r="DW459" s="399">
        <v>0</v>
      </c>
      <c r="DX459" s="399">
        <v>0</v>
      </c>
      <c r="DY459" s="399">
        <v>-1345.9801100000004</v>
      </c>
      <c r="DZ459" s="399">
        <v>1261.4105799999998</v>
      </c>
      <c r="EA459" s="399">
        <v>0</v>
      </c>
      <c r="EB459" s="399">
        <v>0</v>
      </c>
      <c r="EC459" s="399">
        <v>-1073.6167173900762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646.08554571370905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215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464</v>
      </c>
      <c r="B460" s="399" t="s">
        <v>956</v>
      </c>
      <c r="C460" s="399" t="s">
        <v>2343</v>
      </c>
      <c r="D460" s="399" t="s">
        <v>1826</v>
      </c>
      <c r="E460" s="399" t="s">
        <v>921</v>
      </c>
      <c r="F460" s="399" t="s">
        <v>2358</v>
      </c>
      <c r="G460" s="399" t="s">
        <v>1239</v>
      </c>
      <c r="H460" s="399" t="s">
        <v>1239</v>
      </c>
      <c r="I460" s="399" t="s">
        <v>1239</v>
      </c>
      <c r="J460" s="399" t="s">
        <v>2344</v>
      </c>
      <c r="K460" s="791">
        <v>44713</v>
      </c>
      <c r="L460" s="399">
        <v>0</v>
      </c>
      <c r="M460" s="399">
        <v>0</v>
      </c>
      <c r="N460" s="399">
        <v>37.112000000000002</v>
      </c>
      <c r="O460" s="399">
        <v>34.885280000000002</v>
      </c>
      <c r="P460" s="399">
        <v>37.112000000000002</v>
      </c>
      <c r="Q460" s="399">
        <v>34.885280000000002</v>
      </c>
      <c r="R460" s="399"/>
      <c r="S460" s="399">
        <v>239.69</v>
      </c>
      <c r="T460" s="399">
        <v>171.61</v>
      </c>
      <c r="U460" s="399"/>
      <c r="V460" s="399">
        <v>15264.1656</v>
      </c>
      <c r="W460" s="399">
        <v>15264.1656</v>
      </c>
      <c r="X460" s="399">
        <v>15208.126479999999</v>
      </c>
      <c r="Y460" s="399">
        <v>0</v>
      </c>
      <c r="Z460" s="399">
        <v>2243.6912921349704</v>
      </c>
      <c r="AA460" s="399">
        <v>0</v>
      </c>
      <c r="AB460" s="399">
        <v>0</v>
      </c>
      <c r="AC460" s="399">
        <v>0</v>
      </c>
      <c r="AD460" s="399">
        <v>1979.4053732641507</v>
      </c>
      <c r="AE460" s="399">
        <v>3288.6697205125806</v>
      </c>
      <c r="AF460" s="399">
        <v>6137.3683384666047</v>
      </c>
      <c r="AG460" s="399">
        <v>231.40656700354634</v>
      </c>
      <c r="AH460" s="399">
        <v>0</v>
      </c>
      <c r="AI460" s="399">
        <v>0</v>
      </c>
      <c r="AJ460" s="399">
        <v>0</v>
      </c>
      <c r="AK460" s="399">
        <v>0</v>
      </c>
      <c r="AL460" s="399">
        <v>346.92708717125964</v>
      </c>
      <c r="AM460" s="399"/>
      <c r="AN460" s="399">
        <v>14.698268701859138</v>
      </c>
      <c r="AO460" s="399">
        <v>0</v>
      </c>
      <c r="AP460" s="399">
        <v>0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594.15988838545729</v>
      </c>
      <c r="BH460" s="399">
        <v>0</v>
      </c>
      <c r="BI460" s="399">
        <v>0</v>
      </c>
      <c r="BJ460" s="399">
        <v>0</v>
      </c>
      <c r="BK460" s="399">
        <v>5069.08</v>
      </c>
      <c r="BL460" s="399">
        <v>40</v>
      </c>
      <c r="BM460" s="399"/>
      <c r="BN460" s="399"/>
      <c r="BO460" s="399"/>
      <c r="BP460" s="399"/>
      <c r="BQ460" s="399">
        <v>912.48758880000014</v>
      </c>
      <c r="BR460" s="399"/>
      <c r="BS460" s="399"/>
      <c r="BT460" s="399"/>
      <c r="BU460" s="399"/>
      <c r="BV460" s="399">
        <v>6731.5282268520623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14297.5731</v>
      </c>
      <c r="CJ460" s="399">
        <v>-50.772564000002603</v>
      </c>
      <c r="CK460" s="399"/>
      <c r="CL460" s="399"/>
      <c r="CM460" s="399"/>
      <c r="CN460" s="399"/>
      <c r="CO460" s="399">
        <v>-891.43024000000048</v>
      </c>
      <c r="CP460" s="399">
        <v>835.39111999999966</v>
      </c>
      <c r="CQ460" s="399">
        <v>30</v>
      </c>
      <c r="CR460" s="399">
        <v>655.16200346455844</v>
      </c>
      <c r="CS460" s="399">
        <v>0</v>
      </c>
      <c r="CT460" s="399">
        <v>0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89.137820070544194</v>
      </c>
      <c r="DA460" s="399">
        <v>0</v>
      </c>
      <c r="DB460" s="399">
        <v>0</v>
      </c>
      <c r="DC460" s="399">
        <v>835.58954489135158</v>
      </c>
      <c r="DD460" s="399">
        <v>0</v>
      </c>
      <c r="DE460" s="399">
        <v>0</v>
      </c>
      <c r="DF460" s="399">
        <v>0</v>
      </c>
      <c r="DG460" s="399">
        <v>80.893595324399257</v>
      </c>
      <c r="DH460" s="399">
        <v>0</v>
      </c>
      <c r="DI460" s="399">
        <v>-308.17717703152812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-39.981130375262012</v>
      </c>
      <c r="DP460" s="399">
        <v>-2.3006494149469088</v>
      </c>
      <c r="DQ460" s="399">
        <v>0</v>
      </c>
      <c r="DR460" s="399">
        <v>0</v>
      </c>
      <c r="DS460" s="399"/>
      <c r="DT460" s="399"/>
      <c r="DU460" s="399"/>
      <c r="DV460" s="399">
        <v>3288.6697205125806</v>
      </c>
      <c r="DW460" s="399">
        <v>0</v>
      </c>
      <c r="DX460" s="399">
        <v>0</v>
      </c>
      <c r="DY460" s="399">
        <v>-891.43024000000059</v>
      </c>
      <c r="DZ460" s="399">
        <v>835.39111999999932</v>
      </c>
      <c r="EA460" s="399">
        <v>0</v>
      </c>
      <c r="EB460" s="399">
        <v>0</v>
      </c>
      <c r="EC460" s="399">
        <v>-710.99264928887033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427.86412168667306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215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465</v>
      </c>
      <c r="B461" s="399" t="s">
        <v>2345</v>
      </c>
      <c r="C461" s="399" t="s">
        <v>2343</v>
      </c>
      <c r="D461" s="399" t="s">
        <v>1826</v>
      </c>
      <c r="E461" s="399" t="s">
        <v>921</v>
      </c>
      <c r="F461" s="399" t="s">
        <v>2358</v>
      </c>
      <c r="G461" s="399" t="s">
        <v>1239</v>
      </c>
      <c r="H461" s="399" t="s">
        <v>1239</v>
      </c>
      <c r="I461" s="399" t="s">
        <v>1239</v>
      </c>
      <c r="J461" s="399" t="s">
        <v>2344</v>
      </c>
      <c r="K461" s="791">
        <v>44713</v>
      </c>
      <c r="L461" s="399">
        <v>0</v>
      </c>
      <c r="M461" s="399">
        <v>0</v>
      </c>
      <c r="N461" s="399">
        <v>-0.124</v>
      </c>
      <c r="O461" s="399">
        <v>-0.11656</v>
      </c>
      <c r="P461" s="399">
        <v>-0.124</v>
      </c>
      <c r="Q461" s="399">
        <v>-0.11656</v>
      </c>
      <c r="R461" s="399"/>
      <c r="S461" s="399">
        <v>239.69</v>
      </c>
      <c r="T461" s="399">
        <v>171.61</v>
      </c>
      <c r="U461" s="399"/>
      <c r="V461" s="399">
        <v>-51.001199999999997</v>
      </c>
      <c r="W461" s="399">
        <v>-51.001199999999997</v>
      </c>
      <c r="X461" s="399">
        <v>-50.813959999999994</v>
      </c>
      <c r="Y461" s="399">
        <v>0</v>
      </c>
      <c r="Z461" s="399">
        <v>-7.4967051149152919</v>
      </c>
      <c r="AA461" s="399">
        <v>0</v>
      </c>
      <c r="AB461" s="399">
        <v>0</v>
      </c>
      <c r="AC461" s="399">
        <v>0</v>
      </c>
      <c r="AD461" s="399">
        <v>-6.6136631355021196</v>
      </c>
      <c r="AE461" s="399">
        <v>-10.988226054741324</v>
      </c>
      <c r="AF461" s="399">
        <v>-20.506404235014521</v>
      </c>
      <c r="AG461" s="399">
        <v>-0.77318426138283425</v>
      </c>
      <c r="AH461" s="399">
        <v>0</v>
      </c>
      <c r="AI461" s="399">
        <v>0</v>
      </c>
      <c r="AJ461" s="399">
        <v>0</v>
      </c>
      <c r="AK461" s="399">
        <v>0</v>
      </c>
      <c r="AL461" s="399">
        <v>-1.1591657363989059</v>
      </c>
      <c r="AM461" s="399"/>
      <c r="AN461" s="399">
        <v>-4.9110404155813032E-2</v>
      </c>
      <c r="AO461" s="399">
        <v>0</v>
      </c>
      <c r="AP461" s="399">
        <v>0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-1.9852292024088356</v>
      </c>
      <c r="BH461" s="399">
        <v>0</v>
      </c>
      <c r="BI461" s="399">
        <v>0</v>
      </c>
      <c r="BJ461" s="399">
        <v>0</v>
      </c>
      <c r="BK461" s="399">
        <v>-16.940000000000001</v>
      </c>
      <c r="BL461" s="399">
        <v>0</v>
      </c>
      <c r="BM461" s="399"/>
      <c r="BN461" s="399"/>
      <c r="BO461" s="399"/>
      <c r="BP461" s="399"/>
      <c r="BQ461" s="399">
        <v>-3.048837600000001</v>
      </c>
      <c r="BR461" s="399"/>
      <c r="BS461" s="399"/>
      <c r="BT461" s="399"/>
      <c r="BU461" s="399"/>
      <c r="BV461" s="399">
        <v>-22.491633437423356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-49.174799999999998</v>
      </c>
      <c r="CJ461" s="399">
        <v>-1.2636719999999997</v>
      </c>
      <c r="CK461" s="399"/>
      <c r="CL461" s="399"/>
      <c r="CM461" s="399"/>
      <c r="CN461" s="399"/>
      <c r="CO461" s="399">
        <v>2.9784800000000011</v>
      </c>
      <c r="CP461" s="399">
        <v>-2.7912399999999988</v>
      </c>
      <c r="CQ461" s="399">
        <v>30</v>
      </c>
      <c r="CR461" s="399">
        <v>-2.189051746863683</v>
      </c>
      <c r="CS461" s="399">
        <v>0</v>
      </c>
      <c r="CT461" s="399">
        <v>0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-0.29783061243661102</v>
      </c>
      <c r="DA461" s="399">
        <v>0</v>
      </c>
      <c r="DB461" s="399">
        <v>0</v>
      </c>
      <c r="DC461" s="399">
        <v>-2.7919029846553016</v>
      </c>
      <c r="DD461" s="399">
        <v>0</v>
      </c>
      <c r="DE461" s="399">
        <v>0</v>
      </c>
      <c r="DF461" s="399">
        <v>0</v>
      </c>
      <c r="DG461" s="399">
        <v>-0.27028470091144396</v>
      </c>
      <c r="DH461" s="399">
        <v>0</v>
      </c>
      <c r="DI461" s="399">
        <v>1.0296930898876235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0.13358644553062327</v>
      </c>
      <c r="DP461" s="399">
        <v>7.687015721422101E-3</v>
      </c>
      <c r="DQ461" s="399">
        <v>0</v>
      </c>
      <c r="DR461" s="399">
        <v>0</v>
      </c>
      <c r="DS461" s="399"/>
      <c r="DT461" s="399"/>
      <c r="DU461" s="399"/>
      <c r="DV461" s="399">
        <v>-10.988226054741324</v>
      </c>
      <c r="DW461" s="399">
        <v>0</v>
      </c>
      <c r="DX461" s="399">
        <v>0</v>
      </c>
      <c r="DY461" s="399">
        <v>2.9784800000000011</v>
      </c>
      <c r="DZ461" s="399">
        <v>-2.7912399999999984</v>
      </c>
      <c r="EA461" s="399">
        <v>0</v>
      </c>
      <c r="EB461" s="399">
        <v>0</v>
      </c>
      <c r="EC461" s="399">
        <v>2.3755951851643662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-1.4295955779571961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215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466</v>
      </c>
      <c r="B462" s="399" t="s">
        <v>956</v>
      </c>
      <c r="C462" s="399" t="s">
        <v>2343</v>
      </c>
      <c r="D462" s="399" t="s">
        <v>1826</v>
      </c>
      <c r="E462" s="399" t="s">
        <v>2359</v>
      </c>
      <c r="F462" s="399" t="s">
        <v>1239</v>
      </c>
      <c r="G462" s="399" t="s">
        <v>1239</v>
      </c>
      <c r="H462" s="399" t="s">
        <v>1239</v>
      </c>
      <c r="I462" s="399" t="s">
        <v>1239</v>
      </c>
      <c r="J462" s="399" t="s">
        <v>2344</v>
      </c>
      <c r="K462" s="791">
        <v>44713</v>
      </c>
      <c r="L462" s="399">
        <v>0</v>
      </c>
      <c r="M462" s="399">
        <v>0</v>
      </c>
      <c r="N462" s="399">
        <v>9.0359999999999996</v>
      </c>
      <c r="O462" s="399">
        <v>9.0359999999999996</v>
      </c>
      <c r="P462" s="399">
        <v>9.0359999999999996</v>
      </c>
      <c r="Q462" s="399">
        <v>9.0359999999999996</v>
      </c>
      <c r="R462" s="399"/>
      <c r="S462" s="399">
        <v>239.69</v>
      </c>
      <c r="T462" s="399">
        <v>171.61</v>
      </c>
      <c r="U462" s="399"/>
      <c r="V462" s="399">
        <v>3716.5068000000001</v>
      </c>
      <c r="W462" s="399">
        <v>3716.5068000000001</v>
      </c>
      <c r="X462" s="399">
        <v>3702.8624399999999</v>
      </c>
      <c r="Y462" s="399">
        <v>0</v>
      </c>
      <c r="Z462" s="399">
        <v>546.29215659979491</v>
      </c>
      <c r="AA462" s="399">
        <v>0</v>
      </c>
      <c r="AB462" s="399">
        <v>0</v>
      </c>
      <c r="AC462" s="399">
        <v>0</v>
      </c>
      <c r="AD462" s="399">
        <v>481.94403300320283</v>
      </c>
      <c r="AE462" s="399">
        <v>800.72266637614985</v>
      </c>
      <c r="AF462" s="399">
        <v>1494.3215215128323</v>
      </c>
      <c r="AG462" s="399">
        <v>56.342685369800726</v>
      </c>
      <c r="AH462" s="399">
        <v>0</v>
      </c>
      <c r="AI462" s="399">
        <v>0</v>
      </c>
      <c r="AJ462" s="399">
        <v>0</v>
      </c>
      <c r="AK462" s="399">
        <v>0</v>
      </c>
      <c r="AL462" s="399">
        <v>84.469528984681546</v>
      </c>
      <c r="AM462" s="399"/>
      <c r="AN462" s="399">
        <v>3.5787226770316654</v>
      </c>
      <c r="AO462" s="399">
        <v>0</v>
      </c>
      <c r="AP462" s="399">
        <v>0</v>
      </c>
      <c r="AQ462" s="399">
        <v>0</v>
      </c>
      <c r="AR462" s="399">
        <v>0</v>
      </c>
      <c r="AS462" s="399">
        <v>0</v>
      </c>
      <c r="AT462" s="399">
        <v>0</v>
      </c>
      <c r="AU462" s="399">
        <v>0</v>
      </c>
      <c r="AV462" s="399">
        <v>0</v>
      </c>
      <c r="AW462" s="399">
        <v>0</v>
      </c>
      <c r="AX462" s="399">
        <v>0</v>
      </c>
      <c r="AY462" s="399">
        <v>0</v>
      </c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>
        <v>0</v>
      </c>
      <c r="BG462" s="399">
        <v>144.66557316908256</v>
      </c>
      <c r="BH462" s="399">
        <v>0</v>
      </c>
      <c r="BI462" s="399">
        <v>0</v>
      </c>
      <c r="BJ462" s="399">
        <v>0</v>
      </c>
      <c r="BK462" s="399">
        <v>1234.26</v>
      </c>
      <c r="BL462" s="399">
        <v>4</v>
      </c>
      <c r="BM462" s="399"/>
      <c r="BN462" s="399"/>
      <c r="BO462" s="399"/>
      <c r="BP462" s="399"/>
      <c r="BQ462" s="399"/>
      <c r="BR462" s="399"/>
      <c r="BS462" s="399"/>
      <c r="BT462" s="399"/>
      <c r="BU462" s="399"/>
      <c r="BV462" s="399">
        <v>1638.9870946819149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3704.5015999999996</v>
      </c>
      <c r="CJ462" s="399">
        <v>-12.035200000001169</v>
      </c>
      <c r="CK462" s="399"/>
      <c r="CL462" s="399"/>
      <c r="CM462" s="399"/>
      <c r="CN462" s="399"/>
      <c r="CO462" s="399">
        <v>-217.04472000000007</v>
      </c>
      <c r="CP462" s="399">
        <v>203.40035999999992</v>
      </c>
      <c r="CQ462" s="399">
        <v>30</v>
      </c>
      <c r="CR462" s="399">
        <v>159.51831923113195</v>
      </c>
      <c r="CS462" s="399">
        <v>0</v>
      </c>
      <c r="CT462" s="399">
        <v>0</v>
      </c>
      <c r="CU462" s="399">
        <v>0</v>
      </c>
      <c r="CV462" s="399">
        <v>0</v>
      </c>
      <c r="CW462" s="399">
        <v>0</v>
      </c>
      <c r="CX462" s="399">
        <v>0</v>
      </c>
      <c r="CY462" s="399">
        <v>0</v>
      </c>
      <c r="CZ462" s="399">
        <v>21.703204951429143</v>
      </c>
      <c r="DA462" s="399">
        <v>0</v>
      </c>
      <c r="DB462" s="399">
        <v>0</v>
      </c>
      <c r="DC462" s="399">
        <v>203.44867233342984</v>
      </c>
      <c r="DD462" s="399">
        <v>0</v>
      </c>
      <c r="DE462" s="399">
        <v>0</v>
      </c>
      <c r="DF462" s="399">
        <v>0</v>
      </c>
      <c r="DG462" s="399">
        <v>19.695907721256503</v>
      </c>
      <c r="DH462" s="399">
        <v>0</v>
      </c>
      <c r="DI462" s="399">
        <v>-75.03473193729485</v>
      </c>
      <c r="DJ462" s="399"/>
      <c r="DK462" s="399">
        <v>0</v>
      </c>
      <c r="DL462" s="399">
        <v>0</v>
      </c>
      <c r="DM462" s="399">
        <v>0</v>
      </c>
      <c r="DN462" s="399">
        <v>0</v>
      </c>
      <c r="DO462" s="399">
        <v>-9.7345735630218542</v>
      </c>
      <c r="DP462" s="399">
        <v>-0.56016027466750007</v>
      </c>
      <c r="DQ462" s="399">
        <v>0</v>
      </c>
      <c r="DR462" s="399">
        <v>0</v>
      </c>
      <c r="DS462" s="399"/>
      <c r="DT462" s="399"/>
      <c r="DU462" s="399"/>
      <c r="DV462" s="399">
        <v>800.72266637614985</v>
      </c>
      <c r="DW462" s="399">
        <v>0</v>
      </c>
      <c r="DX462" s="399">
        <v>0</v>
      </c>
      <c r="DY462" s="399">
        <v>-217.0447200000001</v>
      </c>
      <c r="DZ462" s="399">
        <v>203.40035999999986</v>
      </c>
      <c r="EA462" s="399">
        <v>0</v>
      </c>
      <c r="EB462" s="399">
        <v>0</v>
      </c>
      <c r="EC462" s="399">
        <v>-173.11192010600962</v>
      </c>
      <c r="ED462" s="399">
        <v>0</v>
      </c>
      <c r="EE462" s="399">
        <v>0</v>
      </c>
      <c r="EF462" s="399">
        <v>0</v>
      </c>
      <c r="EG462" s="399">
        <v>0</v>
      </c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>
        <v>0</v>
      </c>
      <c r="EN462" s="399">
        <v>0</v>
      </c>
      <c r="EO462" s="399">
        <v>0</v>
      </c>
      <c r="EP462" s="399">
        <v>104.17601324533244</v>
      </c>
      <c r="EQ462" s="399">
        <v>0</v>
      </c>
      <c r="ER462" s="399">
        <v>0</v>
      </c>
      <c r="ES462" s="399">
        <v>0</v>
      </c>
      <c r="ET462" s="399">
        <v>0</v>
      </c>
      <c r="EU462" s="399">
        <v>0</v>
      </c>
      <c r="EV462" s="399">
        <v>215</v>
      </c>
      <c r="EW462" s="399">
        <v>0</v>
      </c>
      <c r="EX462" s="399">
        <v>0</v>
      </c>
      <c r="EY462" s="399">
        <v>0</v>
      </c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467</v>
      </c>
      <c r="B463" s="399" t="s">
        <v>956</v>
      </c>
      <c r="C463" s="399" t="s">
        <v>2343</v>
      </c>
      <c r="D463" s="399" t="s">
        <v>2353</v>
      </c>
      <c r="E463" s="399" t="s">
        <v>894</v>
      </c>
      <c r="F463" s="399" t="s">
        <v>2363</v>
      </c>
      <c r="G463" s="399" t="s">
        <v>2361</v>
      </c>
      <c r="H463" s="399" t="s">
        <v>1239</v>
      </c>
      <c r="I463" s="399" t="s">
        <v>1239</v>
      </c>
      <c r="J463" s="399" t="s">
        <v>2344</v>
      </c>
      <c r="K463" s="791">
        <v>44713</v>
      </c>
      <c r="L463" s="399">
        <v>0</v>
      </c>
      <c r="M463" s="399">
        <v>0</v>
      </c>
      <c r="N463" s="399">
        <v>0</v>
      </c>
      <c r="O463" s="399">
        <v>0</v>
      </c>
      <c r="P463" s="399">
        <v>0</v>
      </c>
      <c r="Q463" s="399">
        <v>0</v>
      </c>
      <c r="R463" s="399"/>
      <c r="S463" s="399"/>
      <c r="T463" s="399"/>
      <c r="U463" s="399"/>
      <c r="V463" s="399"/>
      <c r="W463" s="399"/>
      <c r="X463" s="399"/>
      <c r="Y463" s="399"/>
      <c r="Z463" s="399"/>
      <c r="AA463" s="399">
        <v>0</v>
      </c>
      <c r="AB463" s="399"/>
      <c r="AC463" s="399"/>
      <c r="AD463" s="399"/>
      <c r="AE463" s="399"/>
      <c r="AF463" s="399"/>
      <c r="AG463" s="399"/>
      <c r="AH463" s="399"/>
      <c r="AI463" s="399"/>
      <c r="AJ463" s="399"/>
      <c r="AK463" s="399"/>
      <c r="AL463" s="399"/>
      <c r="AM463" s="399"/>
      <c r="AN463" s="399"/>
      <c r="AO463" s="399"/>
      <c r="AP463" s="399"/>
      <c r="AQ463" s="399"/>
      <c r="AR463" s="399"/>
      <c r="AS463" s="399"/>
      <c r="AT463" s="399"/>
      <c r="AU463" s="399"/>
      <c r="AV463" s="399"/>
      <c r="AW463" s="399"/>
      <c r="AX463" s="399"/>
      <c r="AY463" s="399"/>
      <c r="AZ463" s="399">
        <v>0</v>
      </c>
      <c r="BA463" s="399"/>
      <c r="BB463" s="399"/>
      <c r="BC463" s="399"/>
      <c r="BD463" s="399"/>
      <c r="BE463" s="399"/>
      <c r="BF463" s="399"/>
      <c r="BG463" s="399"/>
      <c r="BH463" s="399"/>
      <c r="BI463" s="399">
        <v>0</v>
      </c>
      <c r="BJ463" s="399">
        <v>0</v>
      </c>
      <c r="BK463" s="399">
        <v>11240.26</v>
      </c>
      <c r="BL463" s="399">
        <v>20</v>
      </c>
      <c r="BM463" s="399"/>
      <c r="BN463" s="399"/>
      <c r="BO463" s="399"/>
      <c r="BP463" s="399"/>
      <c r="BQ463" s="399"/>
      <c r="BR463" s="399"/>
      <c r="BS463" s="399"/>
      <c r="BT463" s="399"/>
      <c r="BU463" s="399"/>
      <c r="BV463" s="399"/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/>
      <c r="CJ463" s="399">
        <v>-0.03</v>
      </c>
      <c r="CK463" s="399"/>
      <c r="CL463" s="399"/>
      <c r="CM463" s="399"/>
      <c r="CN463" s="399"/>
      <c r="CO463" s="399">
        <v>0</v>
      </c>
      <c r="CP463" s="399">
        <v>0</v>
      </c>
      <c r="CQ463" s="399">
        <v>30</v>
      </c>
      <c r="CR463" s="399"/>
      <c r="CS463" s="399"/>
      <c r="CT463" s="399"/>
      <c r="CU463" s="399"/>
      <c r="CV463" s="399"/>
      <c r="CW463" s="399"/>
      <c r="CX463" s="399"/>
      <c r="CY463" s="399"/>
      <c r="CZ463" s="399"/>
      <c r="DA463" s="399"/>
      <c r="DB463" s="399"/>
      <c r="DC463" s="399"/>
      <c r="DD463" s="399"/>
      <c r="DE463" s="399"/>
      <c r="DF463" s="399"/>
      <c r="DG463" s="399"/>
      <c r="DH463" s="399"/>
      <c r="DI463" s="399"/>
      <c r="DJ463" s="399"/>
      <c r="DK463" s="399">
        <v>0</v>
      </c>
      <c r="DL463" s="399"/>
      <c r="DM463" s="399"/>
      <c r="DN463" s="399"/>
      <c r="DO463" s="399"/>
      <c r="DP463" s="399"/>
      <c r="DQ463" s="399"/>
      <c r="DR463" s="399"/>
      <c r="DS463" s="399"/>
      <c r="DT463" s="399"/>
      <c r="DU463" s="399"/>
      <c r="DV463" s="399"/>
      <c r="DW463" s="399"/>
      <c r="DX463" s="399"/>
      <c r="DY463" s="399"/>
      <c r="DZ463" s="399"/>
      <c r="EA463" s="399"/>
      <c r="EB463" s="399"/>
      <c r="EC463" s="399"/>
      <c r="ED463" s="399"/>
      <c r="EE463" s="399"/>
      <c r="EF463" s="399"/>
      <c r="EG463" s="399"/>
      <c r="EH463" s="399"/>
      <c r="EI463" s="399"/>
      <c r="EJ463" s="399"/>
      <c r="EK463" s="399"/>
      <c r="EL463" s="399"/>
      <c r="EM463" s="399"/>
      <c r="EN463" s="399"/>
      <c r="EO463" s="399"/>
      <c r="EP463" s="399"/>
      <c r="EQ463" s="399"/>
      <c r="ER463" s="399"/>
      <c r="ES463" s="399"/>
      <c r="ET463" s="399"/>
      <c r="EU463" s="399"/>
      <c r="EV463" s="399">
        <v>215</v>
      </c>
      <c r="EW463" s="399"/>
      <c r="EX463" s="399"/>
      <c r="EY463" s="399"/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468</v>
      </c>
      <c r="B464" s="399" t="s">
        <v>2346</v>
      </c>
      <c r="C464" s="399" t="s">
        <v>2343</v>
      </c>
      <c r="D464" s="399" t="s">
        <v>2353</v>
      </c>
      <c r="E464" s="399" t="s">
        <v>894</v>
      </c>
      <c r="F464" s="399" t="s">
        <v>2363</v>
      </c>
      <c r="G464" s="399" t="s">
        <v>2361</v>
      </c>
      <c r="H464" s="399" t="s">
        <v>1239</v>
      </c>
      <c r="I464" s="399" t="s">
        <v>1239</v>
      </c>
      <c r="J464" s="399" t="s">
        <v>2344</v>
      </c>
      <c r="K464" s="791">
        <v>44713</v>
      </c>
      <c r="L464" s="399">
        <v>0</v>
      </c>
      <c r="M464" s="399">
        <v>0</v>
      </c>
      <c r="N464" s="399">
        <v>0</v>
      </c>
      <c r="O464" s="399">
        <v>0</v>
      </c>
      <c r="P464" s="399">
        <v>0</v>
      </c>
      <c r="Q464" s="399">
        <v>0</v>
      </c>
      <c r="R464" s="399"/>
      <c r="S464" s="399"/>
      <c r="T464" s="399"/>
      <c r="U464" s="399"/>
      <c r="V464" s="399"/>
      <c r="W464" s="399"/>
      <c r="X464" s="399"/>
      <c r="Y464" s="399"/>
      <c r="Z464" s="399"/>
      <c r="AA464" s="399">
        <v>0</v>
      </c>
      <c r="AB464" s="399"/>
      <c r="AC464" s="399"/>
      <c r="AD464" s="399"/>
      <c r="AE464" s="399"/>
      <c r="AF464" s="399"/>
      <c r="AG464" s="399"/>
      <c r="AH464" s="399"/>
      <c r="AI464" s="399"/>
      <c r="AJ464" s="399"/>
      <c r="AK464" s="399"/>
      <c r="AL464" s="399"/>
      <c r="AM464" s="399"/>
      <c r="AN464" s="399"/>
      <c r="AO464" s="399"/>
      <c r="AP464" s="399"/>
      <c r="AQ464" s="399"/>
      <c r="AR464" s="399"/>
      <c r="AS464" s="399"/>
      <c r="AT464" s="399"/>
      <c r="AU464" s="399"/>
      <c r="AV464" s="399"/>
      <c r="AW464" s="399"/>
      <c r="AX464" s="399"/>
      <c r="AY464" s="399"/>
      <c r="AZ464" s="399">
        <v>0</v>
      </c>
      <c r="BA464" s="399"/>
      <c r="BB464" s="399"/>
      <c r="BC464" s="399"/>
      <c r="BD464" s="399"/>
      <c r="BE464" s="399"/>
      <c r="BF464" s="399"/>
      <c r="BG464" s="399"/>
      <c r="BH464" s="399"/>
      <c r="BI464" s="399">
        <v>0</v>
      </c>
      <c r="BJ464" s="399">
        <v>0</v>
      </c>
      <c r="BK464" s="399">
        <v>87.94</v>
      </c>
      <c r="BL464" s="399">
        <v>1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/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/>
      <c r="CJ464" s="399">
        <v>-0.03</v>
      </c>
      <c r="CK464" s="399"/>
      <c r="CL464" s="399"/>
      <c r="CM464" s="399"/>
      <c r="CN464" s="399"/>
      <c r="CO464" s="399">
        <v>0</v>
      </c>
      <c r="CP464" s="399">
        <v>0</v>
      </c>
      <c r="CQ464" s="399">
        <v>30</v>
      </c>
      <c r="CR464" s="399"/>
      <c r="CS464" s="399"/>
      <c r="CT464" s="399"/>
      <c r="CU464" s="399"/>
      <c r="CV464" s="399"/>
      <c r="CW464" s="399"/>
      <c r="CX464" s="399"/>
      <c r="CY464" s="399"/>
      <c r="CZ464" s="399"/>
      <c r="DA464" s="399"/>
      <c r="DB464" s="399"/>
      <c r="DC464" s="399"/>
      <c r="DD464" s="399"/>
      <c r="DE464" s="399"/>
      <c r="DF464" s="399"/>
      <c r="DG464" s="399"/>
      <c r="DH464" s="399"/>
      <c r="DI464" s="399"/>
      <c r="DJ464" s="399"/>
      <c r="DK464" s="399">
        <v>0</v>
      </c>
      <c r="DL464" s="399"/>
      <c r="DM464" s="399"/>
      <c r="DN464" s="399"/>
      <c r="DO464" s="399"/>
      <c r="DP464" s="399"/>
      <c r="DQ464" s="399"/>
      <c r="DR464" s="399"/>
      <c r="DS464" s="399"/>
      <c r="DT464" s="399"/>
      <c r="DU464" s="399"/>
      <c r="DV464" s="399"/>
      <c r="DW464" s="399"/>
      <c r="DX464" s="399"/>
      <c r="DY464" s="399"/>
      <c r="DZ464" s="399"/>
      <c r="EA464" s="399"/>
      <c r="EB464" s="399"/>
      <c r="EC464" s="399"/>
      <c r="ED464" s="399"/>
      <c r="EE464" s="399"/>
      <c r="EF464" s="399"/>
      <c r="EG464" s="399"/>
      <c r="EH464" s="399"/>
      <c r="EI464" s="399"/>
      <c r="EJ464" s="399"/>
      <c r="EK464" s="399"/>
      <c r="EL464" s="399"/>
      <c r="EM464" s="399"/>
      <c r="EN464" s="399"/>
      <c r="EO464" s="399"/>
      <c r="EP464" s="399"/>
      <c r="EQ464" s="399"/>
      <c r="ER464" s="399"/>
      <c r="ES464" s="399"/>
      <c r="ET464" s="399"/>
      <c r="EU464" s="399"/>
      <c r="EV464" s="399">
        <v>215</v>
      </c>
      <c r="EW464" s="399"/>
      <c r="EX464" s="399"/>
      <c r="EY464" s="399"/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469</v>
      </c>
      <c r="B465" s="399" t="s">
        <v>956</v>
      </c>
      <c r="C465" s="399" t="s">
        <v>2343</v>
      </c>
      <c r="D465" s="399" t="s">
        <v>2353</v>
      </c>
      <c r="E465" s="399" t="s">
        <v>894</v>
      </c>
      <c r="F465" s="399" t="s">
        <v>2363</v>
      </c>
      <c r="G465" s="399" t="s">
        <v>2361</v>
      </c>
      <c r="H465" s="399" t="s">
        <v>1239</v>
      </c>
      <c r="I465" s="399" t="s">
        <v>1239</v>
      </c>
      <c r="J465" s="399" t="s">
        <v>2344</v>
      </c>
      <c r="K465" s="791">
        <v>44713</v>
      </c>
      <c r="L465" s="399">
        <v>0</v>
      </c>
      <c r="M465" s="399">
        <v>0</v>
      </c>
      <c r="N465" s="399">
        <v>28.887</v>
      </c>
      <c r="O465" s="399">
        <v>28.887</v>
      </c>
      <c r="P465" s="399">
        <v>28.887</v>
      </c>
      <c r="Q465" s="399">
        <v>28.887</v>
      </c>
      <c r="R465" s="399"/>
      <c r="S465" s="399">
        <v>239.69</v>
      </c>
      <c r="T465" s="399">
        <v>171.61</v>
      </c>
      <c r="U465" s="399"/>
      <c r="V465" s="399">
        <v>11881.223100000001</v>
      </c>
      <c r="W465" s="399">
        <v>11881.223100000001</v>
      </c>
      <c r="X465" s="399">
        <v>11837.603730000001</v>
      </c>
      <c r="Y465" s="399">
        <v>0</v>
      </c>
      <c r="Z465" s="399">
        <v>1746.4300052786939</v>
      </c>
      <c r="AA465" s="399">
        <v>0</v>
      </c>
      <c r="AB465" s="399">
        <v>0</v>
      </c>
      <c r="AC465" s="399">
        <v>0</v>
      </c>
      <c r="AD465" s="399">
        <v>1540.7168306068527</v>
      </c>
      <c r="AE465" s="399">
        <v>2559.8135971234888</v>
      </c>
      <c r="AF465" s="399">
        <v>4777.1653156198745</v>
      </c>
      <c r="AG465" s="399">
        <v>180.12075611746721</v>
      </c>
      <c r="AH465" s="399">
        <v>0</v>
      </c>
      <c r="AI465" s="399">
        <v>0</v>
      </c>
      <c r="AJ465" s="399">
        <v>0</v>
      </c>
      <c r="AK465" s="399">
        <v>0</v>
      </c>
      <c r="AL465" s="399">
        <v>270.038876027058</v>
      </c>
      <c r="AM465" s="399"/>
      <c r="AN465" s="399">
        <v>11.440743910072348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462.47835459664543</v>
      </c>
      <c r="BH465" s="399">
        <v>0</v>
      </c>
      <c r="BI465" s="399">
        <v>0</v>
      </c>
      <c r="BJ465" s="399">
        <v>0</v>
      </c>
      <c r="BK465" s="399">
        <v>0</v>
      </c>
      <c r="BL465" s="399">
        <v>0</v>
      </c>
      <c r="BM465" s="399"/>
      <c r="BN465" s="399"/>
      <c r="BO465" s="399"/>
      <c r="BP465" s="399"/>
      <c r="BQ465" s="399"/>
      <c r="BR465" s="399">
        <v>1420.3737899999996</v>
      </c>
      <c r="BS465" s="399"/>
      <c r="BT465" s="399"/>
      <c r="BU465" s="399"/>
      <c r="BV465" s="399">
        <v>5239.6436702165201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10418.311799999999</v>
      </c>
      <c r="CJ465" s="399">
        <v>-37.367850000002363</v>
      </c>
      <c r="CK465" s="399"/>
      <c r="CL465" s="399"/>
      <c r="CM465" s="399"/>
      <c r="CN465" s="399"/>
      <c r="CO465" s="399">
        <v>-693.8657400000003</v>
      </c>
      <c r="CP465" s="399">
        <v>650.24636999999973</v>
      </c>
      <c r="CQ465" s="399">
        <v>30</v>
      </c>
      <c r="CR465" s="399">
        <v>509.96078880363893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69.382523398841613</v>
      </c>
      <c r="DA465" s="399">
        <v>0</v>
      </c>
      <c r="DB465" s="399">
        <v>0</v>
      </c>
      <c r="DC465" s="399">
        <v>650.40081869143341</v>
      </c>
      <c r="DD465" s="399">
        <v>0</v>
      </c>
      <c r="DE465" s="399">
        <v>0</v>
      </c>
      <c r="DF465" s="399">
        <v>0</v>
      </c>
      <c r="DG465" s="399">
        <v>62.965436735716821</v>
      </c>
      <c r="DH465" s="399">
        <v>0</v>
      </c>
      <c r="DI465" s="399">
        <v>-239.87697006115945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-31.120255258412186</v>
      </c>
      <c r="DP465" s="399">
        <v>-1.7907647027800007</v>
      </c>
      <c r="DQ465" s="399">
        <v>0</v>
      </c>
      <c r="DR465" s="399">
        <v>0</v>
      </c>
      <c r="DS465" s="399"/>
      <c r="DT465" s="399"/>
      <c r="DU465" s="399"/>
      <c r="DV465" s="399">
        <v>2559.8135971234888</v>
      </c>
      <c r="DW465" s="399">
        <v>0</v>
      </c>
      <c r="DX465" s="399">
        <v>0</v>
      </c>
      <c r="DY465" s="399">
        <v>-693.86574000000019</v>
      </c>
      <c r="DZ465" s="399">
        <v>650.24636999999984</v>
      </c>
      <c r="EA465" s="399">
        <v>0</v>
      </c>
      <c r="EB465" s="399">
        <v>0</v>
      </c>
      <c r="EC465" s="399">
        <v>-553.41788801486314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333.03812468104451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215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470</v>
      </c>
      <c r="B466" s="399" t="s">
        <v>2346</v>
      </c>
      <c r="C466" s="399" t="s">
        <v>2343</v>
      </c>
      <c r="D466" s="399" t="s">
        <v>2353</v>
      </c>
      <c r="E466" s="399" t="s">
        <v>894</v>
      </c>
      <c r="F466" s="399" t="s">
        <v>2363</v>
      </c>
      <c r="G466" s="399" t="s">
        <v>2361</v>
      </c>
      <c r="H466" s="399" t="s">
        <v>1239</v>
      </c>
      <c r="I466" s="399" t="s">
        <v>1239</v>
      </c>
      <c r="J466" s="399" t="s">
        <v>2344</v>
      </c>
      <c r="K466" s="791">
        <v>44713</v>
      </c>
      <c r="L466" s="399">
        <v>0</v>
      </c>
      <c r="M466" s="399">
        <v>0</v>
      </c>
      <c r="N466" s="399">
        <v>0.08</v>
      </c>
      <c r="O466" s="399">
        <v>0.08</v>
      </c>
      <c r="P466" s="399">
        <v>0.08</v>
      </c>
      <c r="Q466" s="399">
        <v>0.08</v>
      </c>
      <c r="R466" s="399"/>
      <c r="S466" s="399">
        <v>239.69</v>
      </c>
      <c r="T466" s="399">
        <v>171.61</v>
      </c>
      <c r="U466" s="399"/>
      <c r="V466" s="399">
        <v>32.904000000000003</v>
      </c>
      <c r="W466" s="399">
        <v>32.904000000000003</v>
      </c>
      <c r="X466" s="399">
        <v>32.783200000000001</v>
      </c>
      <c r="Y466" s="399">
        <v>0</v>
      </c>
      <c r="Z466" s="399">
        <v>4.8365839451066401</v>
      </c>
      <c r="AA466" s="399">
        <v>0</v>
      </c>
      <c r="AB466" s="399">
        <v>0</v>
      </c>
      <c r="AC466" s="399">
        <v>0</v>
      </c>
      <c r="AD466" s="399">
        <v>4.2668794422594321</v>
      </c>
      <c r="AE466" s="399">
        <v>7.089178099833112</v>
      </c>
      <c r="AF466" s="399">
        <v>13.2299382161384</v>
      </c>
      <c r="AG466" s="399">
        <v>0.49882855573086082</v>
      </c>
      <c r="AH466" s="399">
        <v>0</v>
      </c>
      <c r="AI466" s="399">
        <v>0</v>
      </c>
      <c r="AJ466" s="399">
        <v>0</v>
      </c>
      <c r="AK466" s="399">
        <v>0</v>
      </c>
      <c r="AL466" s="399">
        <v>0.74784886219284252</v>
      </c>
      <c r="AM466" s="399"/>
      <c r="AN466" s="399">
        <v>3.1684131713427759E-2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1.280793033812152</v>
      </c>
      <c r="BH466" s="399">
        <v>0</v>
      </c>
      <c r="BI466" s="399">
        <v>0</v>
      </c>
      <c r="BJ466" s="399">
        <v>0</v>
      </c>
      <c r="BK466" s="399">
        <v>0</v>
      </c>
      <c r="BL466" s="399">
        <v>0</v>
      </c>
      <c r="BM466" s="399"/>
      <c r="BN466" s="399"/>
      <c r="BO466" s="399"/>
      <c r="BP466" s="399"/>
      <c r="BQ466" s="399"/>
      <c r="BR466" s="399">
        <v>3.9335999999999993</v>
      </c>
      <c r="BS466" s="399"/>
      <c r="BT466" s="399"/>
      <c r="BU466" s="399"/>
      <c r="BV466" s="399">
        <v>14.510731249950553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28.849600000000002</v>
      </c>
      <c r="CJ466" s="399">
        <v>-0.13640000000000541</v>
      </c>
      <c r="CK466" s="399"/>
      <c r="CL466" s="399"/>
      <c r="CM466" s="399"/>
      <c r="CN466" s="399"/>
      <c r="CO466" s="399">
        <v>-1.9216000000000009</v>
      </c>
      <c r="CP466" s="399">
        <v>1.8007999999999993</v>
      </c>
      <c r="CQ466" s="399">
        <v>30</v>
      </c>
      <c r="CR466" s="399">
        <v>1.4122914495894783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0.19214878221716791</v>
      </c>
      <c r="DA466" s="399">
        <v>0</v>
      </c>
      <c r="DB466" s="399">
        <v>0</v>
      </c>
      <c r="DC466" s="399">
        <v>1.8012277320356791</v>
      </c>
      <c r="DD466" s="399">
        <v>0</v>
      </c>
      <c r="DE466" s="399">
        <v>0</v>
      </c>
      <c r="DF466" s="399">
        <v>0</v>
      </c>
      <c r="DG466" s="399">
        <v>0.17437722639447983</v>
      </c>
      <c r="DH466" s="399">
        <v>0</v>
      </c>
      <c r="DI466" s="399">
        <v>-0.6643181225081447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-8.6184803568144064E-2</v>
      </c>
      <c r="DP466" s="399">
        <v>-4.9593649815626376E-3</v>
      </c>
      <c r="DQ466" s="399">
        <v>0</v>
      </c>
      <c r="DR466" s="399">
        <v>0</v>
      </c>
      <c r="DS466" s="399"/>
      <c r="DT466" s="399"/>
      <c r="DU466" s="399"/>
      <c r="DV466" s="399">
        <v>7.089178099833112</v>
      </c>
      <c r="DW466" s="399">
        <v>0</v>
      </c>
      <c r="DX466" s="399">
        <v>0</v>
      </c>
      <c r="DY466" s="399">
        <v>-1.9216000000000015</v>
      </c>
      <c r="DZ466" s="399">
        <v>1.8007999999999988</v>
      </c>
      <c r="EA466" s="399">
        <v>0</v>
      </c>
      <c r="EB466" s="399">
        <v>0</v>
      </c>
      <c r="EC466" s="399">
        <v>-1.5326420549447519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0.92231972771432003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215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471</v>
      </c>
      <c r="B467" s="399" t="s">
        <v>956</v>
      </c>
      <c r="C467" s="399" t="s">
        <v>2343</v>
      </c>
      <c r="D467" s="399" t="s">
        <v>2353</v>
      </c>
      <c r="E467" s="399" t="s">
        <v>894</v>
      </c>
      <c r="F467" s="399" t="s">
        <v>2363</v>
      </c>
      <c r="G467" s="399" t="s">
        <v>2362</v>
      </c>
      <c r="H467" s="399" t="s">
        <v>1239</v>
      </c>
      <c r="I467" s="399" t="s">
        <v>1239</v>
      </c>
      <c r="J467" s="399" t="s">
        <v>2344</v>
      </c>
      <c r="K467" s="791">
        <v>44713</v>
      </c>
      <c r="L467" s="399">
        <v>0</v>
      </c>
      <c r="M467" s="399">
        <v>0</v>
      </c>
      <c r="N467" s="399">
        <v>58.643000000000001</v>
      </c>
      <c r="O467" s="399">
        <v>23.4572</v>
      </c>
      <c r="P467" s="399">
        <v>58.643000000000001</v>
      </c>
      <c r="Q467" s="399">
        <v>23.4572</v>
      </c>
      <c r="R467" s="399"/>
      <c r="S467" s="399">
        <v>239.69</v>
      </c>
      <c r="T467" s="399">
        <v>171.61</v>
      </c>
      <c r="U467" s="399"/>
      <c r="V467" s="399">
        <v>24119.865900000001</v>
      </c>
      <c r="W467" s="399">
        <v>24119.865900000001</v>
      </c>
      <c r="X467" s="399">
        <v>24031.314969999999</v>
      </c>
      <c r="Y467" s="399">
        <v>0</v>
      </c>
      <c r="Z467" s="399">
        <v>3545.3974036611085</v>
      </c>
      <c r="AA467" s="399">
        <v>0</v>
      </c>
      <c r="AB467" s="399">
        <v>0</v>
      </c>
      <c r="AC467" s="399">
        <v>0</v>
      </c>
      <c r="AD467" s="399">
        <v>3127.7826391552485</v>
      </c>
      <c r="AE467" s="399">
        <v>5196.6333913564149</v>
      </c>
      <c r="AF467" s="399">
        <v>9698.0408351125534</v>
      </c>
      <c r="AG467" s="399">
        <v>365.6600374215609</v>
      </c>
      <c r="AH467" s="399">
        <v>0</v>
      </c>
      <c r="AI467" s="399">
        <v>0</v>
      </c>
      <c r="AJ467" s="399">
        <v>0</v>
      </c>
      <c r="AK467" s="399">
        <v>0</v>
      </c>
      <c r="AL467" s="399">
        <v>548.20126031968573</v>
      </c>
      <c r="AM467" s="399"/>
      <c r="AN467" s="399">
        <v>23.225656700881803</v>
      </c>
      <c r="AO467" s="399">
        <v>0</v>
      </c>
      <c r="AP467" s="399">
        <v>0</v>
      </c>
      <c r="AQ467" s="399">
        <v>0</v>
      </c>
      <c r="AR467" s="399">
        <v>0</v>
      </c>
      <c r="AS467" s="399">
        <v>0</v>
      </c>
      <c r="AT467" s="399">
        <v>0</v>
      </c>
      <c r="AU467" s="399">
        <v>0</v>
      </c>
      <c r="AV467" s="399">
        <v>0</v>
      </c>
      <c r="AW467" s="399">
        <v>0</v>
      </c>
      <c r="AX467" s="399">
        <v>0</v>
      </c>
      <c r="AY467" s="399">
        <v>0</v>
      </c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>
        <v>0</v>
      </c>
      <c r="BG467" s="399">
        <v>938.86932352307531</v>
      </c>
      <c r="BH467" s="399">
        <v>0</v>
      </c>
      <c r="BI467" s="399">
        <v>0</v>
      </c>
      <c r="BJ467" s="399">
        <v>0</v>
      </c>
      <c r="BK467" s="399">
        <v>0</v>
      </c>
      <c r="BL467" s="399">
        <v>0</v>
      </c>
      <c r="BM467" s="399"/>
      <c r="BN467" s="399"/>
      <c r="BO467" s="399"/>
      <c r="BP467" s="399"/>
      <c r="BQ467" s="399"/>
      <c r="BR467" s="399"/>
      <c r="BS467" s="399">
        <v>15572.179505999999</v>
      </c>
      <c r="BT467" s="399"/>
      <c r="BU467" s="399"/>
      <c r="BV467" s="399">
        <v>10636.910158635628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8460.1452000000008</v>
      </c>
      <c r="CJ467" s="399">
        <v>-30.218339999999444</v>
      </c>
      <c r="CK467" s="399"/>
      <c r="CL467" s="399"/>
      <c r="CM467" s="399"/>
      <c r="CN467" s="399"/>
      <c r="CO467" s="399">
        <v>-1408.6048600000006</v>
      </c>
      <c r="CP467" s="399">
        <v>1320.0539299999996</v>
      </c>
      <c r="CQ467" s="399">
        <v>30</v>
      </c>
      <c r="CR467" s="399">
        <v>1035.2625934784483</v>
      </c>
      <c r="CS467" s="399">
        <v>0</v>
      </c>
      <c r="CT467" s="399">
        <v>0</v>
      </c>
      <c r="CU467" s="399">
        <v>0</v>
      </c>
      <c r="CV467" s="399">
        <v>0</v>
      </c>
      <c r="CW467" s="399">
        <v>0</v>
      </c>
      <c r="CX467" s="399">
        <v>0</v>
      </c>
      <c r="CY467" s="399">
        <v>0</v>
      </c>
      <c r="CZ467" s="399">
        <v>140.85226294451741</v>
      </c>
      <c r="DA467" s="399">
        <v>0</v>
      </c>
      <c r="DB467" s="399">
        <v>0</v>
      </c>
      <c r="DC467" s="399">
        <v>1320.3674736221037</v>
      </c>
      <c r="DD467" s="399">
        <v>0</v>
      </c>
      <c r="DE467" s="399">
        <v>0</v>
      </c>
      <c r="DF467" s="399">
        <v>0</v>
      </c>
      <c r="DG467" s="399">
        <v>127.82504609314378</v>
      </c>
      <c r="DH467" s="399">
        <v>0</v>
      </c>
      <c r="DI467" s="399">
        <v>-486.97009572806337</v>
      </c>
      <c r="DJ467" s="399"/>
      <c r="DK467" s="399">
        <v>0</v>
      </c>
      <c r="DL467" s="399">
        <v>0</v>
      </c>
      <c r="DM467" s="399">
        <v>0</v>
      </c>
      <c r="DN467" s="399">
        <v>0</v>
      </c>
      <c r="DO467" s="399">
        <v>-63.176692945583341</v>
      </c>
      <c r="DP467" s="399">
        <v>-3.6354005076722267</v>
      </c>
      <c r="DQ467" s="399">
        <v>0</v>
      </c>
      <c r="DR467" s="399">
        <v>0</v>
      </c>
      <c r="DS467" s="399"/>
      <c r="DT467" s="399"/>
      <c r="DU467" s="399"/>
      <c r="DV467" s="399">
        <v>5196.6333913564149</v>
      </c>
      <c r="DW467" s="399">
        <v>0</v>
      </c>
      <c r="DX467" s="399">
        <v>0</v>
      </c>
      <c r="DY467" s="399">
        <v>-1408.6048600000013</v>
      </c>
      <c r="DZ467" s="399">
        <v>1320.05393</v>
      </c>
      <c r="EA467" s="399">
        <v>0</v>
      </c>
      <c r="EB467" s="399">
        <v>0</v>
      </c>
      <c r="EC467" s="399">
        <v>-1123.4841003515639</v>
      </c>
      <c r="ED467" s="399">
        <v>0</v>
      </c>
      <c r="EE467" s="399">
        <v>0</v>
      </c>
      <c r="EF467" s="399">
        <v>0</v>
      </c>
      <c r="EG467" s="399">
        <v>0</v>
      </c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>
        <v>0</v>
      </c>
      <c r="EN467" s="399">
        <v>0</v>
      </c>
      <c r="EO467" s="399">
        <v>0</v>
      </c>
      <c r="EP467" s="399">
        <v>676.09494740438583</v>
      </c>
      <c r="EQ467" s="399">
        <v>0</v>
      </c>
      <c r="ER467" s="399">
        <v>0</v>
      </c>
      <c r="ES467" s="399">
        <v>0</v>
      </c>
      <c r="ET467" s="399">
        <v>0</v>
      </c>
      <c r="EU467" s="399">
        <v>0</v>
      </c>
      <c r="EV467" s="399">
        <v>215</v>
      </c>
      <c r="EW467" s="399">
        <v>0</v>
      </c>
      <c r="EX467" s="399">
        <v>0</v>
      </c>
      <c r="EY467" s="399">
        <v>0</v>
      </c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472</v>
      </c>
      <c r="B468" s="399" t="s">
        <v>956</v>
      </c>
      <c r="C468" s="399" t="s">
        <v>2343</v>
      </c>
      <c r="D468" s="399" t="s">
        <v>1823</v>
      </c>
      <c r="E468" s="399" t="s">
        <v>889</v>
      </c>
      <c r="F468" s="399" t="s">
        <v>889</v>
      </c>
      <c r="G468" s="399" t="s">
        <v>1239</v>
      </c>
      <c r="H468" s="399" t="s">
        <v>1239</v>
      </c>
      <c r="I468" s="399" t="s">
        <v>1239</v>
      </c>
      <c r="J468" s="399" t="s">
        <v>2344</v>
      </c>
      <c r="K468" s="791">
        <v>44743</v>
      </c>
      <c r="L468" s="399">
        <v>0</v>
      </c>
      <c r="M468" s="399">
        <v>0</v>
      </c>
      <c r="N468" s="399">
        <v>1235.433</v>
      </c>
      <c r="O468" s="399">
        <v>1235.433</v>
      </c>
      <c r="P468" s="399">
        <v>1235.433</v>
      </c>
      <c r="Q468" s="399">
        <v>1235.433</v>
      </c>
      <c r="R468" s="399"/>
      <c r="S468" s="399">
        <v>239.69</v>
      </c>
      <c r="T468" s="399">
        <v>171.61</v>
      </c>
      <c r="U468" s="399"/>
      <c r="V468" s="399">
        <v>508133.59289999999</v>
      </c>
      <c r="W468" s="399">
        <v>508133.59289999999</v>
      </c>
      <c r="X468" s="399">
        <v>506268.08906999999</v>
      </c>
      <c r="Y468" s="399">
        <v>0</v>
      </c>
      <c r="Z468" s="399">
        <v>74690.942663186637</v>
      </c>
      <c r="AA468" s="399">
        <v>0</v>
      </c>
      <c r="AB468" s="399">
        <v>0</v>
      </c>
      <c r="AC468" s="399">
        <v>0</v>
      </c>
      <c r="AD468" s="399">
        <v>65893.045874861215</v>
      </c>
      <c r="AE468" s="399">
        <v>109477.55709263901</v>
      </c>
      <c r="AF468" s="399">
        <v>204308.77825223139</v>
      </c>
      <c r="AG468" s="399">
        <v>7703.3657386530576</v>
      </c>
      <c r="AH468" s="399">
        <v>0</v>
      </c>
      <c r="AI468" s="399">
        <v>0</v>
      </c>
      <c r="AJ468" s="399">
        <v>0</v>
      </c>
      <c r="AK468" s="399">
        <v>0</v>
      </c>
      <c r="AL468" s="399">
        <v>11548.964542068625</v>
      </c>
      <c r="AM468" s="399"/>
      <c r="AN468" s="399">
        <v>489.29527368893997</v>
      </c>
      <c r="AO468" s="399">
        <v>0</v>
      </c>
      <c r="AP468" s="399">
        <v>0</v>
      </c>
      <c r="AQ468" s="399">
        <v>0</v>
      </c>
      <c r="AR468" s="399">
        <v>0</v>
      </c>
      <c r="AS468" s="399">
        <v>0</v>
      </c>
      <c r="AT468" s="399">
        <v>0</v>
      </c>
      <c r="AU468" s="399">
        <v>0</v>
      </c>
      <c r="AV468" s="399">
        <v>0</v>
      </c>
      <c r="AW468" s="399">
        <v>0</v>
      </c>
      <c r="AX468" s="399">
        <v>0</v>
      </c>
      <c r="AY468" s="399">
        <v>0</v>
      </c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>
        <v>0</v>
      </c>
      <c r="BG468" s="399">
        <v>19779.174751770603</v>
      </c>
      <c r="BH468" s="399">
        <v>0</v>
      </c>
      <c r="BI468" s="399">
        <v>0</v>
      </c>
      <c r="BJ468" s="399">
        <v>0</v>
      </c>
      <c r="BK468" s="399">
        <v>86177.88</v>
      </c>
      <c r="BL468" s="399">
        <v>4683</v>
      </c>
      <c r="BM468" s="399"/>
      <c r="BN468" s="399"/>
      <c r="BO468" s="399"/>
      <c r="BP468" s="399"/>
      <c r="BQ468" s="399"/>
      <c r="BR468" s="399"/>
      <c r="BS468" s="399"/>
      <c r="BT468" s="399"/>
      <c r="BU468" s="399"/>
      <c r="BV468" s="399">
        <v>224087.95300400199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506266.85970000003</v>
      </c>
      <c r="CJ468" s="399">
        <v>-1866.7631999999867</v>
      </c>
      <c r="CK468" s="399"/>
      <c r="CL468" s="399"/>
      <c r="CM468" s="399"/>
      <c r="CN468" s="399"/>
      <c r="CO468" s="399">
        <v>-29675.100660000011</v>
      </c>
      <c r="CP468" s="399">
        <v>27809.596829999988</v>
      </c>
      <c r="CQ468" s="399">
        <v>31</v>
      </c>
      <c r="CR468" s="399">
        <v>21809.893280508579</v>
      </c>
      <c r="CS468" s="399">
        <v>0</v>
      </c>
      <c r="CT468" s="399">
        <v>0</v>
      </c>
      <c r="CU468" s="399">
        <v>0</v>
      </c>
      <c r="CV468" s="399">
        <v>0</v>
      </c>
      <c r="CW468" s="399">
        <v>0</v>
      </c>
      <c r="CX468" s="399">
        <v>0</v>
      </c>
      <c r="CY468" s="399">
        <v>0</v>
      </c>
      <c r="CZ468" s="399">
        <v>2967.3368307612836</v>
      </c>
      <c r="DA468" s="399">
        <v>0</v>
      </c>
      <c r="DB468" s="399">
        <v>0</v>
      </c>
      <c r="DC468" s="399">
        <v>27816.202258400444</v>
      </c>
      <c r="DD468" s="399">
        <v>0</v>
      </c>
      <c r="DE468" s="399">
        <v>0</v>
      </c>
      <c r="DF468" s="399">
        <v>0</v>
      </c>
      <c r="DG468" s="399">
        <v>2692.8922492026468</v>
      </c>
      <c r="DH468" s="399">
        <v>0</v>
      </c>
      <c r="DI468" s="399">
        <v>-10259.006638057544</v>
      </c>
      <c r="DJ468" s="399"/>
      <c r="DK468" s="399">
        <v>0</v>
      </c>
      <c r="DL468" s="399">
        <v>0</v>
      </c>
      <c r="DM468" s="399">
        <v>0</v>
      </c>
      <c r="DN468" s="399">
        <v>0</v>
      </c>
      <c r="DO468" s="399">
        <v>-1330.9443803325357</v>
      </c>
      <c r="DP468" s="399">
        <v>-76.587039465835971</v>
      </c>
      <c r="DQ468" s="399">
        <v>0</v>
      </c>
      <c r="DR468" s="399">
        <v>0</v>
      </c>
      <c r="DS468" s="399"/>
      <c r="DT468" s="399"/>
      <c r="DU468" s="399"/>
      <c r="DV468" s="399">
        <v>109477.55709263901</v>
      </c>
      <c r="DW468" s="399">
        <v>0</v>
      </c>
      <c r="DX468" s="399">
        <v>0</v>
      </c>
      <c r="DY468" s="399">
        <v>-29675.100659999996</v>
      </c>
      <c r="DZ468" s="399">
        <v>27809.596829999995</v>
      </c>
      <c r="EA468" s="399">
        <v>0</v>
      </c>
      <c r="EB468" s="399">
        <v>0</v>
      </c>
      <c r="EC468" s="399">
        <v>-23668.457148331989</v>
      </c>
      <c r="ED468" s="399">
        <v>0</v>
      </c>
      <c r="EE468" s="399">
        <v>0</v>
      </c>
      <c r="EF468" s="399">
        <v>0</v>
      </c>
      <c r="EG468" s="399">
        <v>0</v>
      </c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>
        <v>0</v>
      </c>
      <c r="EN468" s="399">
        <v>0</v>
      </c>
      <c r="EO468" s="399">
        <v>0</v>
      </c>
      <c r="EP468" s="399">
        <v>14243.302852116069</v>
      </c>
      <c r="EQ468" s="399">
        <v>0</v>
      </c>
      <c r="ER468" s="399">
        <v>0</v>
      </c>
      <c r="ES468" s="399">
        <v>0</v>
      </c>
      <c r="ET468" s="399">
        <v>0</v>
      </c>
      <c r="EU468" s="399">
        <v>0</v>
      </c>
      <c r="EV468" s="399">
        <v>215</v>
      </c>
      <c r="EW468" s="399">
        <v>0</v>
      </c>
      <c r="EX468" s="399">
        <v>0</v>
      </c>
      <c r="EY468" s="399">
        <v>0</v>
      </c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473</v>
      </c>
      <c r="B469" s="399" t="s">
        <v>2346</v>
      </c>
      <c r="C469" s="399" t="s">
        <v>2343</v>
      </c>
      <c r="D469" s="399" t="s">
        <v>1823</v>
      </c>
      <c r="E469" s="399" t="s">
        <v>889</v>
      </c>
      <c r="F469" s="399" t="s">
        <v>889</v>
      </c>
      <c r="G469" s="399" t="s">
        <v>1239</v>
      </c>
      <c r="H469" s="399" t="s">
        <v>1239</v>
      </c>
      <c r="I469" s="399" t="s">
        <v>1239</v>
      </c>
      <c r="J469" s="399" t="s">
        <v>2344</v>
      </c>
      <c r="K469" s="791">
        <v>44743</v>
      </c>
      <c r="L469" s="399">
        <v>0</v>
      </c>
      <c r="M469" s="399">
        <v>0</v>
      </c>
      <c r="N469" s="399">
        <v>4.4400000000000004</v>
      </c>
      <c r="O469" s="399">
        <v>4.4400000000000004</v>
      </c>
      <c r="P469" s="399">
        <v>4.4400000000000004</v>
      </c>
      <c r="Q469" s="399">
        <v>4.4400000000000004</v>
      </c>
      <c r="R469" s="399"/>
      <c r="S469" s="399">
        <v>239.69</v>
      </c>
      <c r="T469" s="399">
        <v>171.61</v>
      </c>
      <c r="U469" s="399"/>
      <c r="V469" s="399">
        <v>1826.172</v>
      </c>
      <c r="W469" s="399">
        <v>1826.172</v>
      </c>
      <c r="X469" s="399">
        <v>1819.4675999999999</v>
      </c>
      <c r="Y469" s="399">
        <v>0</v>
      </c>
      <c r="Z469" s="399">
        <v>268.43040895341852</v>
      </c>
      <c r="AA469" s="399">
        <v>0</v>
      </c>
      <c r="AB469" s="399">
        <v>0</v>
      </c>
      <c r="AC469" s="399">
        <v>0</v>
      </c>
      <c r="AD469" s="399">
        <v>236.81180904539852</v>
      </c>
      <c r="AE469" s="399">
        <v>393.4493845407377</v>
      </c>
      <c r="AF469" s="399">
        <v>734.26157099568127</v>
      </c>
      <c r="AG469" s="399">
        <v>27.684984843062779</v>
      </c>
      <c r="AH469" s="399">
        <v>0</v>
      </c>
      <c r="AI469" s="399">
        <v>0</v>
      </c>
      <c r="AJ469" s="399">
        <v>0</v>
      </c>
      <c r="AK469" s="399">
        <v>0</v>
      </c>
      <c r="AL469" s="399">
        <v>41.50561185170276</v>
      </c>
      <c r="AM469" s="399"/>
      <c r="AN469" s="399">
        <v>1.7584693100952409</v>
      </c>
      <c r="AO469" s="399">
        <v>0</v>
      </c>
      <c r="AP469" s="399">
        <v>0</v>
      </c>
      <c r="AQ469" s="399">
        <v>0</v>
      </c>
      <c r="AR469" s="399">
        <v>0</v>
      </c>
      <c r="AS469" s="399">
        <v>0</v>
      </c>
      <c r="AT469" s="399">
        <v>0</v>
      </c>
      <c r="AU469" s="399">
        <v>0</v>
      </c>
      <c r="AV469" s="399">
        <v>0</v>
      </c>
      <c r="AW469" s="399">
        <v>0</v>
      </c>
      <c r="AX469" s="399">
        <v>0</v>
      </c>
      <c r="AY469" s="399">
        <v>0</v>
      </c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>
        <v>0</v>
      </c>
      <c r="BG469" s="399">
        <v>71.084013376574447</v>
      </c>
      <c r="BH469" s="399">
        <v>0</v>
      </c>
      <c r="BI469" s="399">
        <v>0</v>
      </c>
      <c r="BJ469" s="399">
        <v>0</v>
      </c>
      <c r="BK469" s="399">
        <v>662.44</v>
      </c>
      <c r="BL469" s="399">
        <v>23</v>
      </c>
      <c r="BM469" s="399"/>
      <c r="BN469" s="399"/>
      <c r="BO469" s="399"/>
      <c r="BP469" s="399"/>
      <c r="BQ469" s="399"/>
      <c r="BR469" s="399"/>
      <c r="BS469" s="399"/>
      <c r="BT469" s="399"/>
      <c r="BU469" s="399"/>
      <c r="BV469" s="399">
        <v>805.34558437225576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1819.4675999999999</v>
      </c>
      <c r="CJ469" s="399">
        <v>-6.7344000000000506</v>
      </c>
      <c r="CK469" s="399"/>
      <c r="CL469" s="399"/>
      <c r="CM469" s="399"/>
      <c r="CN469" s="399"/>
      <c r="CO469" s="399">
        <v>-106.64880000000005</v>
      </c>
      <c r="CP469" s="399">
        <v>99.944399999999973</v>
      </c>
      <c r="CQ469" s="399">
        <v>31</v>
      </c>
      <c r="CR469" s="399">
        <v>78.382175452216188</v>
      </c>
      <c r="CS469" s="399">
        <v>0</v>
      </c>
      <c r="CT469" s="399">
        <v>0</v>
      </c>
      <c r="CU469" s="399">
        <v>0</v>
      </c>
      <c r="CV469" s="399">
        <v>0</v>
      </c>
      <c r="CW469" s="399">
        <v>0</v>
      </c>
      <c r="CX469" s="399">
        <v>0</v>
      </c>
      <c r="CY469" s="399">
        <v>0</v>
      </c>
      <c r="CZ469" s="399">
        <v>10.664257413052809</v>
      </c>
      <c r="DA469" s="399">
        <v>0</v>
      </c>
      <c r="DB469" s="399">
        <v>0</v>
      </c>
      <c r="DC469" s="399">
        <v>99.968139127980294</v>
      </c>
      <c r="DD469" s="399">
        <v>0</v>
      </c>
      <c r="DE469" s="399">
        <v>0</v>
      </c>
      <c r="DF469" s="399">
        <v>0</v>
      </c>
      <c r="DG469" s="399">
        <v>9.677936064893629</v>
      </c>
      <c r="DH469" s="399">
        <v>0</v>
      </c>
      <c r="DI469" s="399">
        <v>-36.869655799201979</v>
      </c>
      <c r="DJ469" s="399"/>
      <c r="DK469" s="399">
        <v>0</v>
      </c>
      <c r="DL469" s="399">
        <v>0</v>
      </c>
      <c r="DM469" s="399">
        <v>0</v>
      </c>
      <c r="DN469" s="399">
        <v>0</v>
      </c>
      <c r="DO469" s="399">
        <v>-4.7832565980319899</v>
      </c>
      <c r="DP469" s="399">
        <v>-0.27524475647672664</v>
      </c>
      <c r="DQ469" s="399">
        <v>0</v>
      </c>
      <c r="DR469" s="399">
        <v>0</v>
      </c>
      <c r="DS469" s="399"/>
      <c r="DT469" s="399"/>
      <c r="DU469" s="399"/>
      <c r="DV469" s="399">
        <v>393.4493845407377</v>
      </c>
      <c r="DW469" s="399">
        <v>0</v>
      </c>
      <c r="DX469" s="399">
        <v>0</v>
      </c>
      <c r="DY469" s="399">
        <v>-106.64880000000005</v>
      </c>
      <c r="DZ469" s="399">
        <v>99.944399999999973</v>
      </c>
      <c r="EA469" s="399">
        <v>0</v>
      </c>
      <c r="EB469" s="399">
        <v>0</v>
      </c>
      <c r="EC469" s="399">
        <v>-85.061634049433678</v>
      </c>
      <c r="ED469" s="399">
        <v>0</v>
      </c>
      <c r="EE469" s="399">
        <v>0</v>
      </c>
      <c r="EF469" s="399">
        <v>0</v>
      </c>
      <c r="EG469" s="399">
        <v>0</v>
      </c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>
        <v>0</v>
      </c>
      <c r="EN469" s="399">
        <v>0</v>
      </c>
      <c r="EO469" s="399">
        <v>0</v>
      </c>
      <c r="EP469" s="399">
        <v>51.188744888144761</v>
      </c>
      <c r="EQ469" s="399">
        <v>0</v>
      </c>
      <c r="ER469" s="399">
        <v>0</v>
      </c>
      <c r="ES469" s="399">
        <v>0</v>
      </c>
      <c r="ET469" s="399">
        <v>0</v>
      </c>
      <c r="EU469" s="399">
        <v>0</v>
      </c>
      <c r="EV469" s="399">
        <v>215</v>
      </c>
      <c r="EW469" s="399">
        <v>0</v>
      </c>
      <c r="EX469" s="399">
        <v>0</v>
      </c>
      <c r="EY469" s="399">
        <v>0</v>
      </c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474</v>
      </c>
      <c r="B470" s="399" t="s">
        <v>956</v>
      </c>
      <c r="C470" s="399" t="s">
        <v>2343</v>
      </c>
      <c r="D470" s="399" t="s">
        <v>1823</v>
      </c>
      <c r="E470" s="399" t="s">
        <v>889</v>
      </c>
      <c r="F470" s="399" t="s">
        <v>2347</v>
      </c>
      <c r="G470" s="399" t="s">
        <v>1239</v>
      </c>
      <c r="H470" s="399" t="s">
        <v>1239</v>
      </c>
      <c r="I470" s="399" t="s">
        <v>1239</v>
      </c>
      <c r="J470" s="399" t="s">
        <v>2344</v>
      </c>
      <c r="K470" s="791">
        <v>44743</v>
      </c>
      <c r="L470" s="399">
        <v>0</v>
      </c>
      <c r="M470" s="399">
        <v>0</v>
      </c>
      <c r="N470" s="399">
        <v>11.34</v>
      </c>
      <c r="O470" s="399">
        <v>11.34</v>
      </c>
      <c r="P470" s="399">
        <v>11.34</v>
      </c>
      <c r="Q470" s="399">
        <v>11.34</v>
      </c>
      <c r="R470" s="399"/>
      <c r="S470" s="399">
        <v>158.36000000000001</v>
      </c>
      <c r="T470" s="399">
        <v>171.61</v>
      </c>
      <c r="U470" s="399"/>
      <c r="V470" s="399">
        <v>3741.8598000000002</v>
      </c>
      <c r="W470" s="399">
        <v>3741.8598000000002</v>
      </c>
      <c r="X470" s="399">
        <v>3831.1055999999999</v>
      </c>
      <c r="Y470" s="399">
        <v>0</v>
      </c>
      <c r="Z470" s="399">
        <v>0</v>
      </c>
      <c r="AA470" s="399">
        <v>0</v>
      </c>
      <c r="AB470" s="399">
        <v>0</v>
      </c>
      <c r="AC470" s="399">
        <v>0</v>
      </c>
      <c r="AD470" s="399">
        <v>604.83016094027448</v>
      </c>
      <c r="AE470" s="399">
        <v>1004.8909956513436</v>
      </c>
      <c r="AF470" s="399">
        <v>1875.3437421376182</v>
      </c>
      <c r="AG470" s="399">
        <v>70.70894777484952</v>
      </c>
      <c r="AH470" s="399">
        <v>0</v>
      </c>
      <c r="AI470" s="399">
        <v>0</v>
      </c>
      <c r="AJ470" s="399">
        <v>0</v>
      </c>
      <c r="AK470" s="399">
        <v>0</v>
      </c>
      <c r="AL470" s="399">
        <v>0</v>
      </c>
      <c r="AM470" s="399"/>
      <c r="AN470" s="399">
        <v>4.4912256703783848</v>
      </c>
      <c r="AO470" s="399">
        <v>0</v>
      </c>
      <c r="AP470" s="399">
        <v>0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181.55241254287253</v>
      </c>
      <c r="BH470" s="399">
        <v>0</v>
      </c>
      <c r="BI470" s="399">
        <v>0</v>
      </c>
      <c r="BJ470" s="399">
        <v>0</v>
      </c>
      <c r="BK470" s="399">
        <v>181.59</v>
      </c>
      <c r="BL470" s="399">
        <v>5</v>
      </c>
      <c r="BM470" s="399"/>
      <c r="BN470" s="399"/>
      <c r="BO470" s="399"/>
      <c r="BP470" s="399"/>
      <c r="BQ470" s="399"/>
      <c r="BR470" s="399"/>
      <c r="BS470" s="399"/>
      <c r="BT470" s="399">
        <v>2490.2640000000001</v>
      </c>
      <c r="BU470" s="399"/>
      <c r="BV470" s="399">
        <v>2056.8961546804908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1340.8415999999997</v>
      </c>
      <c r="CJ470" s="399">
        <v>31.268399999999701</v>
      </c>
      <c r="CK470" s="399"/>
      <c r="CL470" s="399"/>
      <c r="CM470" s="399"/>
      <c r="CN470" s="399"/>
      <c r="CO470" s="399">
        <v>-166.01760000000016</v>
      </c>
      <c r="CP470" s="399">
        <v>255.2633999999999</v>
      </c>
      <c r="CQ470" s="399">
        <v>31</v>
      </c>
      <c r="CR470" s="399">
        <v>306.57610275062189</v>
      </c>
      <c r="CS470" s="399">
        <v>0</v>
      </c>
      <c r="CT470" s="399">
        <v>0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27.237089879283531</v>
      </c>
      <c r="DA470" s="399">
        <v>0</v>
      </c>
      <c r="DB470" s="399">
        <v>0</v>
      </c>
      <c r="DC470" s="399">
        <v>255.32403101605746</v>
      </c>
      <c r="DD470" s="399">
        <v>0</v>
      </c>
      <c r="DE470" s="399">
        <v>0</v>
      </c>
      <c r="DF470" s="399">
        <v>0</v>
      </c>
      <c r="DG470" s="399">
        <v>24.717971841417551</v>
      </c>
      <c r="DH470" s="399">
        <v>0</v>
      </c>
      <c r="DI470" s="399">
        <v>0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0</v>
      </c>
      <c r="DP470" s="399">
        <v>-0.7029899861365041</v>
      </c>
      <c r="DQ470" s="399">
        <v>0</v>
      </c>
      <c r="DR470" s="399">
        <v>0</v>
      </c>
      <c r="DS470" s="399"/>
      <c r="DT470" s="399"/>
      <c r="DU470" s="399"/>
      <c r="DV470" s="399">
        <v>1004.8909956513436</v>
      </c>
      <c r="DW470" s="399">
        <v>0</v>
      </c>
      <c r="DX470" s="399">
        <v>0</v>
      </c>
      <c r="DY470" s="399">
        <v>-166.01760000000013</v>
      </c>
      <c r="DZ470" s="399">
        <v>255.26339999999982</v>
      </c>
      <c r="EA470" s="399">
        <v>0</v>
      </c>
      <c r="EB470" s="399">
        <v>0</v>
      </c>
      <c r="EC470" s="399">
        <v>-217.25201128841854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0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215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475</v>
      </c>
      <c r="B471" s="399" t="s">
        <v>956</v>
      </c>
      <c r="C471" s="399" t="s">
        <v>2343</v>
      </c>
      <c r="D471" s="399" t="s">
        <v>1823</v>
      </c>
      <c r="E471" s="399" t="s">
        <v>889</v>
      </c>
      <c r="F471" s="399" t="s">
        <v>2348</v>
      </c>
      <c r="G471" s="399" t="s">
        <v>1239</v>
      </c>
      <c r="H471" s="399" t="s">
        <v>1239</v>
      </c>
      <c r="I471" s="399" t="s">
        <v>1239</v>
      </c>
      <c r="J471" s="399" t="s">
        <v>2344</v>
      </c>
      <c r="K471" s="791">
        <v>44743</v>
      </c>
      <c r="L471" s="399">
        <v>0</v>
      </c>
      <c r="M471" s="399">
        <v>0</v>
      </c>
      <c r="N471" s="399">
        <v>24.963000000000001</v>
      </c>
      <c r="O471" s="399">
        <v>24.963000000000001</v>
      </c>
      <c r="P471" s="399">
        <v>24.963000000000001</v>
      </c>
      <c r="Q471" s="399">
        <v>24.963000000000001</v>
      </c>
      <c r="R471" s="399"/>
      <c r="S471" s="399">
        <v>158.36000000000001</v>
      </c>
      <c r="T471" s="399">
        <v>171.61</v>
      </c>
      <c r="U471" s="399"/>
      <c r="V471" s="399">
        <v>8237.0411100000019</v>
      </c>
      <c r="W471" s="399">
        <v>8237.0411100000019</v>
      </c>
      <c r="X471" s="399">
        <v>8433.4999200000002</v>
      </c>
      <c r="Y471" s="399">
        <v>0</v>
      </c>
      <c r="Z471" s="399">
        <v>0</v>
      </c>
      <c r="AA471" s="399">
        <v>0</v>
      </c>
      <c r="AB471" s="399">
        <v>0</v>
      </c>
      <c r="AC471" s="399">
        <v>0</v>
      </c>
      <c r="AD471" s="399">
        <v>1331.4263939640277</v>
      </c>
      <c r="AE471" s="399">
        <v>2212.0894113266745</v>
      </c>
      <c r="AF471" s="399">
        <v>4128.2368461182859</v>
      </c>
      <c r="AG471" s="399">
        <v>155.65321545886849</v>
      </c>
      <c r="AH471" s="399">
        <v>0</v>
      </c>
      <c r="AI471" s="399">
        <v>0</v>
      </c>
      <c r="AJ471" s="399">
        <v>0</v>
      </c>
      <c r="AK471" s="399">
        <v>0</v>
      </c>
      <c r="AL471" s="399">
        <v>0</v>
      </c>
      <c r="AM471" s="399"/>
      <c r="AN471" s="399">
        <v>9.8866372495287163</v>
      </c>
      <c r="AO471" s="399">
        <v>0</v>
      </c>
      <c r="AP471" s="399">
        <v>0</v>
      </c>
      <c r="AQ471" s="399">
        <v>0</v>
      </c>
      <c r="AR471" s="399">
        <v>0</v>
      </c>
      <c r="AS471" s="399">
        <v>0</v>
      </c>
      <c r="AT471" s="399">
        <v>0</v>
      </c>
      <c r="AU471" s="399">
        <v>0</v>
      </c>
      <c r="AV471" s="399">
        <v>0</v>
      </c>
      <c r="AW471" s="399">
        <v>0</v>
      </c>
      <c r="AX471" s="399">
        <v>0</v>
      </c>
      <c r="AY471" s="399">
        <v>0</v>
      </c>
      <c r="AZ471" s="399">
        <v>0</v>
      </c>
      <c r="BA471" s="399"/>
      <c r="BB471" s="399">
        <v>0</v>
      </c>
      <c r="BC471" s="399">
        <v>0</v>
      </c>
      <c r="BD471" s="399">
        <v>0</v>
      </c>
      <c r="BE471" s="399">
        <v>0</v>
      </c>
      <c r="BF471" s="399">
        <v>0</v>
      </c>
      <c r="BG471" s="399">
        <v>399.65545628815937</v>
      </c>
      <c r="BH471" s="399">
        <v>0</v>
      </c>
      <c r="BI471" s="399">
        <v>0</v>
      </c>
      <c r="BJ471" s="399">
        <v>0</v>
      </c>
      <c r="BK471" s="399">
        <v>686.61</v>
      </c>
      <c r="BL471" s="399">
        <v>42</v>
      </c>
      <c r="BM471" s="399"/>
      <c r="BN471" s="399"/>
      <c r="BO471" s="399"/>
      <c r="BP471" s="399"/>
      <c r="BQ471" s="399"/>
      <c r="BR471" s="399"/>
      <c r="BS471" s="399"/>
      <c r="BT471" s="399">
        <v>3373.49982</v>
      </c>
      <c r="BU471" s="399"/>
      <c r="BV471" s="399">
        <v>4527.8923024064452</v>
      </c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>
        <v>5059.3919999999998</v>
      </c>
      <c r="CJ471" s="399">
        <v>117.18725999999879</v>
      </c>
      <c r="CK471" s="399"/>
      <c r="CL471" s="399"/>
      <c r="CM471" s="399"/>
      <c r="CN471" s="399"/>
      <c r="CO471" s="399">
        <v>-365.45832000000036</v>
      </c>
      <c r="CP471" s="399">
        <v>561.91712999999982</v>
      </c>
      <c r="CQ471" s="399">
        <v>31</v>
      </c>
      <c r="CR471" s="399">
        <v>674.87294999680671</v>
      </c>
      <c r="CS471" s="399">
        <v>0</v>
      </c>
      <c r="CT471" s="399">
        <v>0</v>
      </c>
      <c r="CU471" s="399">
        <v>0</v>
      </c>
      <c r="CV471" s="399">
        <v>0</v>
      </c>
      <c r="CW471" s="399">
        <v>0</v>
      </c>
      <c r="CX471" s="399">
        <v>0</v>
      </c>
      <c r="CY471" s="399">
        <v>0</v>
      </c>
      <c r="CZ471" s="399">
        <v>59.957625631089513</v>
      </c>
      <c r="DA471" s="399">
        <v>0</v>
      </c>
      <c r="DB471" s="399">
        <v>0</v>
      </c>
      <c r="DC471" s="399">
        <v>562.05059843508388</v>
      </c>
      <c r="DD471" s="399">
        <v>0</v>
      </c>
      <c r="DE471" s="399">
        <v>0</v>
      </c>
      <c r="DF471" s="399">
        <v>0</v>
      </c>
      <c r="DG471" s="399">
        <v>54.412233781067584</v>
      </c>
      <c r="DH471" s="399">
        <v>0</v>
      </c>
      <c r="DI471" s="399">
        <v>0</v>
      </c>
      <c r="DJ471" s="399"/>
      <c r="DK471" s="399">
        <v>0</v>
      </c>
      <c r="DL471" s="399">
        <v>0</v>
      </c>
      <c r="DM471" s="399">
        <v>0</v>
      </c>
      <c r="DN471" s="399">
        <v>0</v>
      </c>
      <c r="DO471" s="399">
        <v>0</v>
      </c>
      <c r="DP471" s="399">
        <v>-1.5475078504343536</v>
      </c>
      <c r="DQ471" s="399">
        <v>0</v>
      </c>
      <c r="DR471" s="399">
        <v>0</v>
      </c>
      <c r="DS471" s="399"/>
      <c r="DT471" s="399"/>
      <c r="DU471" s="399"/>
      <c r="DV471" s="399">
        <v>2212.0894113266745</v>
      </c>
      <c r="DW471" s="399">
        <v>0</v>
      </c>
      <c r="DX471" s="399">
        <v>0</v>
      </c>
      <c r="DY471" s="399">
        <v>-365.45832000000019</v>
      </c>
      <c r="DZ471" s="399">
        <v>561.91712999999982</v>
      </c>
      <c r="EA471" s="399">
        <v>0</v>
      </c>
      <c r="EB471" s="399">
        <v>0</v>
      </c>
      <c r="EC471" s="399">
        <v>-478.24179521982296</v>
      </c>
      <c r="ED471" s="399">
        <v>0</v>
      </c>
      <c r="EE471" s="399">
        <v>0</v>
      </c>
      <c r="EF471" s="399">
        <v>0</v>
      </c>
      <c r="EG471" s="399">
        <v>0</v>
      </c>
      <c r="EH471" s="399">
        <v>0</v>
      </c>
      <c r="EI471" s="399">
        <v>0</v>
      </c>
      <c r="EJ471" s="399">
        <v>0</v>
      </c>
      <c r="EK471" s="399">
        <v>0</v>
      </c>
      <c r="EL471" s="399">
        <v>0</v>
      </c>
      <c r="EM471" s="399">
        <v>0</v>
      </c>
      <c r="EN471" s="399">
        <v>0</v>
      </c>
      <c r="EO471" s="399">
        <v>0</v>
      </c>
      <c r="EP471" s="399">
        <v>0</v>
      </c>
      <c r="EQ471" s="399">
        <v>0</v>
      </c>
      <c r="ER471" s="399">
        <v>0</v>
      </c>
      <c r="ES471" s="399">
        <v>0</v>
      </c>
      <c r="ET471" s="399">
        <v>0</v>
      </c>
      <c r="EU471" s="399">
        <v>0</v>
      </c>
      <c r="EV471" s="399">
        <v>215</v>
      </c>
      <c r="EW471" s="399">
        <v>0</v>
      </c>
      <c r="EX471" s="399">
        <v>0</v>
      </c>
      <c r="EY471" s="399">
        <v>0</v>
      </c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476</v>
      </c>
      <c r="B472" s="399" t="s">
        <v>956</v>
      </c>
      <c r="C472" s="399" t="s">
        <v>2343</v>
      </c>
      <c r="D472" s="399" t="s">
        <v>1823</v>
      </c>
      <c r="E472" s="399" t="s">
        <v>889</v>
      </c>
      <c r="F472" s="399" t="s">
        <v>2349</v>
      </c>
      <c r="G472" s="399" t="s">
        <v>1239</v>
      </c>
      <c r="H472" s="399" t="s">
        <v>1239</v>
      </c>
      <c r="I472" s="399" t="s">
        <v>1239</v>
      </c>
      <c r="J472" s="399" t="s">
        <v>2344</v>
      </c>
      <c r="K472" s="791">
        <v>44743</v>
      </c>
      <c r="L472" s="399">
        <v>0</v>
      </c>
      <c r="M472" s="399">
        <v>0</v>
      </c>
      <c r="N472" s="399">
        <v>31.488</v>
      </c>
      <c r="O472" s="399">
        <v>31.488</v>
      </c>
      <c r="P472" s="399">
        <v>31.488</v>
      </c>
      <c r="Q472" s="399">
        <v>31.488</v>
      </c>
      <c r="R472" s="399"/>
      <c r="S472" s="399">
        <v>158.36000000000001</v>
      </c>
      <c r="T472" s="399">
        <v>171.61</v>
      </c>
      <c r="U472" s="399"/>
      <c r="V472" s="399">
        <v>10390.095360000001</v>
      </c>
      <c r="W472" s="399">
        <v>10390.095360000001</v>
      </c>
      <c r="X472" s="399">
        <v>10637.905920000001</v>
      </c>
      <c r="Y472" s="399">
        <v>0</v>
      </c>
      <c r="Z472" s="399">
        <v>0</v>
      </c>
      <c r="AA472" s="399">
        <v>0</v>
      </c>
      <c r="AB472" s="399">
        <v>0</v>
      </c>
      <c r="AC472" s="399">
        <v>0</v>
      </c>
      <c r="AD472" s="399">
        <v>1679.4437484733126</v>
      </c>
      <c r="AE472" s="399">
        <v>2790.3005000943126</v>
      </c>
      <c r="AF472" s="399">
        <v>5207.3036818720748</v>
      </c>
      <c r="AG472" s="399">
        <v>196.33891953566683</v>
      </c>
      <c r="AH472" s="399">
        <v>0</v>
      </c>
      <c r="AI472" s="399">
        <v>0</v>
      </c>
      <c r="AJ472" s="399">
        <v>0</v>
      </c>
      <c r="AK472" s="399">
        <v>0</v>
      </c>
      <c r="AL472" s="399">
        <v>0</v>
      </c>
      <c r="AM472" s="399"/>
      <c r="AN472" s="399">
        <v>12.470874242405166</v>
      </c>
      <c r="AO472" s="399">
        <v>0</v>
      </c>
      <c r="AP472" s="399">
        <v>0</v>
      </c>
      <c r="AQ472" s="399">
        <v>0</v>
      </c>
      <c r="AR472" s="399">
        <v>0</v>
      </c>
      <c r="AS472" s="399">
        <v>0</v>
      </c>
      <c r="AT472" s="399">
        <v>0</v>
      </c>
      <c r="AU472" s="399">
        <v>0</v>
      </c>
      <c r="AV472" s="399">
        <v>0</v>
      </c>
      <c r="AW472" s="399">
        <v>0</v>
      </c>
      <c r="AX472" s="399">
        <v>0</v>
      </c>
      <c r="AY472" s="399">
        <v>0</v>
      </c>
      <c r="AZ472" s="399">
        <v>0</v>
      </c>
      <c r="BA472" s="399"/>
      <c r="BB472" s="399">
        <v>0</v>
      </c>
      <c r="BC472" s="399">
        <v>0</v>
      </c>
      <c r="BD472" s="399">
        <v>0</v>
      </c>
      <c r="BE472" s="399">
        <v>0</v>
      </c>
      <c r="BF472" s="399">
        <v>0</v>
      </c>
      <c r="BG472" s="399">
        <v>504.12013810846304</v>
      </c>
      <c r="BH472" s="399">
        <v>0</v>
      </c>
      <c r="BI472" s="399">
        <v>0</v>
      </c>
      <c r="BJ472" s="399">
        <v>0</v>
      </c>
      <c r="BK472" s="399">
        <v>1690.74</v>
      </c>
      <c r="BL472" s="399">
        <v>122</v>
      </c>
      <c r="BM472" s="399"/>
      <c r="BN472" s="399"/>
      <c r="BO472" s="399"/>
      <c r="BP472" s="399"/>
      <c r="BQ472" s="399"/>
      <c r="BR472" s="399"/>
      <c r="BS472" s="399"/>
      <c r="BT472" s="399">
        <v>1063.66464</v>
      </c>
      <c r="BU472" s="399"/>
      <c r="BV472" s="399">
        <v>5711.4238199805377</v>
      </c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>
        <v>9574.8493999999992</v>
      </c>
      <c r="CJ472" s="399">
        <v>223.82803999999851</v>
      </c>
      <c r="CK472" s="399"/>
      <c r="CL472" s="399"/>
      <c r="CM472" s="399"/>
      <c r="CN472" s="399"/>
      <c r="CO472" s="399">
        <v>-460.98432000000048</v>
      </c>
      <c r="CP472" s="399">
        <v>708.79487999999969</v>
      </c>
      <c r="CQ472" s="399">
        <v>31</v>
      </c>
      <c r="CR472" s="399">
        <v>851.27586626204265</v>
      </c>
      <c r="CS472" s="399">
        <v>0</v>
      </c>
      <c r="CT472" s="399">
        <v>0</v>
      </c>
      <c r="CU472" s="399">
        <v>0</v>
      </c>
      <c r="CV472" s="399">
        <v>0</v>
      </c>
      <c r="CW472" s="399">
        <v>0</v>
      </c>
      <c r="CX472" s="399">
        <v>0</v>
      </c>
      <c r="CY472" s="399">
        <v>0</v>
      </c>
      <c r="CZ472" s="399">
        <v>75.629760680677236</v>
      </c>
      <c r="DA472" s="399">
        <v>0</v>
      </c>
      <c r="DB472" s="399">
        <v>0</v>
      </c>
      <c r="DC472" s="399">
        <v>708.96323532924271</v>
      </c>
      <c r="DD472" s="399">
        <v>0</v>
      </c>
      <c r="DE472" s="399">
        <v>0</v>
      </c>
      <c r="DF472" s="399">
        <v>0</v>
      </c>
      <c r="DG472" s="399">
        <v>68.634876308867319</v>
      </c>
      <c r="DH472" s="399">
        <v>0</v>
      </c>
      <c r="DI472" s="399">
        <v>0</v>
      </c>
      <c r="DJ472" s="399"/>
      <c r="DK472" s="399">
        <v>0</v>
      </c>
      <c r="DL472" s="399">
        <v>0</v>
      </c>
      <c r="DM472" s="399">
        <v>0</v>
      </c>
      <c r="DN472" s="399">
        <v>0</v>
      </c>
      <c r="DO472" s="399">
        <v>0</v>
      </c>
      <c r="DP472" s="399">
        <v>-1.9520060567430555</v>
      </c>
      <c r="DQ472" s="399">
        <v>0</v>
      </c>
      <c r="DR472" s="399">
        <v>0</v>
      </c>
      <c r="DS472" s="399"/>
      <c r="DT472" s="399"/>
      <c r="DU472" s="399"/>
      <c r="DV472" s="399">
        <v>2790.3005000943126</v>
      </c>
      <c r="DW472" s="399">
        <v>0</v>
      </c>
      <c r="DX472" s="399">
        <v>0</v>
      </c>
      <c r="DY472" s="399">
        <v>-460.98432000000048</v>
      </c>
      <c r="DZ472" s="399">
        <v>708.79487999999947</v>
      </c>
      <c r="EA472" s="399">
        <v>0</v>
      </c>
      <c r="EB472" s="399">
        <v>0</v>
      </c>
      <c r="EC472" s="399">
        <v>-603.24791282625438</v>
      </c>
      <c r="ED472" s="399">
        <v>0</v>
      </c>
      <c r="EE472" s="399">
        <v>0</v>
      </c>
      <c r="EF472" s="399">
        <v>0</v>
      </c>
      <c r="EG472" s="399">
        <v>0</v>
      </c>
      <c r="EH472" s="399">
        <v>0</v>
      </c>
      <c r="EI472" s="399">
        <v>0</v>
      </c>
      <c r="EJ472" s="399">
        <v>0</v>
      </c>
      <c r="EK472" s="399">
        <v>0</v>
      </c>
      <c r="EL472" s="399">
        <v>0</v>
      </c>
      <c r="EM472" s="399">
        <v>0</v>
      </c>
      <c r="EN472" s="399">
        <v>0</v>
      </c>
      <c r="EO472" s="399">
        <v>0</v>
      </c>
      <c r="EP472" s="399">
        <v>0</v>
      </c>
      <c r="EQ472" s="399">
        <v>0</v>
      </c>
      <c r="ER472" s="399">
        <v>0</v>
      </c>
      <c r="ES472" s="399">
        <v>0</v>
      </c>
      <c r="ET472" s="399">
        <v>0</v>
      </c>
      <c r="EU472" s="399">
        <v>0</v>
      </c>
      <c r="EV472" s="399">
        <v>215</v>
      </c>
      <c r="EW472" s="399">
        <v>0</v>
      </c>
      <c r="EX472" s="399">
        <v>0</v>
      </c>
      <c r="EY472" s="399">
        <v>0</v>
      </c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477</v>
      </c>
      <c r="B473" s="399" t="s">
        <v>956</v>
      </c>
      <c r="C473" s="399" t="s">
        <v>2343</v>
      </c>
      <c r="D473" s="399" t="s">
        <v>1823</v>
      </c>
      <c r="E473" s="399" t="s">
        <v>889</v>
      </c>
      <c r="F473" s="399" t="s">
        <v>2350</v>
      </c>
      <c r="G473" s="399" t="s">
        <v>1239</v>
      </c>
      <c r="H473" s="399" t="s">
        <v>1239</v>
      </c>
      <c r="I473" s="399" t="s">
        <v>1239</v>
      </c>
      <c r="J473" s="399" t="s">
        <v>2344</v>
      </c>
      <c r="K473" s="791">
        <v>44743</v>
      </c>
      <c r="L473" s="399">
        <v>0</v>
      </c>
      <c r="M473" s="399">
        <v>0</v>
      </c>
      <c r="N473" s="399">
        <v>28.616</v>
      </c>
      <c r="O473" s="399">
        <v>28.616</v>
      </c>
      <c r="P473" s="399">
        <v>28.616</v>
      </c>
      <c r="Q473" s="399">
        <v>28.616</v>
      </c>
      <c r="R473" s="399"/>
      <c r="S473" s="399">
        <v>158.36000000000001</v>
      </c>
      <c r="T473" s="399">
        <v>171.61</v>
      </c>
      <c r="U473" s="399"/>
      <c r="V473" s="399">
        <v>9442.4215199999999</v>
      </c>
      <c r="W473" s="399">
        <v>9442.4215199999999</v>
      </c>
      <c r="X473" s="399">
        <v>9667.6294400000006</v>
      </c>
      <c r="Y473" s="399">
        <v>0</v>
      </c>
      <c r="Z473" s="399">
        <v>0</v>
      </c>
      <c r="AA473" s="399">
        <v>0</v>
      </c>
      <c r="AB473" s="399">
        <v>0</v>
      </c>
      <c r="AC473" s="399">
        <v>0</v>
      </c>
      <c r="AD473" s="399">
        <v>1526.262776496199</v>
      </c>
      <c r="AE473" s="399">
        <v>2535.7990063103039</v>
      </c>
      <c r="AF473" s="399">
        <v>4732.3488999127057</v>
      </c>
      <c r="AG473" s="399">
        <v>178.4309743849289</v>
      </c>
      <c r="AH473" s="399">
        <v>0</v>
      </c>
      <c r="AI473" s="399">
        <v>0</v>
      </c>
      <c r="AJ473" s="399">
        <v>0</v>
      </c>
      <c r="AK473" s="399">
        <v>0</v>
      </c>
      <c r="AL473" s="399">
        <v>0</v>
      </c>
      <c r="AM473" s="399"/>
      <c r="AN473" s="399">
        <v>11.333413913893111</v>
      </c>
      <c r="AO473" s="399">
        <v>0</v>
      </c>
      <c r="AP473" s="399">
        <v>0</v>
      </c>
      <c r="AQ473" s="399">
        <v>0</v>
      </c>
      <c r="AR473" s="399">
        <v>0</v>
      </c>
      <c r="AS473" s="399">
        <v>0</v>
      </c>
      <c r="AT473" s="399">
        <v>0</v>
      </c>
      <c r="AU473" s="399">
        <v>0</v>
      </c>
      <c r="AV473" s="399">
        <v>0</v>
      </c>
      <c r="AW473" s="399">
        <v>0</v>
      </c>
      <c r="AX473" s="399">
        <v>0</v>
      </c>
      <c r="AY473" s="399">
        <v>0</v>
      </c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>
        <v>0</v>
      </c>
      <c r="BG473" s="399">
        <v>458.13966819460677</v>
      </c>
      <c r="BH473" s="399">
        <v>0</v>
      </c>
      <c r="BI473" s="399">
        <v>0</v>
      </c>
      <c r="BJ473" s="399">
        <v>0</v>
      </c>
      <c r="BK473" s="399">
        <v>1980.08</v>
      </c>
      <c r="BL473" s="399">
        <v>191</v>
      </c>
      <c r="BM473" s="399"/>
      <c r="BN473" s="399"/>
      <c r="BO473" s="399"/>
      <c r="BP473" s="399"/>
      <c r="BQ473" s="399"/>
      <c r="BR473" s="399"/>
      <c r="BS473" s="399"/>
      <c r="BT473" s="399"/>
      <c r="BU473" s="399"/>
      <c r="BV473" s="399">
        <v>5190.4885681073129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9668.9808000000012</v>
      </c>
      <c r="CJ473" s="399">
        <v>226.52928000000065</v>
      </c>
      <c r="CK473" s="399"/>
      <c r="CL473" s="399"/>
      <c r="CM473" s="399"/>
      <c r="CN473" s="399"/>
      <c r="CO473" s="399">
        <v>-418.93824000000041</v>
      </c>
      <c r="CP473" s="399">
        <v>644.14615999999978</v>
      </c>
      <c r="CQ473" s="399">
        <v>31</v>
      </c>
      <c r="CR473" s="399">
        <v>773.63154817564373</v>
      </c>
      <c r="CS473" s="399">
        <v>0</v>
      </c>
      <c r="CT473" s="399">
        <v>0</v>
      </c>
      <c r="CU473" s="399">
        <v>0</v>
      </c>
      <c r="CV473" s="399">
        <v>0</v>
      </c>
      <c r="CW473" s="399">
        <v>0</v>
      </c>
      <c r="CX473" s="399">
        <v>0</v>
      </c>
      <c r="CY473" s="399">
        <v>0</v>
      </c>
      <c r="CZ473" s="399">
        <v>68.731619399080955</v>
      </c>
      <c r="DA473" s="399">
        <v>0</v>
      </c>
      <c r="DB473" s="399">
        <v>0</v>
      </c>
      <c r="DC473" s="399">
        <v>644.29915974916275</v>
      </c>
      <c r="DD473" s="399">
        <v>0</v>
      </c>
      <c r="DE473" s="399">
        <v>0</v>
      </c>
      <c r="DF473" s="399">
        <v>0</v>
      </c>
      <c r="DG473" s="399">
        <v>62.374733881305474</v>
      </c>
      <c r="DH473" s="399">
        <v>0</v>
      </c>
      <c r="DI473" s="399">
        <v>0</v>
      </c>
      <c r="DJ473" s="399"/>
      <c r="DK473" s="399">
        <v>0</v>
      </c>
      <c r="DL473" s="399">
        <v>0</v>
      </c>
      <c r="DM473" s="399">
        <v>0</v>
      </c>
      <c r="DN473" s="399">
        <v>0</v>
      </c>
      <c r="DO473" s="399">
        <v>0</v>
      </c>
      <c r="DP473" s="399">
        <v>-1.7739648539049568</v>
      </c>
      <c r="DQ473" s="399">
        <v>0</v>
      </c>
      <c r="DR473" s="399">
        <v>0</v>
      </c>
      <c r="DS473" s="399"/>
      <c r="DT473" s="399"/>
      <c r="DU473" s="399"/>
      <c r="DV473" s="399">
        <v>2535.7990063103039</v>
      </c>
      <c r="DW473" s="399">
        <v>0</v>
      </c>
      <c r="DX473" s="399">
        <v>0</v>
      </c>
      <c r="DY473" s="399">
        <v>-418.93824000000041</v>
      </c>
      <c r="DZ473" s="399">
        <v>644.14616000000024</v>
      </c>
      <c r="EA473" s="399">
        <v>0</v>
      </c>
      <c r="EB473" s="399">
        <v>0</v>
      </c>
      <c r="EC473" s="399">
        <v>-548.22606305373756</v>
      </c>
      <c r="ED473" s="399">
        <v>0</v>
      </c>
      <c r="EE473" s="399">
        <v>0</v>
      </c>
      <c r="EF473" s="399">
        <v>0</v>
      </c>
      <c r="EG473" s="399">
        <v>0</v>
      </c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>
        <v>0</v>
      </c>
      <c r="EN473" s="399">
        <v>0</v>
      </c>
      <c r="EO473" s="399">
        <v>0</v>
      </c>
      <c r="EP473" s="399">
        <v>0</v>
      </c>
      <c r="EQ473" s="399">
        <v>0</v>
      </c>
      <c r="ER473" s="399">
        <v>0</v>
      </c>
      <c r="ES473" s="399">
        <v>0</v>
      </c>
      <c r="ET473" s="399">
        <v>0</v>
      </c>
      <c r="EU473" s="399">
        <v>0</v>
      </c>
      <c r="EV473" s="399">
        <v>215</v>
      </c>
      <c r="EW473" s="399">
        <v>0</v>
      </c>
      <c r="EX473" s="399">
        <v>0</v>
      </c>
      <c r="EY473" s="399">
        <v>0</v>
      </c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478</v>
      </c>
      <c r="B474" s="399" t="s">
        <v>956</v>
      </c>
      <c r="C474" s="399" t="s">
        <v>2343</v>
      </c>
      <c r="D474" s="399" t="s">
        <v>1826</v>
      </c>
      <c r="E474" s="399" t="s">
        <v>890</v>
      </c>
      <c r="F474" s="399" t="s">
        <v>1239</v>
      </c>
      <c r="G474" s="399" t="s">
        <v>1239</v>
      </c>
      <c r="H474" s="399" t="s">
        <v>1239</v>
      </c>
      <c r="I474" s="399" t="s">
        <v>1239</v>
      </c>
      <c r="J474" s="399" t="s">
        <v>2344</v>
      </c>
      <c r="K474" s="791">
        <v>44743</v>
      </c>
      <c r="L474" s="399">
        <v>0</v>
      </c>
      <c r="M474" s="399">
        <v>0</v>
      </c>
      <c r="N474" s="399">
        <v>205.81399999999999</v>
      </c>
      <c r="O474" s="399">
        <v>205.81399999999999</v>
      </c>
      <c r="P474" s="399">
        <v>205.81399999999999</v>
      </c>
      <c r="Q474" s="399">
        <v>205.81399999999999</v>
      </c>
      <c r="R474" s="399"/>
      <c r="S474" s="399">
        <v>239.69</v>
      </c>
      <c r="T474" s="399">
        <v>171.61</v>
      </c>
      <c r="U474" s="399"/>
      <c r="V474" s="399">
        <v>84651.29819999999</v>
      </c>
      <c r="W474" s="399">
        <v>84651.29819999999</v>
      </c>
      <c r="X474" s="399">
        <v>84340.519059999991</v>
      </c>
      <c r="Y474" s="399">
        <v>0</v>
      </c>
      <c r="Z474" s="399">
        <v>12442.958600977225</v>
      </c>
      <c r="AA474" s="399">
        <v>0</v>
      </c>
      <c r="AB474" s="399">
        <v>0</v>
      </c>
      <c r="AC474" s="399">
        <v>0</v>
      </c>
      <c r="AD474" s="399">
        <v>10977.294069114785</v>
      </c>
      <c r="AE474" s="399">
        <v>18238.151267988149</v>
      </c>
      <c r="AF474" s="399">
        <v>34036.331300203856</v>
      </c>
      <c r="AG474" s="399">
        <v>1283.3237546148923</v>
      </c>
      <c r="AH474" s="399">
        <v>0</v>
      </c>
      <c r="AI474" s="399">
        <v>0</v>
      </c>
      <c r="AJ474" s="399">
        <v>0</v>
      </c>
      <c r="AK474" s="399">
        <v>0</v>
      </c>
      <c r="AL474" s="399">
        <v>1923.972071541971</v>
      </c>
      <c r="AM474" s="399"/>
      <c r="AN474" s="399">
        <v>81.512973555842763</v>
      </c>
      <c r="AO474" s="399">
        <v>0</v>
      </c>
      <c r="AP474" s="399">
        <v>0</v>
      </c>
      <c r="AQ474" s="399">
        <v>0</v>
      </c>
      <c r="AR474" s="399">
        <v>0</v>
      </c>
      <c r="AS474" s="399">
        <v>0</v>
      </c>
      <c r="AT474" s="399">
        <v>0</v>
      </c>
      <c r="AU474" s="399">
        <v>0</v>
      </c>
      <c r="AV474" s="399">
        <v>0</v>
      </c>
      <c r="AW474" s="399">
        <v>0</v>
      </c>
      <c r="AX474" s="399">
        <v>0</v>
      </c>
      <c r="AY474" s="399">
        <v>0</v>
      </c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>
        <v>0</v>
      </c>
      <c r="BG474" s="399">
        <v>3295.064218262678</v>
      </c>
      <c r="BH474" s="399">
        <v>0</v>
      </c>
      <c r="BI474" s="399">
        <v>0</v>
      </c>
      <c r="BJ474" s="399">
        <v>0</v>
      </c>
      <c r="BK474" s="399">
        <v>17274.54</v>
      </c>
      <c r="BL474" s="399">
        <v>77</v>
      </c>
      <c r="BM474" s="399"/>
      <c r="BN474" s="399"/>
      <c r="BO474" s="399"/>
      <c r="BP474" s="399"/>
      <c r="BQ474" s="399"/>
      <c r="BR474" s="399"/>
      <c r="BS474" s="399"/>
      <c r="BT474" s="399"/>
      <c r="BU474" s="399"/>
      <c r="BV474" s="399">
        <v>37331.395518466532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84338.8799</v>
      </c>
      <c r="CJ474" s="399">
        <v>-312.44830000000366</v>
      </c>
      <c r="CK474" s="399"/>
      <c r="CL474" s="399"/>
      <c r="CM474" s="399"/>
      <c r="CN474" s="399"/>
      <c r="CO474" s="399">
        <v>-4943.6522800000021</v>
      </c>
      <c r="CP474" s="399">
        <v>4632.8731399999979</v>
      </c>
      <c r="CQ474" s="399">
        <v>31</v>
      </c>
      <c r="CR474" s="399">
        <v>3633.3669050726312</v>
      </c>
      <c r="CS474" s="399">
        <v>0</v>
      </c>
      <c r="CT474" s="399">
        <v>0</v>
      </c>
      <c r="CU474" s="399">
        <v>0</v>
      </c>
      <c r="CV474" s="399">
        <v>0</v>
      </c>
      <c r="CW474" s="399">
        <v>0</v>
      </c>
      <c r="CX474" s="399">
        <v>0</v>
      </c>
      <c r="CY474" s="399">
        <v>0</v>
      </c>
      <c r="CZ474" s="399">
        <v>494.33636829055104</v>
      </c>
      <c r="DA474" s="399">
        <v>0</v>
      </c>
      <c r="DB474" s="399">
        <v>0</v>
      </c>
      <c r="DC474" s="399">
        <v>4633.9735555148945</v>
      </c>
      <c r="DD474" s="399">
        <v>0</v>
      </c>
      <c r="DE474" s="399">
        <v>0</v>
      </c>
      <c r="DF474" s="399">
        <v>0</v>
      </c>
      <c r="DG474" s="399">
        <v>448.61593091441864</v>
      </c>
      <c r="DH474" s="399">
        <v>0</v>
      </c>
      <c r="DI474" s="399">
        <v>-1709.0746258236395</v>
      </c>
      <c r="DJ474" s="399"/>
      <c r="DK474" s="399">
        <v>0</v>
      </c>
      <c r="DL474" s="399">
        <v>0</v>
      </c>
      <c r="DM474" s="399">
        <v>0</v>
      </c>
      <c r="DN474" s="399">
        <v>0</v>
      </c>
      <c r="DO474" s="399">
        <v>-221.72548951967497</v>
      </c>
      <c r="DP474" s="399">
        <v>-12.758834303941669</v>
      </c>
      <c r="DQ474" s="399">
        <v>0</v>
      </c>
      <c r="DR474" s="399">
        <v>0</v>
      </c>
      <c r="DS474" s="399"/>
      <c r="DT474" s="399"/>
      <c r="DU474" s="399"/>
      <c r="DV474" s="399">
        <v>18238.151267988149</v>
      </c>
      <c r="DW474" s="399">
        <v>0</v>
      </c>
      <c r="DX474" s="399">
        <v>0</v>
      </c>
      <c r="DY474" s="399">
        <v>-4943.6522800000021</v>
      </c>
      <c r="DZ474" s="399">
        <v>4632.8731400000033</v>
      </c>
      <c r="EA474" s="399">
        <v>0</v>
      </c>
      <c r="EB474" s="399">
        <v>0</v>
      </c>
      <c r="EC474" s="399">
        <v>-3942.9898987049892</v>
      </c>
      <c r="ED474" s="399">
        <v>0</v>
      </c>
      <c r="EE474" s="399">
        <v>0</v>
      </c>
      <c r="EF474" s="399">
        <v>0</v>
      </c>
      <c r="EG474" s="399">
        <v>0</v>
      </c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>
        <v>0</v>
      </c>
      <c r="EN474" s="399">
        <v>0</v>
      </c>
      <c r="EO474" s="399">
        <v>0</v>
      </c>
      <c r="EP474" s="399">
        <v>2372.828905497438</v>
      </c>
      <c r="EQ474" s="399">
        <v>0</v>
      </c>
      <c r="ER474" s="399">
        <v>0</v>
      </c>
      <c r="ES474" s="399">
        <v>0</v>
      </c>
      <c r="ET474" s="399">
        <v>0</v>
      </c>
      <c r="EU474" s="399">
        <v>0</v>
      </c>
      <c r="EV474" s="399">
        <v>215</v>
      </c>
      <c r="EW474" s="399">
        <v>0</v>
      </c>
      <c r="EX474" s="399">
        <v>0</v>
      </c>
      <c r="EY474" s="399">
        <v>0</v>
      </c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479</v>
      </c>
      <c r="B475" s="399" t="s">
        <v>2346</v>
      </c>
      <c r="C475" s="399" t="s">
        <v>2343</v>
      </c>
      <c r="D475" s="399" t="s">
        <v>1826</v>
      </c>
      <c r="E475" s="399" t="s">
        <v>890</v>
      </c>
      <c r="F475" s="399" t="s">
        <v>1239</v>
      </c>
      <c r="G475" s="399" t="s">
        <v>1239</v>
      </c>
      <c r="H475" s="399" t="s">
        <v>1239</v>
      </c>
      <c r="I475" s="399" t="s">
        <v>1239</v>
      </c>
      <c r="J475" s="399" t="s">
        <v>2344</v>
      </c>
      <c r="K475" s="791">
        <v>44743</v>
      </c>
      <c r="L475" s="399">
        <v>0</v>
      </c>
      <c r="M475" s="399">
        <v>0</v>
      </c>
      <c r="N475" s="399">
        <v>16.103000000000002</v>
      </c>
      <c r="O475" s="399">
        <v>16.103000000000002</v>
      </c>
      <c r="P475" s="399">
        <v>16.103000000000002</v>
      </c>
      <c r="Q475" s="399">
        <v>16.103000000000002</v>
      </c>
      <c r="R475" s="399"/>
      <c r="S475" s="399">
        <v>239.69</v>
      </c>
      <c r="T475" s="399">
        <v>171.61</v>
      </c>
      <c r="U475" s="399"/>
      <c r="V475" s="399">
        <v>6623.1639000000005</v>
      </c>
      <c r="W475" s="399">
        <v>6623.1639000000005</v>
      </c>
      <c r="X475" s="399">
        <v>6598.8483699999997</v>
      </c>
      <c r="Y475" s="399">
        <v>0</v>
      </c>
      <c r="Z475" s="399">
        <v>973.54389085065282</v>
      </c>
      <c r="AA475" s="399">
        <v>0</v>
      </c>
      <c r="AB475" s="399">
        <v>0</v>
      </c>
      <c r="AC475" s="399">
        <v>0</v>
      </c>
      <c r="AD475" s="399">
        <v>858.86949573379559</v>
      </c>
      <c r="AE475" s="399">
        <v>1426.9629367701575</v>
      </c>
      <c r="AF475" s="399">
        <v>2663.0211886809584</v>
      </c>
      <c r="AG475" s="399">
        <v>100.40795291167566</v>
      </c>
      <c r="AH475" s="399">
        <v>0</v>
      </c>
      <c r="AI475" s="399">
        <v>0</v>
      </c>
      <c r="AJ475" s="399">
        <v>0</v>
      </c>
      <c r="AK475" s="399">
        <v>0</v>
      </c>
      <c r="AL475" s="399">
        <v>150.53262784864179</v>
      </c>
      <c r="AM475" s="399"/>
      <c r="AN475" s="399">
        <v>6.377619662266591</v>
      </c>
      <c r="AO475" s="399">
        <v>0</v>
      </c>
      <c r="AP475" s="399">
        <v>0</v>
      </c>
      <c r="AQ475" s="399">
        <v>0</v>
      </c>
      <c r="AR475" s="399">
        <v>0</v>
      </c>
      <c r="AS475" s="399">
        <v>0</v>
      </c>
      <c r="AT475" s="399">
        <v>0</v>
      </c>
      <c r="AU475" s="399">
        <v>0</v>
      </c>
      <c r="AV475" s="399">
        <v>0</v>
      </c>
      <c r="AW475" s="399">
        <v>0</v>
      </c>
      <c r="AX475" s="399">
        <v>0</v>
      </c>
      <c r="AY475" s="399">
        <v>0</v>
      </c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>
        <v>0</v>
      </c>
      <c r="BG475" s="399">
        <v>257.80762779346355</v>
      </c>
      <c r="BH475" s="399">
        <v>0</v>
      </c>
      <c r="BI475" s="399">
        <v>0</v>
      </c>
      <c r="BJ475" s="399">
        <v>0</v>
      </c>
      <c r="BK475" s="399">
        <v>1621.92</v>
      </c>
      <c r="BL475" s="399">
        <v>7</v>
      </c>
      <c r="BM475" s="399"/>
      <c r="BN475" s="399"/>
      <c r="BO475" s="399"/>
      <c r="BP475" s="399"/>
      <c r="BQ475" s="399"/>
      <c r="BR475" s="399"/>
      <c r="BS475" s="399"/>
      <c r="BT475" s="399"/>
      <c r="BU475" s="399"/>
      <c r="BV475" s="399">
        <v>2920.8288164744217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6597.6190000000006</v>
      </c>
      <c r="CJ475" s="399">
        <v>-25.574900000000525</v>
      </c>
      <c r="CK475" s="399"/>
      <c r="CL475" s="399"/>
      <c r="CM475" s="399"/>
      <c r="CN475" s="399"/>
      <c r="CO475" s="399">
        <v>-386.79406000000023</v>
      </c>
      <c r="CP475" s="399">
        <v>362.47852999999986</v>
      </c>
      <c r="CQ475" s="399">
        <v>31</v>
      </c>
      <c r="CR475" s="399">
        <v>284.27661515924228</v>
      </c>
      <c r="CS475" s="399">
        <v>0</v>
      </c>
      <c r="CT475" s="399">
        <v>0</v>
      </c>
      <c r="CU475" s="399">
        <v>0</v>
      </c>
      <c r="CV475" s="399">
        <v>0</v>
      </c>
      <c r="CW475" s="399">
        <v>0</v>
      </c>
      <c r="CX475" s="399">
        <v>0</v>
      </c>
      <c r="CY475" s="399">
        <v>0</v>
      </c>
      <c r="CZ475" s="399">
        <v>38.677148000538182</v>
      </c>
      <c r="DA475" s="399">
        <v>0</v>
      </c>
      <c r="DB475" s="399">
        <v>0</v>
      </c>
      <c r="DC475" s="399">
        <v>362.5646271121318</v>
      </c>
      <c r="DD475" s="399">
        <v>0</v>
      </c>
      <c r="DE475" s="399">
        <v>0</v>
      </c>
      <c r="DF475" s="399">
        <v>0</v>
      </c>
      <c r="DG475" s="399">
        <v>35.099955957878876</v>
      </c>
      <c r="DH475" s="399">
        <v>0</v>
      </c>
      <c r="DI475" s="399">
        <v>-133.71893408435801</v>
      </c>
      <c r="DJ475" s="399"/>
      <c r="DK475" s="399">
        <v>0</v>
      </c>
      <c r="DL475" s="399">
        <v>0</v>
      </c>
      <c r="DM475" s="399">
        <v>0</v>
      </c>
      <c r="DN475" s="399">
        <v>0</v>
      </c>
      <c r="DO475" s="399">
        <v>-17.347923648222803</v>
      </c>
      <c r="DP475" s="399">
        <v>-0.99825817872629052</v>
      </c>
      <c r="DQ475" s="399">
        <v>0</v>
      </c>
      <c r="DR475" s="399">
        <v>0</v>
      </c>
      <c r="DS475" s="399"/>
      <c r="DT475" s="399"/>
      <c r="DU475" s="399"/>
      <c r="DV475" s="399">
        <v>1426.9629367701575</v>
      </c>
      <c r="DW475" s="399">
        <v>0</v>
      </c>
      <c r="DX475" s="399">
        <v>0</v>
      </c>
      <c r="DY475" s="399">
        <v>-386.79406000000017</v>
      </c>
      <c r="DZ475" s="399">
        <v>362.47852999999986</v>
      </c>
      <c r="EA475" s="399">
        <v>0</v>
      </c>
      <c r="EB475" s="399">
        <v>0</v>
      </c>
      <c r="EC475" s="399">
        <v>-308.50168763469173</v>
      </c>
      <c r="ED475" s="399">
        <v>0</v>
      </c>
      <c r="EE475" s="399">
        <v>0</v>
      </c>
      <c r="EF475" s="399">
        <v>0</v>
      </c>
      <c r="EG475" s="399">
        <v>0</v>
      </c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>
        <v>0</v>
      </c>
      <c r="EN475" s="399">
        <v>0</v>
      </c>
      <c r="EO475" s="399">
        <v>0</v>
      </c>
      <c r="EP475" s="399">
        <v>185.6514321922962</v>
      </c>
      <c r="EQ475" s="399">
        <v>0</v>
      </c>
      <c r="ER475" s="399">
        <v>0</v>
      </c>
      <c r="ES475" s="399">
        <v>0</v>
      </c>
      <c r="ET475" s="399">
        <v>0</v>
      </c>
      <c r="EU475" s="399">
        <v>0</v>
      </c>
      <c r="EV475" s="399">
        <v>215</v>
      </c>
      <c r="EW475" s="399">
        <v>0</v>
      </c>
      <c r="EX475" s="399">
        <v>0</v>
      </c>
      <c r="EY475" s="399">
        <v>0</v>
      </c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480</v>
      </c>
      <c r="B476" s="399" t="s">
        <v>956</v>
      </c>
      <c r="C476" s="399" t="s">
        <v>2351</v>
      </c>
      <c r="D476" s="399" t="s">
        <v>533</v>
      </c>
      <c r="E476" s="399" t="s">
        <v>890</v>
      </c>
      <c r="F476" s="399" t="s">
        <v>1239</v>
      </c>
      <c r="G476" s="399" t="s">
        <v>1239</v>
      </c>
      <c r="H476" s="399" t="s">
        <v>1239</v>
      </c>
      <c r="I476" s="399" t="s">
        <v>893</v>
      </c>
      <c r="J476" s="399" t="s">
        <v>2344</v>
      </c>
      <c r="K476" s="791">
        <v>44743</v>
      </c>
      <c r="L476" s="399">
        <v>18696</v>
      </c>
      <c r="M476" s="399">
        <v>18696</v>
      </c>
      <c r="N476" s="399">
        <v>906.95600000000002</v>
      </c>
      <c r="O476" s="399">
        <v>906.95600000000002</v>
      </c>
      <c r="P476" s="399">
        <v>906.95600000000002</v>
      </c>
      <c r="Q476" s="399">
        <v>906.95600000000002</v>
      </c>
      <c r="R476" s="399">
        <v>37.64</v>
      </c>
      <c r="S476" s="399">
        <v>78.42</v>
      </c>
      <c r="T476" s="399">
        <v>171.61</v>
      </c>
      <c r="U476" s="399">
        <v>703717.44000000006</v>
      </c>
      <c r="V476" s="399">
        <v>226766.20868000001</v>
      </c>
      <c r="W476" s="399">
        <v>930483.64867999998</v>
      </c>
      <c r="X476" s="399">
        <v>871743.53824000014</v>
      </c>
      <c r="Y476" s="399">
        <v>0</v>
      </c>
      <c r="Z476" s="399">
        <v>47703.936010134741</v>
      </c>
      <c r="AA476" s="399">
        <v>0</v>
      </c>
      <c r="AB476" s="399">
        <v>0</v>
      </c>
      <c r="AC476" s="399">
        <v>0</v>
      </c>
      <c r="AD476" s="399">
        <v>305569.57880204322</v>
      </c>
      <c r="AE476" s="399">
        <v>398084.1954455619</v>
      </c>
      <c r="AF476" s="399">
        <v>149987.14805945024</v>
      </c>
      <c r="AG476" s="399">
        <v>5655.1943948929829</v>
      </c>
      <c r="AH476" s="399">
        <v>0</v>
      </c>
      <c r="AI476" s="399">
        <v>0</v>
      </c>
      <c r="AJ476" s="399">
        <v>0</v>
      </c>
      <c r="AK476" s="399">
        <v>0</v>
      </c>
      <c r="AL476" s="399">
        <v>8478.3251582371449</v>
      </c>
      <c r="AM476" s="399"/>
      <c r="AN476" s="399">
        <v>239.49123204405984</v>
      </c>
      <c r="AO476" s="399">
        <v>0</v>
      </c>
      <c r="AP476" s="399">
        <v>0</v>
      </c>
      <c r="AQ476" s="399">
        <v>0</v>
      </c>
      <c r="AR476" s="399">
        <v>0</v>
      </c>
      <c r="AS476" s="399">
        <v>0</v>
      </c>
      <c r="AT476" s="399">
        <v>0</v>
      </c>
      <c r="AU476" s="399">
        <v>0</v>
      </c>
      <c r="AV476" s="399">
        <v>0</v>
      </c>
      <c r="AW476" s="399">
        <v>0</v>
      </c>
      <c r="AX476" s="399">
        <v>0</v>
      </c>
      <c r="AY476" s="399">
        <v>0</v>
      </c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>
        <v>0</v>
      </c>
      <c r="BG476" s="399">
        <v>5606.1569332548561</v>
      </c>
      <c r="BH476" s="399">
        <v>0</v>
      </c>
      <c r="BI476" s="399">
        <v>0</v>
      </c>
      <c r="BJ476" s="399">
        <v>0</v>
      </c>
      <c r="BK476" s="399">
        <v>0</v>
      </c>
      <c r="BL476" s="399">
        <v>0</v>
      </c>
      <c r="BM476" s="399"/>
      <c r="BN476" s="399"/>
      <c r="BO476" s="399"/>
      <c r="BP476" s="399"/>
      <c r="BQ476" s="399"/>
      <c r="BR476" s="399"/>
      <c r="BS476" s="399"/>
      <c r="BT476" s="399"/>
      <c r="BU476" s="399"/>
      <c r="BV476" s="399">
        <v>155593.30499270509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871744.59840000002</v>
      </c>
      <c r="CJ476" s="399">
        <v>-58739.080279999995</v>
      </c>
      <c r="CK476" s="399"/>
      <c r="CL476" s="399"/>
      <c r="CM476" s="399"/>
      <c r="CN476" s="399"/>
      <c r="CO476" s="399">
        <v>-79155.689999999944</v>
      </c>
      <c r="CP476" s="399">
        <v>20415.579559999991</v>
      </c>
      <c r="CQ476" s="399">
        <v>31</v>
      </c>
      <c r="CR476" s="399">
        <v>27377.46908152895</v>
      </c>
      <c r="CS476" s="399">
        <v>0</v>
      </c>
      <c r="CT476" s="399">
        <v>0</v>
      </c>
      <c r="CU476" s="399">
        <v>0</v>
      </c>
      <c r="CV476" s="399">
        <v>0</v>
      </c>
      <c r="CW476" s="399">
        <v>0</v>
      </c>
      <c r="CX476" s="399">
        <v>0</v>
      </c>
      <c r="CY476" s="399">
        <v>0</v>
      </c>
      <c r="CZ476" s="399">
        <v>13760.600280361774</v>
      </c>
      <c r="DA476" s="399">
        <v>0</v>
      </c>
      <c r="DB476" s="399">
        <v>0</v>
      </c>
      <c r="DC476" s="399">
        <v>20420.428736701899</v>
      </c>
      <c r="DD476" s="399">
        <v>0</v>
      </c>
      <c r="DE476" s="399">
        <v>0</v>
      </c>
      <c r="DF476" s="399">
        <v>0</v>
      </c>
      <c r="DG476" s="399">
        <v>763.266250631812</v>
      </c>
      <c r="DH476" s="399">
        <v>0</v>
      </c>
      <c r="DI476" s="399">
        <v>-6552.2669649027157</v>
      </c>
      <c r="DJ476" s="399"/>
      <c r="DK476" s="399">
        <v>0</v>
      </c>
      <c r="DL476" s="399">
        <v>0</v>
      </c>
      <c r="DM476" s="399">
        <v>0</v>
      </c>
      <c r="DN476" s="399">
        <v>0</v>
      </c>
      <c r="DO476" s="399">
        <v>-977.07280881186944</v>
      </c>
      <c r="DP476" s="399">
        <v>-37.486412451923201</v>
      </c>
      <c r="DQ476" s="399">
        <v>0</v>
      </c>
      <c r="DR476" s="399">
        <v>0</v>
      </c>
      <c r="DS476" s="399"/>
      <c r="DT476" s="399"/>
      <c r="DU476" s="399">
        <v>398084.1954455619</v>
      </c>
      <c r="DV476" s="399">
        <v>0</v>
      </c>
      <c r="DW476" s="399">
        <v>0</v>
      </c>
      <c r="DX476" s="399">
        <v>0</v>
      </c>
      <c r="DY476" s="399">
        <v>-79155.689999999944</v>
      </c>
      <c r="DZ476" s="399">
        <v>20415.579560000013</v>
      </c>
      <c r="EA476" s="399">
        <v>0</v>
      </c>
      <c r="EB476" s="399">
        <v>0</v>
      </c>
      <c r="EC476" s="399">
        <v>-86063.655159554793</v>
      </c>
      <c r="ED476" s="399">
        <v>0</v>
      </c>
      <c r="EE476" s="399">
        <v>0</v>
      </c>
      <c r="EF476" s="399">
        <v>0</v>
      </c>
      <c r="EG476" s="399">
        <v>0</v>
      </c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>
        <v>0</v>
      </c>
      <c r="EN476" s="399">
        <v>0</v>
      </c>
      <c r="EO476" s="399">
        <v>0</v>
      </c>
      <c r="EP476" s="399">
        <v>9096.9745942864211</v>
      </c>
      <c r="EQ476" s="399">
        <v>0</v>
      </c>
      <c r="ER476" s="399">
        <v>0</v>
      </c>
      <c r="ES476" s="399">
        <v>0</v>
      </c>
      <c r="ET476" s="399">
        <v>0</v>
      </c>
      <c r="EU476" s="399">
        <v>0</v>
      </c>
      <c r="EV476" s="399">
        <v>215</v>
      </c>
      <c r="EW476" s="399">
        <v>0</v>
      </c>
      <c r="EX476" s="399">
        <v>0</v>
      </c>
      <c r="EY476" s="399">
        <v>0</v>
      </c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481</v>
      </c>
      <c r="B477" s="399" t="s">
        <v>2346</v>
      </c>
      <c r="C477" s="399" t="s">
        <v>2351</v>
      </c>
      <c r="D477" s="399" t="s">
        <v>533</v>
      </c>
      <c r="E477" s="399" t="s">
        <v>890</v>
      </c>
      <c r="F477" s="399" t="s">
        <v>1239</v>
      </c>
      <c r="G477" s="399" t="s">
        <v>1239</v>
      </c>
      <c r="H477" s="399" t="s">
        <v>1239</v>
      </c>
      <c r="I477" s="399" t="s">
        <v>893</v>
      </c>
      <c r="J477" s="399" t="s">
        <v>2344</v>
      </c>
      <c r="K477" s="791">
        <v>44743</v>
      </c>
      <c r="L477" s="399">
        <v>1609</v>
      </c>
      <c r="M477" s="399">
        <v>1609</v>
      </c>
      <c r="N477" s="399">
        <v>86.203000000000003</v>
      </c>
      <c r="O477" s="399">
        <v>86.203000000000003</v>
      </c>
      <c r="P477" s="399">
        <v>86.203000000000003</v>
      </c>
      <c r="Q477" s="399">
        <v>86.203000000000003</v>
      </c>
      <c r="R477" s="399">
        <v>37.64</v>
      </c>
      <c r="S477" s="399">
        <v>78.42</v>
      </c>
      <c r="T477" s="399">
        <v>171.61</v>
      </c>
      <c r="U477" s="399">
        <v>60562.76</v>
      </c>
      <c r="V477" s="399">
        <v>21553.336090000001</v>
      </c>
      <c r="W477" s="399">
        <v>82116.096090000006</v>
      </c>
      <c r="X477" s="399">
        <v>77183.173120000007</v>
      </c>
      <c r="Y477" s="399">
        <v>0</v>
      </c>
      <c r="Z477" s="399">
        <v>4534.0924982928</v>
      </c>
      <c r="AA477" s="399">
        <v>0</v>
      </c>
      <c r="AB477" s="399">
        <v>0</v>
      </c>
      <c r="AC477" s="399">
        <v>0</v>
      </c>
      <c r="AD477" s="399">
        <v>26297.681444827107</v>
      </c>
      <c r="AE477" s="399">
        <v>34259.599404787608</v>
      </c>
      <c r="AF477" s="399">
        <v>14255.754550572232</v>
      </c>
      <c r="AG477" s="399">
        <v>537.50647487084245</v>
      </c>
      <c r="AH477" s="399">
        <v>0</v>
      </c>
      <c r="AI477" s="399">
        <v>0</v>
      </c>
      <c r="AJ477" s="399">
        <v>0</v>
      </c>
      <c r="AK477" s="399">
        <v>0</v>
      </c>
      <c r="AL477" s="399">
        <v>805.83519334512005</v>
      </c>
      <c r="AM477" s="399"/>
      <c r="AN477" s="399">
        <v>22.762805115015603</v>
      </c>
      <c r="AO477" s="399">
        <v>0</v>
      </c>
      <c r="AP477" s="399">
        <v>0</v>
      </c>
      <c r="AQ477" s="399">
        <v>0</v>
      </c>
      <c r="AR477" s="399">
        <v>0</v>
      </c>
      <c r="AS477" s="399">
        <v>0</v>
      </c>
      <c r="AT477" s="399">
        <v>0</v>
      </c>
      <c r="AU477" s="399">
        <v>0</v>
      </c>
      <c r="AV477" s="399">
        <v>0</v>
      </c>
      <c r="AW477" s="399">
        <v>0</v>
      </c>
      <c r="AX477" s="399">
        <v>0</v>
      </c>
      <c r="AY477" s="399">
        <v>0</v>
      </c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>
        <v>0</v>
      </c>
      <c r="BG477" s="399">
        <v>532.84563541932391</v>
      </c>
      <c r="BH477" s="399">
        <v>0</v>
      </c>
      <c r="BI477" s="399">
        <v>0</v>
      </c>
      <c r="BJ477" s="399">
        <v>0</v>
      </c>
      <c r="BK477" s="399">
        <v>0</v>
      </c>
      <c r="BL477" s="399">
        <v>0</v>
      </c>
      <c r="BM477" s="399"/>
      <c r="BN477" s="399"/>
      <c r="BO477" s="399"/>
      <c r="BP477" s="399"/>
      <c r="BQ477" s="399"/>
      <c r="BR477" s="399"/>
      <c r="BS477" s="399"/>
      <c r="BT477" s="399"/>
      <c r="BU477" s="399"/>
      <c r="BV477" s="399">
        <v>14788.600185991556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77182.378000000012</v>
      </c>
      <c r="CJ477" s="399">
        <v>-4933.7480899999937</v>
      </c>
      <c r="CK477" s="399"/>
      <c r="CL477" s="399"/>
      <c r="CM477" s="399"/>
      <c r="CN477" s="399"/>
      <c r="CO477" s="399">
        <v>-6873.3524999999963</v>
      </c>
      <c r="CP477" s="399">
        <v>1940.4295299999992</v>
      </c>
      <c r="CQ477" s="399">
        <v>31</v>
      </c>
      <c r="CR477" s="399">
        <v>2478.4894479680515</v>
      </c>
      <c r="CS477" s="399">
        <v>0</v>
      </c>
      <c r="CT477" s="399">
        <v>0</v>
      </c>
      <c r="CU477" s="399">
        <v>0</v>
      </c>
      <c r="CV477" s="399">
        <v>0</v>
      </c>
      <c r="CW477" s="399">
        <v>0</v>
      </c>
      <c r="CX477" s="399">
        <v>0</v>
      </c>
      <c r="CY477" s="399">
        <v>0</v>
      </c>
      <c r="CZ477" s="399">
        <v>1184.2536291774741</v>
      </c>
      <c r="DA477" s="399">
        <v>0</v>
      </c>
      <c r="DB477" s="399">
        <v>0</v>
      </c>
      <c r="DC477" s="399">
        <v>1940.8904273083954</v>
      </c>
      <c r="DD477" s="399">
        <v>0</v>
      </c>
      <c r="DE477" s="399">
        <v>0</v>
      </c>
      <c r="DF477" s="399">
        <v>0</v>
      </c>
      <c r="DG477" s="399">
        <v>72.545791199588621</v>
      </c>
      <c r="DH477" s="399">
        <v>0</v>
      </c>
      <c r="DI477" s="399">
        <v>-622.77008937093751</v>
      </c>
      <c r="DJ477" s="399"/>
      <c r="DK477" s="399">
        <v>0</v>
      </c>
      <c r="DL477" s="399">
        <v>0</v>
      </c>
      <c r="DM477" s="399">
        <v>0</v>
      </c>
      <c r="DN477" s="399">
        <v>0</v>
      </c>
      <c r="DO477" s="399">
        <v>-92.867357774809079</v>
      </c>
      <c r="DP477" s="399">
        <v>-3.5629525716717616</v>
      </c>
      <c r="DQ477" s="399">
        <v>0</v>
      </c>
      <c r="DR477" s="399">
        <v>0</v>
      </c>
      <c r="DS477" s="399"/>
      <c r="DT477" s="399"/>
      <c r="DU477" s="399">
        <v>34259.599404787608</v>
      </c>
      <c r="DV477" s="399">
        <v>0</v>
      </c>
      <c r="DW477" s="399">
        <v>0</v>
      </c>
      <c r="DX477" s="399">
        <v>0</v>
      </c>
      <c r="DY477" s="399">
        <v>-6873.3524999999936</v>
      </c>
      <c r="DZ477" s="399">
        <v>1940.4295299999994</v>
      </c>
      <c r="EA477" s="399">
        <v>0</v>
      </c>
      <c r="EB477" s="399">
        <v>0</v>
      </c>
      <c r="EC477" s="399">
        <v>-7406.7405408495761</v>
      </c>
      <c r="ED477" s="399">
        <v>0</v>
      </c>
      <c r="EE477" s="399">
        <v>0</v>
      </c>
      <c r="EF477" s="399">
        <v>0</v>
      </c>
      <c r="EG477" s="399">
        <v>0</v>
      </c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>
        <v>0</v>
      </c>
      <c r="EN477" s="399">
        <v>0</v>
      </c>
      <c r="EO477" s="399">
        <v>0</v>
      </c>
      <c r="EP477" s="399">
        <v>864.63566143371054</v>
      </c>
      <c r="EQ477" s="399">
        <v>0</v>
      </c>
      <c r="ER477" s="399">
        <v>0</v>
      </c>
      <c r="ES477" s="399">
        <v>0</v>
      </c>
      <c r="ET477" s="399">
        <v>0</v>
      </c>
      <c r="EU477" s="399">
        <v>0</v>
      </c>
      <c r="EV477" s="399">
        <v>215</v>
      </c>
      <c r="EW477" s="399">
        <v>0</v>
      </c>
      <c r="EX477" s="399">
        <v>0</v>
      </c>
      <c r="EY477" s="399">
        <v>0</v>
      </c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482</v>
      </c>
      <c r="B478" s="399" t="s">
        <v>956</v>
      </c>
      <c r="C478" s="399" t="s">
        <v>2351</v>
      </c>
      <c r="D478" s="399" t="s">
        <v>533</v>
      </c>
      <c r="E478" s="399" t="s">
        <v>890</v>
      </c>
      <c r="F478" s="399" t="s">
        <v>1239</v>
      </c>
      <c r="G478" s="399" t="s">
        <v>1239</v>
      </c>
      <c r="H478" s="399" t="s">
        <v>1239</v>
      </c>
      <c r="I478" s="399" t="s">
        <v>2326</v>
      </c>
      <c r="J478" s="399" t="s">
        <v>2344</v>
      </c>
      <c r="K478" s="791">
        <v>44743</v>
      </c>
      <c r="L478" s="399">
        <v>21567</v>
      </c>
      <c r="M478" s="399">
        <v>21567</v>
      </c>
      <c r="N478" s="399">
        <v>8276.634</v>
      </c>
      <c r="O478" s="399">
        <v>8276.634</v>
      </c>
      <c r="P478" s="399">
        <v>8276.634</v>
      </c>
      <c r="Q478" s="399">
        <v>8276.634</v>
      </c>
      <c r="R478" s="399">
        <v>12.58</v>
      </c>
      <c r="S478" s="399">
        <v>78.42</v>
      </c>
      <c r="T478" s="399">
        <v>171.61</v>
      </c>
      <c r="U478" s="399">
        <v>271312.86</v>
      </c>
      <c r="V478" s="399">
        <v>2069406.7990200003</v>
      </c>
      <c r="W478" s="399">
        <v>2340719.6590200001</v>
      </c>
      <c r="X478" s="399">
        <v>2443600.6053599999</v>
      </c>
      <c r="Y478" s="399">
        <v>0</v>
      </c>
      <c r="Z478" s="399">
        <v>435333.15697267069</v>
      </c>
      <c r="AA478" s="399">
        <v>0</v>
      </c>
      <c r="AB478" s="399">
        <v>0</v>
      </c>
      <c r="AC478" s="399">
        <v>0</v>
      </c>
      <c r="AD478" s="399">
        <v>142933.98602487461</v>
      </c>
      <c r="AE478" s="399">
        <v>128317.37455097887</v>
      </c>
      <c r="AF478" s="399">
        <v>1368741.9557198805</v>
      </c>
      <c r="AG478" s="399">
        <v>51607.767306661721</v>
      </c>
      <c r="AH478" s="399">
        <v>0</v>
      </c>
      <c r="AI478" s="399">
        <v>0</v>
      </c>
      <c r="AJ478" s="399">
        <v>0</v>
      </c>
      <c r="AK478" s="399">
        <v>0</v>
      </c>
      <c r="AL478" s="399">
        <v>77370.891496082433</v>
      </c>
      <c r="AM478" s="399"/>
      <c r="AN478" s="399">
        <v>2185.5319043456961</v>
      </c>
      <c r="AO478" s="399">
        <v>0</v>
      </c>
      <c r="AP478" s="399">
        <v>0</v>
      </c>
      <c r="AQ478" s="399">
        <v>0</v>
      </c>
      <c r="AR478" s="399">
        <v>0</v>
      </c>
      <c r="AS478" s="399">
        <v>0</v>
      </c>
      <c r="AT478" s="399">
        <v>0</v>
      </c>
      <c r="AU478" s="399">
        <v>0</v>
      </c>
      <c r="AV478" s="399">
        <v>0</v>
      </c>
      <c r="AW478" s="399">
        <v>0</v>
      </c>
      <c r="AX478" s="399">
        <v>0</v>
      </c>
      <c r="AY478" s="399">
        <v>0</v>
      </c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>
        <v>0</v>
      </c>
      <c r="BG478" s="399">
        <v>51160.264757179917</v>
      </c>
      <c r="BH478" s="399">
        <v>0</v>
      </c>
      <c r="BI478" s="399">
        <v>0</v>
      </c>
      <c r="BJ478" s="399">
        <v>0</v>
      </c>
      <c r="BK478" s="399">
        <v>0</v>
      </c>
      <c r="BL478" s="399">
        <v>0</v>
      </c>
      <c r="BM478" s="399"/>
      <c r="BN478" s="399"/>
      <c r="BO478" s="399"/>
      <c r="BP478" s="399"/>
      <c r="BQ478" s="399"/>
      <c r="BR478" s="399"/>
      <c r="BS478" s="399"/>
      <c r="BT478" s="399"/>
      <c r="BU478" s="399"/>
      <c r="BV478" s="399">
        <v>1419902.2204770604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2443599.5452000001</v>
      </c>
      <c r="CJ478" s="399">
        <v>102879.85618000012</v>
      </c>
      <c r="CK478" s="399"/>
      <c r="CL478" s="399"/>
      <c r="CM478" s="399"/>
      <c r="CN478" s="399"/>
      <c r="CO478" s="399">
        <v>-83426.085000000006</v>
      </c>
      <c r="CP478" s="399">
        <v>186307.03133999993</v>
      </c>
      <c r="CQ478" s="399">
        <v>31</v>
      </c>
      <c r="CR478" s="399">
        <v>130700.53703980986</v>
      </c>
      <c r="CS478" s="399">
        <v>0</v>
      </c>
      <c r="CT478" s="399">
        <v>0</v>
      </c>
      <c r="CU478" s="399">
        <v>0</v>
      </c>
      <c r="CV478" s="399">
        <v>0</v>
      </c>
      <c r="CW478" s="399">
        <v>0</v>
      </c>
      <c r="CX478" s="399">
        <v>0</v>
      </c>
      <c r="CY478" s="399">
        <v>0</v>
      </c>
      <c r="CZ478" s="399">
        <v>6436.6926049313915</v>
      </c>
      <c r="DA478" s="399">
        <v>0</v>
      </c>
      <c r="DB478" s="399">
        <v>0</v>
      </c>
      <c r="DC478" s="399">
        <v>186351.28360886732</v>
      </c>
      <c r="DD478" s="399">
        <v>0</v>
      </c>
      <c r="DE478" s="399">
        <v>0</v>
      </c>
      <c r="DF478" s="399">
        <v>0</v>
      </c>
      <c r="DG478" s="399">
        <v>6965.3603934830171</v>
      </c>
      <c r="DH478" s="399">
        <v>0</v>
      </c>
      <c r="DI478" s="399">
        <v>-59794.207810291322</v>
      </c>
      <c r="DJ478" s="399"/>
      <c r="DK478" s="399">
        <v>0</v>
      </c>
      <c r="DL478" s="399">
        <v>0</v>
      </c>
      <c r="DM478" s="399">
        <v>0</v>
      </c>
      <c r="DN478" s="399">
        <v>0</v>
      </c>
      <c r="DO478" s="399">
        <v>-8916.5009436927794</v>
      </c>
      <c r="DP478" s="399">
        <v>-342.09081348776681</v>
      </c>
      <c r="DQ478" s="399">
        <v>0</v>
      </c>
      <c r="DR478" s="399">
        <v>0</v>
      </c>
      <c r="DS478" s="399"/>
      <c r="DT478" s="399"/>
      <c r="DU478" s="399">
        <v>128317.37455097887</v>
      </c>
      <c r="DV478" s="399">
        <v>0</v>
      </c>
      <c r="DW478" s="399">
        <v>0</v>
      </c>
      <c r="DX478" s="399">
        <v>0</v>
      </c>
      <c r="DY478" s="399">
        <v>-83426.084999999963</v>
      </c>
      <c r="DZ478" s="399">
        <v>186307.03133999975</v>
      </c>
      <c r="EA478" s="399">
        <v>0</v>
      </c>
      <c r="EB478" s="399">
        <v>0</v>
      </c>
      <c r="EC478" s="399">
        <v>-27741.524031051973</v>
      </c>
      <c r="ED478" s="399">
        <v>0</v>
      </c>
      <c r="EE478" s="399">
        <v>0</v>
      </c>
      <c r="EF478" s="399">
        <v>0</v>
      </c>
      <c r="EG478" s="399">
        <v>0</v>
      </c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>
        <v>0</v>
      </c>
      <c r="EN478" s="399">
        <v>0</v>
      </c>
      <c r="EO478" s="399">
        <v>0</v>
      </c>
      <c r="EP478" s="399">
        <v>83016.518137822786</v>
      </c>
      <c r="EQ478" s="399">
        <v>0</v>
      </c>
      <c r="ER478" s="399">
        <v>0</v>
      </c>
      <c r="ES478" s="399">
        <v>0</v>
      </c>
      <c r="ET478" s="399">
        <v>0</v>
      </c>
      <c r="EU478" s="399">
        <v>0</v>
      </c>
      <c r="EV478" s="399">
        <v>215</v>
      </c>
      <c r="EW478" s="399">
        <v>0</v>
      </c>
      <c r="EX478" s="399">
        <v>0</v>
      </c>
      <c r="EY478" s="399">
        <v>0</v>
      </c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483</v>
      </c>
      <c r="B479" s="399" t="s">
        <v>2346</v>
      </c>
      <c r="C479" s="399" t="s">
        <v>2351</v>
      </c>
      <c r="D479" s="399" t="s">
        <v>533</v>
      </c>
      <c r="E479" s="399" t="s">
        <v>890</v>
      </c>
      <c r="F479" s="399" t="s">
        <v>1239</v>
      </c>
      <c r="G479" s="399" t="s">
        <v>1239</v>
      </c>
      <c r="H479" s="399" t="s">
        <v>1239</v>
      </c>
      <c r="I479" s="399" t="s">
        <v>2326</v>
      </c>
      <c r="J479" s="399" t="s">
        <v>2344</v>
      </c>
      <c r="K479" s="791">
        <v>44743</v>
      </c>
      <c r="L479" s="399">
        <v>2029</v>
      </c>
      <c r="M479" s="399">
        <v>2029</v>
      </c>
      <c r="N479" s="399">
        <v>771.14400000000001</v>
      </c>
      <c r="O479" s="399">
        <v>771.14400000000001</v>
      </c>
      <c r="P479" s="399">
        <v>771.14400000000001</v>
      </c>
      <c r="Q479" s="399">
        <v>771.14400000000001</v>
      </c>
      <c r="R479" s="399">
        <v>12.58</v>
      </c>
      <c r="S479" s="399">
        <v>78.42</v>
      </c>
      <c r="T479" s="399">
        <v>171.61</v>
      </c>
      <c r="U479" s="399">
        <v>25524.82</v>
      </c>
      <c r="V479" s="399">
        <v>192809.13432000001</v>
      </c>
      <c r="W479" s="399">
        <v>218333.95432000002</v>
      </c>
      <c r="X479" s="399">
        <v>227900.11576000002</v>
      </c>
      <c r="Y479" s="399">
        <v>0</v>
      </c>
      <c r="Z479" s="399">
        <v>40560.516751197792</v>
      </c>
      <c r="AA479" s="399">
        <v>0</v>
      </c>
      <c r="AB479" s="399">
        <v>0</v>
      </c>
      <c r="AC479" s="399">
        <v>0</v>
      </c>
      <c r="AD479" s="399">
        <v>13447.074588235293</v>
      </c>
      <c r="AE479" s="399">
        <v>12071.959612553259</v>
      </c>
      <c r="AF479" s="399">
        <v>127527.34344682288</v>
      </c>
      <c r="AG479" s="399">
        <v>4808.3580972564869</v>
      </c>
      <c r="AH479" s="399">
        <v>0</v>
      </c>
      <c r="AI479" s="399">
        <v>0</v>
      </c>
      <c r="AJ479" s="399">
        <v>0</v>
      </c>
      <c r="AK479" s="399">
        <v>0</v>
      </c>
      <c r="AL479" s="399">
        <v>7208.7395373354666</v>
      </c>
      <c r="AM479" s="399"/>
      <c r="AN479" s="399">
        <v>203.62865083133525</v>
      </c>
      <c r="AO479" s="399">
        <v>0</v>
      </c>
      <c r="AP479" s="399">
        <v>0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4766.6637434868753</v>
      </c>
      <c r="BH479" s="399">
        <v>0</v>
      </c>
      <c r="BI479" s="399">
        <v>0</v>
      </c>
      <c r="BJ479" s="399">
        <v>0</v>
      </c>
      <c r="BK479" s="399">
        <v>0</v>
      </c>
      <c r="BL479" s="399">
        <v>0</v>
      </c>
      <c r="BM479" s="399"/>
      <c r="BN479" s="399"/>
      <c r="BO479" s="399"/>
      <c r="BP479" s="399"/>
      <c r="BQ479" s="399"/>
      <c r="BR479" s="399"/>
      <c r="BS479" s="399"/>
      <c r="BT479" s="399"/>
      <c r="BU479" s="399"/>
      <c r="BV479" s="399">
        <v>132294.00719030976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227899.05560000002</v>
      </c>
      <c r="CJ479" s="399">
        <v>9565.0712800000329</v>
      </c>
      <c r="CK479" s="399"/>
      <c r="CL479" s="399"/>
      <c r="CM479" s="399"/>
      <c r="CN479" s="399"/>
      <c r="CO479" s="399">
        <v>-7792.2900000000009</v>
      </c>
      <c r="CP479" s="399">
        <v>17358.451439999993</v>
      </c>
      <c r="CQ479" s="399">
        <v>31</v>
      </c>
      <c r="CR479" s="399">
        <v>12183.36974603674</v>
      </c>
      <c r="CS479" s="399">
        <v>0</v>
      </c>
      <c r="CT479" s="399">
        <v>0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605.55706845670829</v>
      </c>
      <c r="DA479" s="399">
        <v>0</v>
      </c>
      <c r="DB479" s="399">
        <v>0</v>
      </c>
      <c r="DC479" s="399">
        <v>17362.57447741153</v>
      </c>
      <c r="DD479" s="399">
        <v>0</v>
      </c>
      <c r="DE479" s="399">
        <v>0</v>
      </c>
      <c r="DF479" s="399">
        <v>0</v>
      </c>
      <c r="DG479" s="399">
        <v>648.97105215381816</v>
      </c>
      <c r="DH479" s="399">
        <v>0</v>
      </c>
      <c r="DI479" s="399">
        <v>-5571.0986601146433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-830.76117703441105</v>
      </c>
      <c r="DP479" s="399">
        <v>-31.873014836249922</v>
      </c>
      <c r="DQ479" s="399">
        <v>0</v>
      </c>
      <c r="DR479" s="399">
        <v>0</v>
      </c>
      <c r="DS479" s="399"/>
      <c r="DT479" s="399"/>
      <c r="DU479" s="399">
        <v>12071.959612553259</v>
      </c>
      <c r="DV479" s="399">
        <v>0</v>
      </c>
      <c r="DW479" s="399">
        <v>0</v>
      </c>
      <c r="DX479" s="399">
        <v>0</v>
      </c>
      <c r="DY479" s="399">
        <v>-7792.2899999999936</v>
      </c>
      <c r="DZ479" s="399">
        <v>17358.451440000004</v>
      </c>
      <c r="EA479" s="399">
        <v>0</v>
      </c>
      <c r="EB479" s="399">
        <v>0</v>
      </c>
      <c r="EC479" s="399">
        <v>-2609.8925329904232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7734.7493996802577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215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484</v>
      </c>
      <c r="B480" s="399" t="s">
        <v>956</v>
      </c>
      <c r="C480" s="399" t="s">
        <v>2351</v>
      </c>
      <c r="D480" s="399" t="s">
        <v>533</v>
      </c>
      <c r="E480" s="399" t="s">
        <v>890</v>
      </c>
      <c r="F480" s="399" t="s">
        <v>1239</v>
      </c>
      <c r="G480" s="399" t="s">
        <v>1239</v>
      </c>
      <c r="H480" s="399" t="s">
        <v>1239</v>
      </c>
      <c r="I480" s="399" t="s">
        <v>1239</v>
      </c>
      <c r="J480" s="399" t="s">
        <v>2344</v>
      </c>
      <c r="K480" s="791">
        <v>44743</v>
      </c>
      <c r="L480" s="399">
        <v>0</v>
      </c>
      <c r="M480" s="399">
        <v>0</v>
      </c>
      <c r="N480" s="399">
        <v>0</v>
      </c>
      <c r="O480" s="399">
        <v>0</v>
      </c>
      <c r="P480" s="399">
        <v>0</v>
      </c>
      <c r="Q480" s="399">
        <v>0</v>
      </c>
      <c r="R480" s="399"/>
      <c r="S480" s="399"/>
      <c r="T480" s="399"/>
      <c r="U480" s="399"/>
      <c r="V480" s="399"/>
      <c r="W480" s="399"/>
      <c r="X480" s="399"/>
      <c r="Y480" s="399"/>
      <c r="Z480" s="399"/>
      <c r="AA480" s="399">
        <v>0</v>
      </c>
      <c r="AB480" s="399"/>
      <c r="AC480" s="399"/>
      <c r="AD480" s="399"/>
      <c r="AE480" s="399"/>
      <c r="AF480" s="399"/>
      <c r="AG480" s="399"/>
      <c r="AH480" s="399"/>
      <c r="AI480" s="399"/>
      <c r="AJ480" s="399"/>
      <c r="AK480" s="399"/>
      <c r="AL480" s="399"/>
      <c r="AM480" s="399"/>
      <c r="AN480" s="399"/>
      <c r="AO480" s="399"/>
      <c r="AP480" s="399"/>
      <c r="AQ480" s="399"/>
      <c r="AR480" s="399"/>
      <c r="AS480" s="399"/>
      <c r="AT480" s="399"/>
      <c r="AU480" s="399"/>
      <c r="AV480" s="399"/>
      <c r="AW480" s="399"/>
      <c r="AX480" s="399"/>
      <c r="AY480" s="399"/>
      <c r="AZ480" s="399">
        <v>0</v>
      </c>
      <c r="BA480" s="399"/>
      <c r="BB480" s="399"/>
      <c r="BC480" s="399"/>
      <c r="BD480" s="399"/>
      <c r="BE480" s="399"/>
      <c r="BF480" s="399"/>
      <c r="BG480" s="399"/>
      <c r="BH480" s="399"/>
      <c r="BI480" s="399">
        <v>0</v>
      </c>
      <c r="BJ480" s="399">
        <v>0</v>
      </c>
      <c r="BK480" s="399">
        <v>670340.66</v>
      </c>
      <c r="BL480" s="399">
        <v>22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/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/>
      <c r="CJ480" s="399">
        <v>-0.03</v>
      </c>
      <c r="CK480" s="399"/>
      <c r="CL480" s="399"/>
      <c r="CM480" s="399"/>
      <c r="CN480" s="399"/>
      <c r="CO480" s="399">
        <v>0</v>
      </c>
      <c r="CP480" s="399">
        <v>0</v>
      </c>
      <c r="CQ480" s="399">
        <v>31</v>
      </c>
      <c r="CR480" s="399"/>
      <c r="CS480" s="399"/>
      <c r="CT480" s="399"/>
      <c r="CU480" s="399"/>
      <c r="CV480" s="399"/>
      <c r="CW480" s="399"/>
      <c r="CX480" s="399"/>
      <c r="CY480" s="399"/>
      <c r="CZ480" s="399"/>
      <c r="DA480" s="399"/>
      <c r="DB480" s="399"/>
      <c r="DC480" s="399"/>
      <c r="DD480" s="399"/>
      <c r="DE480" s="399"/>
      <c r="DF480" s="399"/>
      <c r="DG480" s="399"/>
      <c r="DH480" s="399"/>
      <c r="DI480" s="399"/>
      <c r="DJ480" s="399"/>
      <c r="DK480" s="399">
        <v>0</v>
      </c>
      <c r="DL480" s="399"/>
      <c r="DM480" s="399"/>
      <c r="DN480" s="399"/>
      <c r="DO480" s="399"/>
      <c r="DP480" s="399"/>
      <c r="DQ480" s="399"/>
      <c r="DR480" s="399"/>
      <c r="DS480" s="399"/>
      <c r="DT480" s="399"/>
      <c r="DU480" s="399"/>
      <c r="DV480" s="399"/>
      <c r="DW480" s="399"/>
      <c r="DX480" s="399"/>
      <c r="DY480" s="399"/>
      <c r="DZ480" s="399"/>
      <c r="EA480" s="399"/>
      <c r="EB480" s="399"/>
      <c r="EC480" s="399"/>
      <c r="ED480" s="399"/>
      <c r="EE480" s="399"/>
      <c r="EF480" s="399"/>
      <c r="EG480" s="399"/>
      <c r="EH480" s="399"/>
      <c r="EI480" s="399"/>
      <c r="EJ480" s="399"/>
      <c r="EK480" s="399"/>
      <c r="EL480" s="399"/>
      <c r="EM480" s="399"/>
      <c r="EN480" s="399"/>
      <c r="EO480" s="399"/>
      <c r="EP480" s="399"/>
      <c r="EQ480" s="399"/>
      <c r="ER480" s="399"/>
      <c r="ES480" s="399"/>
      <c r="ET480" s="399"/>
      <c r="EU480" s="399"/>
      <c r="EV480" s="399">
        <v>215</v>
      </c>
      <c r="EW480" s="399"/>
      <c r="EX480" s="399"/>
      <c r="EY480" s="399"/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485</v>
      </c>
      <c r="B481" s="399" t="s">
        <v>2346</v>
      </c>
      <c r="C481" s="399" t="s">
        <v>2351</v>
      </c>
      <c r="D481" s="399" t="s">
        <v>533</v>
      </c>
      <c r="E481" s="399" t="s">
        <v>890</v>
      </c>
      <c r="F481" s="399" t="s">
        <v>1239</v>
      </c>
      <c r="G481" s="399" t="s">
        <v>1239</v>
      </c>
      <c r="H481" s="399" t="s">
        <v>1239</v>
      </c>
      <c r="I481" s="399" t="s">
        <v>1239</v>
      </c>
      <c r="J481" s="399" t="s">
        <v>2344</v>
      </c>
      <c r="K481" s="791">
        <v>44743</v>
      </c>
      <c r="L481" s="399">
        <v>0</v>
      </c>
      <c r="M481" s="399">
        <v>0</v>
      </c>
      <c r="N481" s="399">
        <v>0</v>
      </c>
      <c r="O481" s="399">
        <v>0</v>
      </c>
      <c r="P481" s="399">
        <v>0</v>
      </c>
      <c r="Q481" s="399">
        <v>0</v>
      </c>
      <c r="R481" s="399"/>
      <c r="S481" s="399"/>
      <c r="T481" s="399"/>
      <c r="U481" s="399"/>
      <c r="V481" s="399"/>
      <c r="W481" s="399"/>
      <c r="X481" s="399"/>
      <c r="Y481" s="399"/>
      <c r="Z481" s="399"/>
      <c r="AA481" s="399">
        <v>0</v>
      </c>
      <c r="AB481" s="399"/>
      <c r="AC481" s="399"/>
      <c r="AD481" s="399"/>
      <c r="AE481" s="399"/>
      <c r="AF481" s="399"/>
      <c r="AG481" s="399"/>
      <c r="AH481" s="399"/>
      <c r="AI481" s="399"/>
      <c r="AJ481" s="399"/>
      <c r="AK481" s="399"/>
      <c r="AL481" s="399"/>
      <c r="AM481" s="399"/>
      <c r="AN481" s="399"/>
      <c r="AO481" s="399"/>
      <c r="AP481" s="399"/>
      <c r="AQ481" s="399"/>
      <c r="AR481" s="399"/>
      <c r="AS481" s="399"/>
      <c r="AT481" s="399"/>
      <c r="AU481" s="399"/>
      <c r="AV481" s="399"/>
      <c r="AW481" s="399"/>
      <c r="AX481" s="399"/>
      <c r="AY481" s="399"/>
      <c r="AZ481" s="399">
        <v>0</v>
      </c>
      <c r="BA481" s="399"/>
      <c r="BB481" s="399"/>
      <c r="BC481" s="399"/>
      <c r="BD481" s="399"/>
      <c r="BE481" s="399"/>
      <c r="BF481" s="399"/>
      <c r="BG481" s="399"/>
      <c r="BH481" s="399"/>
      <c r="BI481" s="399">
        <v>0</v>
      </c>
      <c r="BJ481" s="399">
        <v>0</v>
      </c>
      <c r="BK481" s="399">
        <v>34450.69</v>
      </c>
      <c r="BL481" s="399">
        <v>3</v>
      </c>
      <c r="BM481" s="399"/>
      <c r="BN481" s="399"/>
      <c r="BO481" s="399"/>
      <c r="BP481" s="399"/>
      <c r="BQ481" s="399"/>
      <c r="BR481" s="399"/>
      <c r="BS481" s="399"/>
      <c r="BT481" s="399"/>
      <c r="BU481" s="399"/>
      <c r="BV481" s="399"/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/>
      <c r="CJ481" s="399">
        <v>-0.03</v>
      </c>
      <c r="CK481" s="399"/>
      <c r="CL481" s="399"/>
      <c r="CM481" s="399"/>
      <c r="CN481" s="399"/>
      <c r="CO481" s="399">
        <v>0</v>
      </c>
      <c r="CP481" s="399">
        <v>0</v>
      </c>
      <c r="CQ481" s="399">
        <v>31</v>
      </c>
      <c r="CR481" s="399"/>
      <c r="CS481" s="399"/>
      <c r="CT481" s="399"/>
      <c r="CU481" s="399"/>
      <c r="CV481" s="399"/>
      <c r="CW481" s="399"/>
      <c r="CX481" s="399"/>
      <c r="CY481" s="399"/>
      <c r="CZ481" s="399"/>
      <c r="DA481" s="399"/>
      <c r="DB481" s="399"/>
      <c r="DC481" s="399"/>
      <c r="DD481" s="399"/>
      <c r="DE481" s="399"/>
      <c r="DF481" s="399"/>
      <c r="DG481" s="399"/>
      <c r="DH481" s="399"/>
      <c r="DI481" s="399"/>
      <c r="DJ481" s="399"/>
      <c r="DK481" s="399">
        <v>0</v>
      </c>
      <c r="DL481" s="399"/>
      <c r="DM481" s="399"/>
      <c r="DN481" s="399"/>
      <c r="DO481" s="399"/>
      <c r="DP481" s="399"/>
      <c r="DQ481" s="399"/>
      <c r="DR481" s="399"/>
      <c r="DS481" s="399"/>
      <c r="DT481" s="399"/>
      <c r="DU481" s="399"/>
      <c r="DV481" s="399"/>
      <c r="DW481" s="399"/>
      <c r="DX481" s="399"/>
      <c r="DY481" s="399"/>
      <c r="DZ481" s="399"/>
      <c r="EA481" s="399"/>
      <c r="EB481" s="399"/>
      <c r="EC481" s="399"/>
      <c r="ED481" s="399"/>
      <c r="EE481" s="399"/>
      <c r="EF481" s="399"/>
      <c r="EG481" s="399"/>
      <c r="EH481" s="399"/>
      <c r="EI481" s="399"/>
      <c r="EJ481" s="399"/>
      <c r="EK481" s="399"/>
      <c r="EL481" s="399"/>
      <c r="EM481" s="399"/>
      <c r="EN481" s="399"/>
      <c r="EO481" s="399"/>
      <c r="EP481" s="399"/>
      <c r="EQ481" s="399"/>
      <c r="ER481" s="399"/>
      <c r="ES481" s="399"/>
      <c r="ET481" s="399"/>
      <c r="EU481" s="399"/>
      <c r="EV481" s="399">
        <v>215</v>
      </c>
      <c r="EW481" s="399"/>
      <c r="EX481" s="399"/>
      <c r="EY481" s="399"/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486</v>
      </c>
      <c r="B482" s="399" t="s">
        <v>956</v>
      </c>
      <c r="C482" s="399" t="s">
        <v>2352</v>
      </c>
      <c r="D482" s="399" t="s">
        <v>533</v>
      </c>
      <c r="E482" s="399" t="s">
        <v>890</v>
      </c>
      <c r="F482" s="399" t="s">
        <v>1239</v>
      </c>
      <c r="G482" s="399" t="s">
        <v>1239</v>
      </c>
      <c r="H482" s="399" t="s">
        <v>1239</v>
      </c>
      <c r="I482" s="399" t="s">
        <v>893</v>
      </c>
      <c r="J482" s="399" t="s">
        <v>2344</v>
      </c>
      <c r="K482" s="791">
        <v>44743</v>
      </c>
      <c r="L482" s="399">
        <v>0</v>
      </c>
      <c r="M482" s="399">
        <v>0</v>
      </c>
      <c r="N482" s="399">
        <v>171.72499999999999</v>
      </c>
      <c r="O482" s="399">
        <v>171.72499999999999</v>
      </c>
      <c r="P482" s="399">
        <v>171.72499999999999</v>
      </c>
      <c r="Q482" s="399">
        <v>171.72499999999999</v>
      </c>
      <c r="R482" s="399"/>
      <c r="S482" s="399">
        <v>984.21</v>
      </c>
      <c r="T482" s="399">
        <v>171.61</v>
      </c>
      <c r="U482" s="399"/>
      <c r="V482" s="399">
        <v>198483.18950000001</v>
      </c>
      <c r="W482" s="399">
        <v>198483.18950000001</v>
      </c>
      <c r="X482" s="399">
        <v>185093.79125000001</v>
      </c>
      <c r="Y482" s="399">
        <v>0</v>
      </c>
      <c r="Z482" s="399">
        <v>9032.3658604611337</v>
      </c>
      <c r="AA482" s="399">
        <v>0</v>
      </c>
      <c r="AB482" s="399">
        <v>0</v>
      </c>
      <c r="AC482" s="399">
        <v>0</v>
      </c>
      <c r="AD482" s="399">
        <v>67609.620565788719</v>
      </c>
      <c r="AE482" s="399">
        <v>87937.302195766839</v>
      </c>
      <c r="AF482" s="399">
        <v>28398.889252079585</v>
      </c>
      <c r="AG482" s="399">
        <v>1070.7666716610258</v>
      </c>
      <c r="AH482" s="399">
        <v>0</v>
      </c>
      <c r="AI482" s="399">
        <v>0</v>
      </c>
      <c r="AJ482" s="399">
        <v>0</v>
      </c>
      <c r="AK482" s="399">
        <v>0</v>
      </c>
      <c r="AL482" s="399">
        <v>1605.3043232508232</v>
      </c>
      <c r="AM482" s="399"/>
      <c r="AN482" s="399">
        <v>45.345785046646334</v>
      </c>
      <c r="AO482" s="399">
        <v>0</v>
      </c>
      <c r="AP482" s="399">
        <v>0</v>
      </c>
      <c r="AQ482" s="399">
        <v>0</v>
      </c>
      <c r="AR482" s="399">
        <v>0</v>
      </c>
      <c r="AS482" s="399">
        <v>0</v>
      </c>
      <c r="AT482" s="399">
        <v>0</v>
      </c>
      <c r="AU482" s="399">
        <v>0</v>
      </c>
      <c r="AV482" s="399">
        <v>0</v>
      </c>
      <c r="AW482" s="399">
        <v>0</v>
      </c>
      <c r="AX482" s="399">
        <v>0</v>
      </c>
      <c r="AY482" s="399">
        <v>0</v>
      </c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>
        <v>0</v>
      </c>
      <c r="BG482" s="399">
        <v>1061.4818131896036</v>
      </c>
      <c r="BH482" s="399">
        <v>0</v>
      </c>
      <c r="BI482" s="399">
        <v>0</v>
      </c>
      <c r="BJ482" s="399">
        <v>0</v>
      </c>
      <c r="BK482" s="399">
        <v>0</v>
      </c>
      <c r="BL482" s="399">
        <v>0</v>
      </c>
      <c r="BM482" s="399"/>
      <c r="BN482" s="399"/>
      <c r="BO482" s="399"/>
      <c r="BP482" s="399"/>
      <c r="BQ482" s="399"/>
      <c r="BR482" s="399"/>
      <c r="BS482" s="399"/>
      <c r="BT482" s="399"/>
      <c r="BU482" s="399"/>
      <c r="BV482" s="399">
        <v>29460.371065269188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185099.18050000002</v>
      </c>
      <c r="CJ482" s="399">
        <v>-13384.039000000019</v>
      </c>
      <c r="CK482" s="399"/>
      <c r="CL482" s="399"/>
      <c r="CM482" s="399"/>
      <c r="CN482" s="399"/>
      <c r="CO482" s="399">
        <v>-17254.928000000004</v>
      </c>
      <c r="CP482" s="399">
        <v>3865.5297499999983</v>
      </c>
      <c r="CQ482" s="399">
        <v>31</v>
      </c>
      <c r="CR482" s="399">
        <v>5622.8859254165436</v>
      </c>
      <c r="CS482" s="399">
        <v>0</v>
      </c>
      <c r="CT482" s="399">
        <v>0</v>
      </c>
      <c r="CU482" s="399">
        <v>0</v>
      </c>
      <c r="CV482" s="399">
        <v>0</v>
      </c>
      <c r="CW482" s="399">
        <v>0</v>
      </c>
      <c r="CX482" s="399">
        <v>0</v>
      </c>
      <c r="CY482" s="399">
        <v>0</v>
      </c>
      <c r="CZ482" s="399">
        <v>3044.6386952527537</v>
      </c>
      <c r="DA482" s="399">
        <v>0</v>
      </c>
      <c r="DB482" s="399">
        <v>0</v>
      </c>
      <c r="DC482" s="399">
        <v>3866.4479035478362</v>
      </c>
      <c r="DD482" s="399">
        <v>0</v>
      </c>
      <c r="DE482" s="399">
        <v>0</v>
      </c>
      <c r="DF482" s="399">
        <v>0</v>
      </c>
      <c r="DG482" s="399">
        <v>144.51847376250657</v>
      </c>
      <c r="DH482" s="399">
        <v>0</v>
      </c>
      <c r="DI482" s="399">
        <v>-1240.620321766346</v>
      </c>
      <c r="DJ482" s="399"/>
      <c r="DK482" s="399">
        <v>0</v>
      </c>
      <c r="DL482" s="399">
        <v>0</v>
      </c>
      <c r="DM482" s="399">
        <v>0</v>
      </c>
      <c r="DN482" s="399">
        <v>0</v>
      </c>
      <c r="DO482" s="399">
        <v>-185.00106740924411</v>
      </c>
      <c r="DP482" s="399">
        <v>-7.0977579709561525</v>
      </c>
      <c r="DQ482" s="399">
        <v>0</v>
      </c>
      <c r="DR482" s="399">
        <v>0</v>
      </c>
      <c r="DS482" s="399"/>
      <c r="DT482" s="399"/>
      <c r="DU482" s="399"/>
      <c r="DV482" s="399">
        <v>87937.302195766839</v>
      </c>
      <c r="DW482" s="399">
        <v>0</v>
      </c>
      <c r="DX482" s="399">
        <v>0</v>
      </c>
      <c r="DY482" s="399">
        <v>-17254.928000000014</v>
      </c>
      <c r="DZ482" s="399">
        <v>3865.5297499999979</v>
      </c>
      <c r="EA482" s="399">
        <v>0</v>
      </c>
      <c r="EB482" s="399">
        <v>0</v>
      </c>
      <c r="EC482" s="399">
        <v>-19011.570261831948</v>
      </c>
      <c r="ED482" s="399">
        <v>0</v>
      </c>
      <c r="EE482" s="399">
        <v>0</v>
      </c>
      <c r="EF482" s="399">
        <v>0</v>
      </c>
      <c r="EG482" s="399">
        <v>0</v>
      </c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>
        <v>0</v>
      </c>
      <c r="EN482" s="399">
        <v>0</v>
      </c>
      <c r="EO482" s="399">
        <v>0</v>
      </c>
      <c r="EP482" s="399">
        <v>1722.4407382539346</v>
      </c>
      <c r="EQ482" s="399">
        <v>0</v>
      </c>
      <c r="ER482" s="399">
        <v>0</v>
      </c>
      <c r="ES482" s="399">
        <v>0</v>
      </c>
      <c r="ET482" s="399">
        <v>0</v>
      </c>
      <c r="EU482" s="399">
        <v>0</v>
      </c>
      <c r="EV482" s="399">
        <v>215</v>
      </c>
      <c r="EW482" s="399">
        <v>0</v>
      </c>
      <c r="EX482" s="399">
        <v>0</v>
      </c>
      <c r="EY482" s="399">
        <v>0</v>
      </c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487</v>
      </c>
      <c r="B483" s="399" t="s">
        <v>2346</v>
      </c>
      <c r="C483" s="399" t="s">
        <v>2352</v>
      </c>
      <c r="D483" s="399" t="s">
        <v>533</v>
      </c>
      <c r="E483" s="399" t="s">
        <v>890</v>
      </c>
      <c r="F483" s="399" t="s">
        <v>1239</v>
      </c>
      <c r="G483" s="399" t="s">
        <v>1239</v>
      </c>
      <c r="H483" s="399" t="s">
        <v>1239</v>
      </c>
      <c r="I483" s="399" t="s">
        <v>893</v>
      </c>
      <c r="J483" s="399" t="s">
        <v>2344</v>
      </c>
      <c r="K483" s="791">
        <v>44743</v>
      </c>
      <c r="L483" s="399">
        <v>0</v>
      </c>
      <c r="M483" s="399">
        <v>0</v>
      </c>
      <c r="N483" s="399">
        <v>1.196</v>
      </c>
      <c r="O483" s="399">
        <v>1.196</v>
      </c>
      <c r="P483" s="399">
        <v>1.196</v>
      </c>
      <c r="Q483" s="399">
        <v>1.196</v>
      </c>
      <c r="R483" s="399"/>
      <c r="S483" s="399">
        <v>984.21</v>
      </c>
      <c r="T483" s="399">
        <v>171.61</v>
      </c>
      <c r="U483" s="399"/>
      <c r="V483" s="399">
        <v>1382.3607200000001</v>
      </c>
      <c r="W483" s="399">
        <v>1382.3607200000001</v>
      </c>
      <c r="X483" s="399">
        <v>1289.1086</v>
      </c>
      <c r="Y483" s="399">
        <v>0</v>
      </c>
      <c r="Z483" s="399">
        <v>62.907029082029496</v>
      </c>
      <c r="AA483" s="399">
        <v>0</v>
      </c>
      <c r="AB483" s="399">
        <v>0</v>
      </c>
      <c r="AC483" s="399">
        <v>0</v>
      </c>
      <c r="AD483" s="399">
        <v>470.87556381821702</v>
      </c>
      <c r="AE483" s="399">
        <v>612.45021648645877</v>
      </c>
      <c r="AF483" s="399">
        <v>197.78757633126909</v>
      </c>
      <c r="AG483" s="399">
        <v>7.4574869081763691</v>
      </c>
      <c r="AH483" s="399">
        <v>0</v>
      </c>
      <c r="AI483" s="399">
        <v>0</v>
      </c>
      <c r="AJ483" s="399">
        <v>0</v>
      </c>
      <c r="AK483" s="399">
        <v>0</v>
      </c>
      <c r="AL483" s="399">
        <v>11.180340489782994</v>
      </c>
      <c r="AM483" s="399"/>
      <c r="AN483" s="399">
        <v>0.31581632794170339</v>
      </c>
      <c r="AO483" s="399">
        <v>0</v>
      </c>
      <c r="AP483" s="399">
        <v>0</v>
      </c>
      <c r="AQ483" s="399">
        <v>0</v>
      </c>
      <c r="AR483" s="399">
        <v>0</v>
      </c>
      <c r="AS483" s="399">
        <v>0</v>
      </c>
      <c r="AT483" s="399">
        <v>0</v>
      </c>
      <c r="AU483" s="399">
        <v>0</v>
      </c>
      <c r="AV483" s="399">
        <v>0</v>
      </c>
      <c r="AW483" s="399">
        <v>0</v>
      </c>
      <c r="AX483" s="399">
        <v>0</v>
      </c>
      <c r="AY483" s="399">
        <v>0</v>
      </c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>
        <v>0</v>
      </c>
      <c r="BG483" s="399">
        <v>7.3928213630791424</v>
      </c>
      <c r="BH483" s="399">
        <v>0</v>
      </c>
      <c r="BI483" s="399">
        <v>0</v>
      </c>
      <c r="BJ483" s="399">
        <v>0</v>
      </c>
      <c r="BK483" s="399">
        <v>0</v>
      </c>
      <c r="BL483" s="399">
        <v>0</v>
      </c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>
        <v>205.18039769434824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1293.4199999999998</v>
      </c>
      <c r="CJ483" s="399">
        <v>-88.970720000000256</v>
      </c>
      <c r="CK483" s="399"/>
      <c r="CL483" s="399"/>
      <c r="CM483" s="399"/>
      <c r="CN483" s="399"/>
      <c r="CO483" s="399">
        <v>-120.17408000000002</v>
      </c>
      <c r="CP483" s="399">
        <v>26.921959999999988</v>
      </c>
      <c r="CQ483" s="399">
        <v>31</v>
      </c>
      <c r="CR483" s="399">
        <v>39.161284418682158</v>
      </c>
      <c r="CS483" s="399">
        <v>0</v>
      </c>
      <c r="CT483" s="399">
        <v>0</v>
      </c>
      <c r="CU483" s="399">
        <v>0</v>
      </c>
      <c r="CV483" s="399">
        <v>0</v>
      </c>
      <c r="CW483" s="399">
        <v>0</v>
      </c>
      <c r="CX483" s="399">
        <v>0</v>
      </c>
      <c r="CY483" s="399">
        <v>0</v>
      </c>
      <c r="CZ483" s="399">
        <v>21.204762728328888</v>
      </c>
      <c r="DA483" s="399">
        <v>0</v>
      </c>
      <c r="DB483" s="399">
        <v>0</v>
      </c>
      <c r="DC483" s="399">
        <v>26.928354593933392</v>
      </c>
      <c r="DD483" s="399">
        <v>0</v>
      </c>
      <c r="DE483" s="399">
        <v>0</v>
      </c>
      <c r="DF483" s="399">
        <v>0</v>
      </c>
      <c r="DG483" s="399">
        <v>1.0065167833452202</v>
      </c>
      <c r="DH483" s="399">
        <v>0</v>
      </c>
      <c r="DI483" s="399">
        <v>-8.6404536604020947</v>
      </c>
      <c r="DJ483" s="399"/>
      <c r="DK483" s="399">
        <v>0</v>
      </c>
      <c r="DL483" s="399">
        <v>0</v>
      </c>
      <c r="DM483" s="399">
        <v>0</v>
      </c>
      <c r="DN483" s="399">
        <v>0</v>
      </c>
      <c r="DO483" s="399">
        <v>-1.2884628133437523</v>
      </c>
      <c r="DP483" s="399">
        <v>-4.9433213179581048E-2</v>
      </c>
      <c r="DQ483" s="399">
        <v>0</v>
      </c>
      <c r="DR483" s="399">
        <v>0</v>
      </c>
      <c r="DS483" s="399"/>
      <c r="DT483" s="399"/>
      <c r="DU483" s="399"/>
      <c r="DV483" s="399">
        <v>612.45021648645877</v>
      </c>
      <c r="DW483" s="399">
        <v>0</v>
      </c>
      <c r="DX483" s="399">
        <v>0</v>
      </c>
      <c r="DY483" s="399">
        <v>-120.17408</v>
      </c>
      <c r="DZ483" s="399">
        <v>26.921959999999984</v>
      </c>
      <c r="EA483" s="399">
        <v>0</v>
      </c>
      <c r="EB483" s="399">
        <v>0</v>
      </c>
      <c r="EC483" s="399">
        <v>-132.40843227923136</v>
      </c>
      <c r="ED483" s="399">
        <v>0</v>
      </c>
      <c r="EE483" s="399">
        <v>0</v>
      </c>
      <c r="EF483" s="399">
        <v>0</v>
      </c>
      <c r="EG483" s="399">
        <v>0</v>
      </c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>
        <v>0</v>
      </c>
      <c r="EN483" s="399">
        <v>0</v>
      </c>
      <c r="EO483" s="399">
        <v>0</v>
      </c>
      <c r="EP483" s="399">
        <v>11.996151538516266</v>
      </c>
      <c r="EQ483" s="399">
        <v>0</v>
      </c>
      <c r="ER483" s="399">
        <v>0</v>
      </c>
      <c r="ES483" s="399">
        <v>0</v>
      </c>
      <c r="ET483" s="399">
        <v>0</v>
      </c>
      <c r="EU483" s="399">
        <v>0</v>
      </c>
      <c r="EV483" s="399">
        <v>215</v>
      </c>
      <c r="EW483" s="399">
        <v>0</v>
      </c>
      <c r="EX483" s="399">
        <v>0</v>
      </c>
      <c r="EY483" s="399">
        <v>0</v>
      </c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488</v>
      </c>
      <c r="B484" s="399" t="s">
        <v>956</v>
      </c>
      <c r="C484" s="399" t="s">
        <v>2352</v>
      </c>
      <c r="D484" s="399" t="s">
        <v>533</v>
      </c>
      <c r="E484" s="399" t="s">
        <v>890</v>
      </c>
      <c r="F484" s="399" t="s">
        <v>1239</v>
      </c>
      <c r="G484" s="399" t="s">
        <v>1239</v>
      </c>
      <c r="H484" s="399" t="s">
        <v>1239</v>
      </c>
      <c r="I484" s="399" t="s">
        <v>2326</v>
      </c>
      <c r="J484" s="399" t="s">
        <v>2344</v>
      </c>
      <c r="K484" s="791">
        <v>44743</v>
      </c>
      <c r="L484" s="399">
        <v>0</v>
      </c>
      <c r="M484" s="399">
        <v>0</v>
      </c>
      <c r="N484" s="399">
        <v>2059.5949999999998</v>
      </c>
      <c r="O484" s="399">
        <v>2059.5949999999998</v>
      </c>
      <c r="P484" s="399">
        <v>2059.5949999999998</v>
      </c>
      <c r="Q484" s="399">
        <v>2059.5949999999998</v>
      </c>
      <c r="R484" s="399"/>
      <c r="S484" s="399">
        <v>78.42</v>
      </c>
      <c r="T484" s="399">
        <v>171.61</v>
      </c>
      <c r="U484" s="399"/>
      <c r="V484" s="399">
        <v>514960.53784999996</v>
      </c>
      <c r="W484" s="399">
        <v>514960.53784999996</v>
      </c>
      <c r="X484" s="399">
        <v>545875.0588</v>
      </c>
      <c r="Y484" s="399">
        <v>0</v>
      </c>
      <c r="Z484" s="399">
        <v>108330.26970083824</v>
      </c>
      <c r="AA484" s="399">
        <v>0</v>
      </c>
      <c r="AB484" s="399">
        <v>0</v>
      </c>
      <c r="AC484" s="399">
        <v>0</v>
      </c>
      <c r="AD484" s="399">
        <v>0</v>
      </c>
      <c r="AE484" s="399">
        <v>0</v>
      </c>
      <c r="AF484" s="399">
        <v>340603.93250334461</v>
      </c>
      <c r="AG484" s="399">
        <v>12842.309990506277</v>
      </c>
      <c r="AH484" s="399">
        <v>0</v>
      </c>
      <c r="AI484" s="399">
        <v>0</v>
      </c>
      <c r="AJ484" s="399">
        <v>0</v>
      </c>
      <c r="AK484" s="399">
        <v>0</v>
      </c>
      <c r="AL484" s="399">
        <v>19253.322216600842</v>
      </c>
      <c r="AM484" s="399"/>
      <c r="AN484" s="399">
        <v>543.85763373502721</v>
      </c>
      <c r="AO484" s="399">
        <v>0</v>
      </c>
      <c r="AP484" s="399">
        <v>0</v>
      </c>
      <c r="AQ484" s="399">
        <v>0</v>
      </c>
      <c r="AR484" s="399">
        <v>0</v>
      </c>
      <c r="AS484" s="399">
        <v>0</v>
      </c>
      <c r="AT484" s="399">
        <v>0</v>
      </c>
      <c r="AU484" s="399">
        <v>0</v>
      </c>
      <c r="AV484" s="399">
        <v>0</v>
      </c>
      <c r="AW484" s="399">
        <v>0</v>
      </c>
      <c r="AX484" s="399">
        <v>0</v>
      </c>
      <c r="AY484" s="399">
        <v>0</v>
      </c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>
        <v>0</v>
      </c>
      <c r="BG484" s="399">
        <v>12730.951434189788</v>
      </c>
      <c r="BH484" s="399">
        <v>0</v>
      </c>
      <c r="BI484" s="399">
        <v>0</v>
      </c>
      <c r="BJ484" s="399">
        <v>0</v>
      </c>
      <c r="BK484" s="399">
        <v>0</v>
      </c>
      <c r="BL484" s="399">
        <v>0</v>
      </c>
      <c r="BM484" s="399"/>
      <c r="BN484" s="399"/>
      <c r="BO484" s="399"/>
      <c r="BP484" s="399"/>
      <c r="BQ484" s="399"/>
      <c r="BR484" s="399"/>
      <c r="BS484" s="399"/>
      <c r="BT484" s="399"/>
      <c r="BU484" s="399"/>
      <c r="BV484" s="399">
        <v>353334.88393753441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545876.38399999996</v>
      </c>
      <c r="CJ484" s="399">
        <v>30915.81614999997</v>
      </c>
      <c r="CK484" s="399"/>
      <c r="CL484" s="399"/>
      <c r="CM484" s="399"/>
      <c r="CN484" s="399"/>
      <c r="CO484" s="399">
        <v>-15446.962499999998</v>
      </c>
      <c r="CP484" s="399">
        <v>46361.483449999978</v>
      </c>
      <c r="CQ484" s="399">
        <v>31</v>
      </c>
      <c r="CR484" s="399">
        <v>30922.376497360237</v>
      </c>
      <c r="CS484" s="399">
        <v>0</v>
      </c>
      <c r="CT484" s="399">
        <v>0</v>
      </c>
      <c r="CU484" s="399">
        <v>0</v>
      </c>
      <c r="CV484" s="399">
        <v>0</v>
      </c>
      <c r="CW484" s="399">
        <v>0</v>
      </c>
      <c r="CX484" s="399">
        <v>0</v>
      </c>
      <c r="CY484" s="399">
        <v>0</v>
      </c>
      <c r="CZ484" s="399">
        <v>0</v>
      </c>
      <c r="DA484" s="399">
        <v>0</v>
      </c>
      <c r="DB484" s="399">
        <v>0</v>
      </c>
      <c r="DC484" s="399">
        <v>46372.495384525275</v>
      </c>
      <c r="DD484" s="399">
        <v>0</v>
      </c>
      <c r="DE484" s="399">
        <v>0</v>
      </c>
      <c r="DF484" s="399">
        <v>0</v>
      </c>
      <c r="DG484" s="399">
        <v>1733.2917511654668</v>
      </c>
      <c r="DH484" s="399">
        <v>0</v>
      </c>
      <c r="DI484" s="399">
        <v>-14879.460833357734</v>
      </c>
      <c r="DJ484" s="399"/>
      <c r="DK484" s="399">
        <v>0</v>
      </c>
      <c r="DL484" s="399">
        <v>0</v>
      </c>
      <c r="DM484" s="399">
        <v>0</v>
      </c>
      <c r="DN484" s="399">
        <v>0</v>
      </c>
      <c r="DO484" s="399">
        <v>-2218.8223813116456</v>
      </c>
      <c r="DP484" s="399">
        <v>-85.127423661036175</v>
      </c>
      <c r="DQ484" s="399">
        <v>0</v>
      </c>
      <c r="DR484" s="399">
        <v>0</v>
      </c>
      <c r="DS484" s="399"/>
      <c r="DT484" s="399"/>
      <c r="DU484" s="399"/>
      <c r="DV484" s="399">
        <v>0</v>
      </c>
      <c r="DW484" s="399">
        <v>0</v>
      </c>
      <c r="DX484" s="399">
        <v>0</v>
      </c>
      <c r="DY484" s="399">
        <v>-15446.962499999994</v>
      </c>
      <c r="DZ484" s="399">
        <v>46361.48345</v>
      </c>
      <c r="EA484" s="399">
        <v>0</v>
      </c>
      <c r="EB484" s="399">
        <v>0</v>
      </c>
      <c r="EC484" s="399">
        <v>0</v>
      </c>
      <c r="ED484" s="399">
        <v>0</v>
      </c>
      <c r="EE484" s="399">
        <v>0</v>
      </c>
      <c r="EF484" s="399">
        <v>0</v>
      </c>
      <c r="EG484" s="399">
        <v>0</v>
      </c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>
        <v>0</v>
      </c>
      <c r="EN484" s="399">
        <v>0</v>
      </c>
      <c r="EO484" s="399">
        <v>0</v>
      </c>
      <c r="EP484" s="399">
        <v>20658.205458169239</v>
      </c>
      <c r="EQ484" s="399">
        <v>0</v>
      </c>
      <c r="ER484" s="399">
        <v>0</v>
      </c>
      <c r="ES484" s="399">
        <v>0</v>
      </c>
      <c r="ET484" s="399">
        <v>0</v>
      </c>
      <c r="EU484" s="399">
        <v>0</v>
      </c>
      <c r="EV484" s="399">
        <v>215</v>
      </c>
      <c r="EW484" s="399">
        <v>0</v>
      </c>
      <c r="EX484" s="399">
        <v>0</v>
      </c>
      <c r="EY484" s="399">
        <v>0</v>
      </c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489</v>
      </c>
      <c r="B485" s="399" t="s">
        <v>2346</v>
      </c>
      <c r="C485" s="399" t="s">
        <v>2352</v>
      </c>
      <c r="D485" s="399" t="s">
        <v>533</v>
      </c>
      <c r="E485" s="399" t="s">
        <v>890</v>
      </c>
      <c r="F485" s="399" t="s">
        <v>1239</v>
      </c>
      <c r="G485" s="399" t="s">
        <v>1239</v>
      </c>
      <c r="H485" s="399" t="s">
        <v>1239</v>
      </c>
      <c r="I485" s="399" t="s">
        <v>2326</v>
      </c>
      <c r="J485" s="399" t="s">
        <v>2344</v>
      </c>
      <c r="K485" s="791">
        <v>44743</v>
      </c>
      <c r="L485" s="399">
        <v>0</v>
      </c>
      <c r="M485" s="399">
        <v>0</v>
      </c>
      <c r="N485" s="399">
        <v>10.162000000000001</v>
      </c>
      <c r="O485" s="399">
        <v>10.162000000000001</v>
      </c>
      <c r="P485" s="399">
        <v>10.162000000000001</v>
      </c>
      <c r="Q485" s="399">
        <v>10.162000000000001</v>
      </c>
      <c r="R485" s="399"/>
      <c r="S485" s="399">
        <v>78.42</v>
      </c>
      <c r="T485" s="399">
        <v>171.61</v>
      </c>
      <c r="U485" s="399"/>
      <c r="V485" s="399">
        <v>2540.8048600000002</v>
      </c>
      <c r="W485" s="399">
        <v>2540.8048600000002</v>
      </c>
      <c r="X485" s="399">
        <v>2693.3364800000004</v>
      </c>
      <c r="Y485" s="399">
        <v>0</v>
      </c>
      <c r="Z485" s="399">
        <v>534.49935579563862</v>
      </c>
      <c r="AA485" s="399">
        <v>0</v>
      </c>
      <c r="AB485" s="399">
        <v>0</v>
      </c>
      <c r="AC485" s="399">
        <v>0</v>
      </c>
      <c r="AD485" s="399">
        <v>0</v>
      </c>
      <c r="AE485" s="399">
        <v>0</v>
      </c>
      <c r="AF485" s="399">
        <v>1680.5329019049805</v>
      </c>
      <c r="AG485" s="399">
        <v>63.363697291712604</v>
      </c>
      <c r="AH485" s="399">
        <v>0</v>
      </c>
      <c r="AI485" s="399">
        <v>0</v>
      </c>
      <c r="AJ485" s="399">
        <v>0</v>
      </c>
      <c r="AK485" s="399">
        <v>0</v>
      </c>
      <c r="AL485" s="399">
        <v>94.995501720045823</v>
      </c>
      <c r="AM485" s="399"/>
      <c r="AN485" s="399">
        <v>2.6833825456050087</v>
      </c>
      <c r="AO485" s="399">
        <v>0</v>
      </c>
      <c r="AP485" s="399">
        <v>0</v>
      </c>
      <c r="AQ485" s="399">
        <v>0</v>
      </c>
      <c r="AR485" s="399">
        <v>0</v>
      </c>
      <c r="AS485" s="399">
        <v>0</v>
      </c>
      <c r="AT485" s="399">
        <v>0</v>
      </c>
      <c r="AU485" s="399">
        <v>0</v>
      </c>
      <c r="AV485" s="399">
        <v>0</v>
      </c>
      <c r="AW485" s="399">
        <v>0</v>
      </c>
      <c r="AX485" s="399">
        <v>0</v>
      </c>
      <c r="AY485" s="399">
        <v>0</v>
      </c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>
        <v>0</v>
      </c>
      <c r="BG485" s="399">
        <v>62.814256431112256</v>
      </c>
      <c r="BH485" s="399">
        <v>0</v>
      </c>
      <c r="BI485" s="399">
        <v>0</v>
      </c>
      <c r="BJ485" s="399">
        <v>0</v>
      </c>
      <c r="BK485" s="399">
        <v>0</v>
      </c>
      <c r="BL485" s="399">
        <v>0</v>
      </c>
      <c r="BM485" s="399"/>
      <c r="BN485" s="399"/>
      <c r="BO485" s="399"/>
      <c r="BP485" s="399"/>
      <c r="BQ485" s="399"/>
      <c r="BR485" s="399"/>
      <c r="BS485" s="399"/>
      <c r="BT485" s="399"/>
      <c r="BU485" s="399"/>
      <c r="BV485" s="399">
        <v>1743.3471583360927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2692.8063999999999</v>
      </c>
      <c r="CJ485" s="399">
        <v>151.9715399999991</v>
      </c>
      <c r="CK485" s="399"/>
      <c r="CL485" s="399"/>
      <c r="CM485" s="399"/>
      <c r="CN485" s="399"/>
      <c r="CO485" s="399">
        <v>-76.215000000000003</v>
      </c>
      <c r="CP485" s="399">
        <v>228.74661999999992</v>
      </c>
      <c r="CQ485" s="399">
        <v>31</v>
      </c>
      <c r="CR485" s="399">
        <v>152.57037911151201</v>
      </c>
      <c r="CS485" s="399">
        <v>0</v>
      </c>
      <c r="CT485" s="399">
        <v>0</v>
      </c>
      <c r="CU485" s="399">
        <v>0</v>
      </c>
      <c r="CV485" s="399">
        <v>0</v>
      </c>
      <c r="CW485" s="399">
        <v>0</v>
      </c>
      <c r="CX485" s="399">
        <v>0</v>
      </c>
      <c r="CY485" s="399">
        <v>0</v>
      </c>
      <c r="CZ485" s="399">
        <v>0</v>
      </c>
      <c r="DA485" s="399">
        <v>0</v>
      </c>
      <c r="DB485" s="399">
        <v>0</v>
      </c>
      <c r="DC485" s="399">
        <v>228.80095266183207</v>
      </c>
      <c r="DD485" s="399">
        <v>0</v>
      </c>
      <c r="DE485" s="399">
        <v>0</v>
      </c>
      <c r="DF485" s="399">
        <v>0</v>
      </c>
      <c r="DG485" s="399">
        <v>8.5520263815670035</v>
      </c>
      <c r="DH485" s="399">
        <v>0</v>
      </c>
      <c r="DI485" s="399">
        <v>-73.414958275088679</v>
      </c>
      <c r="DJ485" s="399"/>
      <c r="DK485" s="399">
        <v>0</v>
      </c>
      <c r="DL485" s="399">
        <v>0</v>
      </c>
      <c r="DM485" s="399">
        <v>0</v>
      </c>
      <c r="DN485" s="399">
        <v>0</v>
      </c>
      <c r="DO485" s="399">
        <v>-10.947624673243496</v>
      </c>
      <c r="DP485" s="399">
        <v>-0.42001698355426687</v>
      </c>
      <c r="DQ485" s="399">
        <v>0</v>
      </c>
      <c r="DR485" s="399">
        <v>0</v>
      </c>
      <c r="DS485" s="399"/>
      <c r="DT485" s="399"/>
      <c r="DU485" s="399"/>
      <c r="DV485" s="399">
        <v>0</v>
      </c>
      <c r="DW485" s="399">
        <v>0</v>
      </c>
      <c r="DX485" s="399">
        <v>0</v>
      </c>
      <c r="DY485" s="399">
        <v>-76.215000000000032</v>
      </c>
      <c r="DZ485" s="399">
        <v>228.74661999999989</v>
      </c>
      <c r="EA485" s="399">
        <v>0</v>
      </c>
      <c r="EB485" s="399">
        <v>0</v>
      </c>
      <c r="EC485" s="399">
        <v>0</v>
      </c>
      <c r="ED485" s="399">
        <v>0</v>
      </c>
      <c r="EE485" s="399">
        <v>0</v>
      </c>
      <c r="EF485" s="399">
        <v>0</v>
      </c>
      <c r="EG485" s="399">
        <v>0</v>
      </c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>
        <v>0</v>
      </c>
      <c r="EN485" s="399">
        <v>0</v>
      </c>
      <c r="EO485" s="399">
        <v>0</v>
      </c>
      <c r="EP485" s="399">
        <v>101.9271671692327</v>
      </c>
      <c r="EQ485" s="399">
        <v>0</v>
      </c>
      <c r="ER485" s="399">
        <v>0</v>
      </c>
      <c r="ES485" s="399">
        <v>0</v>
      </c>
      <c r="ET485" s="399">
        <v>0</v>
      </c>
      <c r="EU485" s="399">
        <v>0</v>
      </c>
      <c r="EV485" s="399">
        <v>215</v>
      </c>
      <c r="EW485" s="399">
        <v>0</v>
      </c>
      <c r="EX485" s="399">
        <v>0</v>
      </c>
      <c r="EY485" s="399">
        <v>0</v>
      </c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490</v>
      </c>
      <c r="B486" s="399" t="s">
        <v>956</v>
      </c>
      <c r="C486" s="399" t="s">
        <v>2352</v>
      </c>
      <c r="D486" s="399" t="s">
        <v>533</v>
      </c>
      <c r="E486" s="399" t="s">
        <v>890</v>
      </c>
      <c r="F486" s="399" t="s">
        <v>1239</v>
      </c>
      <c r="G486" s="399" t="s">
        <v>1239</v>
      </c>
      <c r="H486" s="399" t="s">
        <v>1239</v>
      </c>
      <c r="I486" s="399" t="s">
        <v>1239</v>
      </c>
      <c r="J486" s="399" t="s">
        <v>2344</v>
      </c>
      <c r="K486" s="791">
        <v>44743</v>
      </c>
      <c r="L486" s="399">
        <v>9994</v>
      </c>
      <c r="M486" s="399">
        <v>9994</v>
      </c>
      <c r="N486" s="399">
        <v>0</v>
      </c>
      <c r="O486" s="399">
        <v>0</v>
      </c>
      <c r="P486" s="399">
        <v>0</v>
      </c>
      <c r="Q486" s="399">
        <v>0</v>
      </c>
      <c r="R486" s="399">
        <v>12.58</v>
      </c>
      <c r="S486" s="399"/>
      <c r="T486" s="399"/>
      <c r="U486" s="399">
        <v>125724.52</v>
      </c>
      <c r="V486" s="399"/>
      <c r="W486" s="399">
        <v>125724.52</v>
      </c>
      <c r="X486" s="399">
        <v>115830.45999999999</v>
      </c>
      <c r="Y486" s="399">
        <v>0</v>
      </c>
      <c r="Z486" s="399">
        <v>0</v>
      </c>
      <c r="AA486" s="399">
        <v>0</v>
      </c>
      <c r="AB486" s="399">
        <v>0</v>
      </c>
      <c r="AC486" s="399">
        <v>0</v>
      </c>
      <c r="AD486" s="399">
        <v>66234.629588380252</v>
      </c>
      <c r="AE486" s="399">
        <v>59461.391999929649</v>
      </c>
      <c r="AF486" s="399"/>
      <c r="AG486" s="399"/>
      <c r="AH486" s="399"/>
      <c r="AI486" s="399">
        <v>0</v>
      </c>
      <c r="AJ486" s="399">
        <v>0</v>
      </c>
      <c r="AK486" s="399">
        <v>0</v>
      </c>
      <c r="AL486" s="399">
        <v>0</v>
      </c>
      <c r="AM486" s="399"/>
      <c r="AN486" s="399">
        <v>0</v>
      </c>
      <c r="AO486" s="399">
        <v>0</v>
      </c>
      <c r="AP486" s="399">
        <v>0</v>
      </c>
      <c r="AQ486" s="399">
        <v>0</v>
      </c>
      <c r="AR486" s="399">
        <v>0</v>
      </c>
      <c r="AS486" s="399"/>
      <c r="AT486" s="399"/>
      <c r="AU486" s="399">
        <v>0</v>
      </c>
      <c r="AV486" s="399">
        <v>0</v>
      </c>
      <c r="AW486" s="399">
        <v>0</v>
      </c>
      <c r="AX486" s="399"/>
      <c r="AY486" s="399"/>
      <c r="AZ486" s="399">
        <v>0</v>
      </c>
      <c r="BA486" s="399"/>
      <c r="BB486" s="399">
        <v>0</v>
      </c>
      <c r="BC486" s="399">
        <v>0</v>
      </c>
      <c r="BD486" s="399">
        <v>0</v>
      </c>
      <c r="BE486" s="399">
        <v>0</v>
      </c>
      <c r="BF486" s="399"/>
      <c r="BG486" s="399">
        <v>0</v>
      </c>
      <c r="BH486" s="399">
        <v>0</v>
      </c>
      <c r="BI486" s="399">
        <v>0</v>
      </c>
      <c r="BJ486" s="399">
        <v>0</v>
      </c>
      <c r="BK486" s="399">
        <v>173198.74</v>
      </c>
      <c r="BL486" s="399">
        <v>52</v>
      </c>
      <c r="BM486" s="399"/>
      <c r="BN486" s="399"/>
      <c r="BO486" s="399"/>
      <c r="BP486" s="399"/>
      <c r="BQ486" s="399"/>
      <c r="BR486" s="399"/>
      <c r="BS486" s="399"/>
      <c r="BT486" s="399"/>
      <c r="BU486" s="399"/>
      <c r="BV486" s="399">
        <v>0</v>
      </c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>
        <v>115830.45999999999</v>
      </c>
      <c r="CJ486" s="399">
        <v>-9894.0899999999965</v>
      </c>
      <c r="CK486" s="399"/>
      <c r="CL486" s="399"/>
      <c r="CM486" s="399"/>
      <c r="CN486" s="399"/>
      <c r="CO486" s="399">
        <v>-9894.0600000000013</v>
      </c>
      <c r="CP486" s="399">
        <v>0</v>
      </c>
      <c r="CQ486" s="399">
        <v>31</v>
      </c>
      <c r="CR486" s="399">
        <v>2982.7192420681677</v>
      </c>
      <c r="CS486" s="399">
        <v>0</v>
      </c>
      <c r="CT486" s="399">
        <v>0</v>
      </c>
      <c r="CU486" s="399">
        <v>0</v>
      </c>
      <c r="CV486" s="399">
        <v>0</v>
      </c>
      <c r="CW486" s="399"/>
      <c r="CX486" s="399"/>
      <c r="CY486" s="399"/>
      <c r="CZ486" s="399">
        <v>2982.7192420681677</v>
      </c>
      <c r="DA486" s="399">
        <v>0</v>
      </c>
      <c r="DB486" s="399">
        <v>0</v>
      </c>
      <c r="DC486" s="399"/>
      <c r="DD486" s="399"/>
      <c r="DE486" s="399">
        <v>0</v>
      </c>
      <c r="DF486" s="399">
        <v>0</v>
      </c>
      <c r="DG486" s="399">
        <v>0</v>
      </c>
      <c r="DH486" s="399">
        <v>0</v>
      </c>
      <c r="DI486" s="399">
        <v>0</v>
      </c>
      <c r="DJ486" s="399"/>
      <c r="DK486" s="399">
        <v>0</v>
      </c>
      <c r="DL486" s="399">
        <v>0</v>
      </c>
      <c r="DM486" s="399"/>
      <c r="DN486" s="399">
        <v>0</v>
      </c>
      <c r="DO486" s="399">
        <v>0</v>
      </c>
      <c r="DP486" s="399">
        <v>0</v>
      </c>
      <c r="DQ486" s="399">
        <v>0</v>
      </c>
      <c r="DR486" s="399">
        <v>0</v>
      </c>
      <c r="DS486" s="399"/>
      <c r="DT486" s="399"/>
      <c r="DU486" s="399">
        <v>59461.391999929649</v>
      </c>
      <c r="DV486" s="399"/>
      <c r="DW486" s="399">
        <v>0</v>
      </c>
      <c r="DX486" s="399">
        <v>0</v>
      </c>
      <c r="DY486" s="399">
        <v>-9894.0600000000122</v>
      </c>
      <c r="DZ486" s="399"/>
      <c r="EA486" s="399">
        <v>0</v>
      </c>
      <c r="EB486" s="399"/>
      <c r="EC486" s="399">
        <v>-12855.232121590081</v>
      </c>
      <c r="ED486" s="399"/>
      <c r="EE486" s="399">
        <v>0</v>
      </c>
      <c r="EF486" s="399">
        <v>0</v>
      </c>
      <c r="EG486" s="399"/>
      <c r="EH486" s="399">
        <v>0</v>
      </c>
      <c r="EI486" s="399">
        <v>0</v>
      </c>
      <c r="EJ486" s="399">
        <v>0</v>
      </c>
      <c r="EK486" s="399">
        <v>0</v>
      </c>
      <c r="EL486" s="399">
        <v>0</v>
      </c>
      <c r="EM486" s="399"/>
      <c r="EN486" s="399"/>
      <c r="EO486" s="399">
        <v>0</v>
      </c>
      <c r="EP486" s="399">
        <v>0</v>
      </c>
      <c r="EQ486" s="399"/>
      <c r="ER486" s="399">
        <v>0</v>
      </c>
      <c r="ES486" s="399"/>
      <c r="ET486" s="399">
        <v>0</v>
      </c>
      <c r="EU486" s="399"/>
      <c r="EV486" s="399">
        <v>215</v>
      </c>
      <c r="EW486" s="399"/>
      <c r="EX486" s="399"/>
      <c r="EY486" s="399"/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491</v>
      </c>
      <c r="B487" s="399" t="s">
        <v>2346</v>
      </c>
      <c r="C487" s="399" t="s">
        <v>2352</v>
      </c>
      <c r="D487" s="399" t="s">
        <v>533</v>
      </c>
      <c r="E487" s="399" t="s">
        <v>890</v>
      </c>
      <c r="F487" s="399" t="s">
        <v>1239</v>
      </c>
      <c r="G487" s="399" t="s">
        <v>1239</v>
      </c>
      <c r="H487" s="399" t="s">
        <v>1239</v>
      </c>
      <c r="I487" s="399" t="s">
        <v>1239</v>
      </c>
      <c r="J487" s="399" t="s">
        <v>2344</v>
      </c>
      <c r="K487" s="791">
        <v>44743</v>
      </c>
      <c r="L487" s="399">
        <v>821</v>
      </c>
      <c r="M487" s="399">
        <v>821</v>
      </c>
      <c r="N487" s="399">
        <v>0</v>
      </c>
      <c r="O487" s="399">
        <v>0</v>
      </c>
      <c r="P487" s="399">
        <v>0</v>
      </c>
      <c r="Q487" s="399">
        <v>0</v>
      </c>
      <c r="R487" s="399">
        <v>12.58</v>
      </c>
      <c r="S487" s="399"/>
      <c r="T487" s="399"/>
      <c r="U487" s="399">
        <v>10328.18</v>
      </c>
      <c r="V487" s="399"/>
      <c r="W487" s="399">
        <v>10328.18</v>
      </c>
      <c r="X487" s="399">
        <v>9515.39</v>
      </c>
      <c r="Y487" s="399">
        <v>0</v>
      </c>
      <c r="Z487" s="399">
        <v>0</v>
      </c>
      <c r="AA487" s="399">
        <v>0</v>
      </c>
      <c r="AB487" s="399">
        <v>0</v>
      </c>
      <c r="AC487" s="399">
        <v>0</v>
      </c>
      <c r="AD487" s="399">
        <v>5441.1277658655381</v>
      </c>
      <c r="AE487" s="399">
        <v>4884.7111098601408</v>
      </c>
      <c r="AF487" s="399"/>
      <c r="AG487" s="399"/>
      <c r="AH487" s="399"/>
      <c r="AI487" s="399">
        <v>0</v>
      </c>
      <c r="AJ487" s="399">
        <v>0</v>
      </c>
      <c r="AK487" s="399">
        <v>0</v>
      </c>
      <c r="AL487" s="399">
        <v>0</v>
      </c>
      <c r="AM487" s="399"/>
      <c r="AN487" s="399">
        <v>0</v>
      </c>
      <c r="AO487" s="399">
        <v>0</v>
      </c>
      <c r="AP487" s="399">
        <v>0</v>
      </c>
      <c r="AQ487" s="399">
        <v>0</v>
      </c>
      <c r="AR487" s="399">
        <v>0</v>
      </c>
      <c r="AS487" s="399"/>
      <c r="AT487" s="399"/>
      <c r="AU487" s="399">
        <v>0</v>
      </c>
      <c r="AV487" s="399">
        <v>0</v>
      </c>
      <c r="AW487" s="399">
        <v>0</v>
      </c>
      <c r="AX487" s="399"/>
      <c r="AY487" s="399"/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/>
      <c r="BG487" s="399">
        <v>0</v>
      </c>
      <c r="BH487" s="399">
        <v>0</v>
      </c>
      <c r="BI487" s="399">
        <v>0</v>
      </c>
      <c r="BJ487" s="399">
        <v>0</v>
      </c>
      <c r="BK487" s="399">
        <v>520.46</v>
      </c>
      <c r="BL487" s="399">
        <v>3</v>
      </c>
      <c r="BM487" s="399"/>
      <c r="BN487" s="399"/>
      <c r="BO487" s="399"/>
      <c r="BP487" s="399"/>
      <c r="BQ487" s="399"/>
      <c r="BR487" s="399"/>
      <c r="BS487" s="399"/>
      <c r="BT487" s="399"/>
      <c r="BU487" s="399"/>
      <c r="BV487" s="399">
        <v>0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9515.39</v>
      </c>
      <c r="CJ487" s="399">
        <v>-812.82000000000153</v>
      </c>
      <c r="CK487" s="399"/>
      <c r="CL487" s="399"/>
      <c r="CM487" s="399"/>
      <c r="CN487" s="399"/>
      <c r="CO487" s="399">
        <v>-812.79000000000019</v>
      </c>
      <c r="CP487" s="399">
        <v>0</v>
      </c>
      <c r="CQ487" s="399">
        <v>31</v>
      </c>
      <c r="CR487" s="399">
        <v>245.02826673383697</v>
      </c>
      <c r="CS487" s="399">
        <v>0</v>
      </c>
      <c r="CT487" s="399">
        <v>0</v>
      </c>
      <c r="CU487" s="399">
        <v>0</v>
      </c>
      <c r="CV487" s="399">
        <v>0</v>
      </c>
      <c r="CW487" s="399"/>
      <c r="CX487" s="399"/>
      <c r="CY487" s="399"/>
      <c r="CZ487" s="399">
        <v>245.02826673383697</v>
      </c>
      <c r="DA487" s="399">
        <v>0</v>
      </c>
      <c r="DB487" s="399">
        <v>0</v>
      </c>
      <c r="DC487" s="399"/>
      <c r="DD487" s="399"/>
      <c r="DE487" s="399">
        <v>0</v>
      </c>
      <c r="DF487" s="399">
        <v>0</v>
      </c>
      <c r="DG487" s="399">
        <v>0</v>
      </c>
      <c r="DH487" s="399">
        <v>0</v>
      </c>
      <c r="DI487" s="399">
        <v>0</v>
      </c>
      <c r="DJ487" s="399"/>
      <c r="DK487" s="399">
        <v>0</v>
      </c>
      <c r="DL487" s="399">
        <v>0</v>
      </c>
      <c r="DM487" s="399"/>
      <c r="DN487" s="399">
        <v>0</v>
      </c>
      <c r="DO487" s="399">
        <v>0</v>
      </c>
      <c r="DP487" s="399">
        <v>0</v>
      </c>
      <c r="DQ487" s="399">
        <v>0</v>
      </c>
      <c r="DR487" s="399">
        <v>0</v>
      </c>
      <c r="DS487" s="399"/>
      <c r="DT487" s="399"/>
      <c r="DU487" s="399">
        <v>4884.7111098601408</v>
      </c>
      <c r="DV487" s="399"/>
      <c r="DW487" s="399">
        <v>0</v>
      </c>
      <c r="DX487" s="399">
        <v>0</v>
      </c>
      <c r="DY487" s="399">
        <v>-812.79000000000087</v>
      </c>
      <c r="DZ487" s="399"/>
      <c r="EA487" s="399">
        <v>0</v>
      </c>
      <c r="EB487" s="399"/>
      <c r="EC487" s="399">
        <v>-1056.0481860942032</v>
      </c>
      <c r="ED487" s="399"/>
      <c r="EE487" s="399">
        <v>0</v>
      </c>
      <c r="EF487" s="399">
        <v>0</v>
      </c>
      <c r="EG487" s="399"/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/>
      <c r="EN487" s="399"/>
      <c r="EO487" s="399">
        <v>0</v>
      </c>
      <c r="EP487" s="399">
        <v>0</v>
      </c>
      <c r="EQ487" s="399"/>
      <c r="ER487" s="399">
        <v>0</v>
      </c>
      <c r="ES487" s="399"/>
      <c r="ET487" s="399">
        <v>0</v>
      </c>
      <c r="EU487" s="399"/>
      <c r="EV487" s="399">
        <v>215</v>
      </c>
      <c r="EW487" s="399"/>
      <c r="EX487" s="399"/>
      <c r="EY487" s="399"/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492</v>
      </c>
      <c r="B488" s="399" t="s">
        <v>956</v>
      </c>
      <c r="C488" s="399" t="s">
        <v>2343</v>
      </c>
      <c r="D488" s="399" t="s">
        <v>1826</v>
      </c>
      <c r="E488" s="399" t="s">
        <v>918</v>
      </c>
      <c r="F488" s="399" t="s">
        <v>1239</v>
      </c>
      <c r="G488" s="399" t="s">
        <v>1239</v>
      </c>
      <c r="H488" s="399" t="s">
        <v>1239</v>
      </c>
      <c r="I488" s="399" t="s">
        <v>1239</v>
      </c>
      <c r="J488" s="399" t="s">
        <v>2344</v>
      </c>
      <c r="K488" s="791">
        <v>44743</v>
      </c>
      <c r="L488" s="399">
        <v>0</v>
      </c>
      <c r="M488" s="399">
        <v>0</v>
      </c>
      <c r="N488" s="399">
        <v>499.46899999999999</v>
      </c>
      <c r="O488" s="399">
        <v>499.46899999999999</v>
      </c>
      <c r="P488" s="399">
        <v>499.46899999999999</v>
      </c>
      <c r="Q488" s="399">
        <v>499.46899999999999</v>
      </c>
      <c r="R488" s="399"/>
      <c r="S488" s="399">
        <v>239.69</v>
      </c>
      <c r="T488" s="399">
        <v>171.61</v>
      </c>
      <c r="U488" s="399"/>
      <c r="V488" s="399">
        <v>205431.59969999999</v>
      </c>
      <c r="W488" s="399">
        <v>205431.59969999999</v>
      </c>
      <c r="X488" s="399">
        <v>204677.40151</v>
      </c>
      <c r="Y488" s="399">
        <v>0</v>
      </c>
      <c r="Z488" s="399">
        <v>30196.546830980853</v>
      </c>
      <c r="AA488" s="399">
        <v>0</v>
      </c>
      <c r="AB488" s="399">
        <v>0</v>
      </c>
      <c r="AC488" s="399">
        <v>0</v>
      </c>
      <c r="AD488" s="399">
        <v>26639.675101823454</v>
      </c>
      <c r="AE488" s="399">
        <v>44260.308704319301</v>
      </c>
      <c r="AF488" s="399">
        <v>82599.300135955389</v>
      </c>
      <c r="AG488" s="399">
        <v>3114.3674987792165</v>
      </c>
      <c r="AH488" s="399">
        <v>0</v>
      </c>
      <c r="AI488" s="399">
        <v>0</v>
      </c>
      <c r="AJ488" s="399">
        <v>0</v>
      </c>
      <c r="AK488" s="399">
        <v>0</v>
      </c>
      <c r="AL488" s="399">
        <v>4669.0915418824607</v>
      </c>
      <c r="AM488" s="399"/>
      <c r="AN488" s="399">
        <v>197.81551978467562</v>
      </c>
      <c r="AO488" s="399">
        <v>0</v>
      </c>
      <c r="AP488" s="399">
        <v>0</v>
      </c>
      <c r="AQ488" s="399">
        <v>0</v>
      </c>
      <c r="AR488" s="399">
        <v>0</v>
      </c>
      <c r="AS488" s="399">
        <v>0</v>
      </c>
      <c r="AT488" s="399">
        <v>0</v>
      </c>
      <c r="AU488" s="399">
        <v>0</v>
      </c>
      <c r="AV488" s="399">
        <v>0</v>
      </c>
      <c r="AW488" s="399">
        <v>0</v>
      </c>
      <c r="AX488" s="399">
        <v>0</v>
      </c>
      <c r="AY488" s="399">
        <v>0</v>
      </c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>
        <v>0</v>
      </c>
      <c r="BG488" s="399">
        <v>7996.4551975640215</v>
      </c>
      <c r="BH488" s="399">
        <v>0</v>
      </c>
      <c r="BI488" s="399">
        <v>0</v>
      </c>
      <c r="BJ488" s="399">
        <v>0</v>
      </c>
      <c r="BK488" s="399">
        <v>41876.86</v>
      </c>
      <c r="BL488" s="399">
        <v>568</v>
      </c>
      <c r="BM488" s="399"/>
      <c r="BN488" s="399"/>
      <c r="BO488" s="399"/>
      <c r="BP488" s="399"/>
      <c r="BQ488" s="399"/>
      <c r="BR488" s="399"/>
      <c r="BS488" s="399"/>
      <c r="BT488" s="399"/>
      <c r="BU488" s="399"/>
      <c r="BV488" s="399">
        <v>90595.75533351941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204677.8113</v>
      </c>
      <c r="CJ488" s="399">
        <v>-753.8183999999892</v>
      </c>
      <c r="CK488" s="399"/>
      <c r="CL488" s="399"/>
      <c r="CM488" s="399"/>
      <c r="CN488" s="399"/>
      <c r="CO488" s="399">
        <v>-11997.245380000006</v>
      </c>
      <c r="CP488" s="399">
        <v>11243.047189999996</v>
      </c>
      <c r="CQ488" s="399">
        <v>31</v>
      </c>
      <c r="CR488" s="399">
        <v>8817.4474754375697</v>
      </c>
      <c r="CS488" s="399">
        <v>0</v>
      </c>
      <c r="CT488" s="399">
        <v>0</v>
      </c>
      <c r="CU488" s="399">
        <v>0</v>
      </c>
      <c r="CV488" s="399">
        <v>0</v>
      </c>
      <c r="CW488" s="399">
        <v>0</v>
      </c>
      <c r="CX488" s="399">
        <v>0</v>
      </c>
      <c r="CY488" s="399">
        <v>0</v>
      </c>
      <c r="CZ488" s="399">
        <v>1199.6545013153336</v>
      </c>
      <c r="DA488" s="399">
        <v>0</v>
      </c>
      <c r="DB488" s="399">
        <v>0</v>
      </c>
      <c r="DC488" s="399">
        <v>11245.717676151602</v>
      </c>
      <c r="DD488" s="399">
        <v>0</v>
      </c>
      <c r="DE488" s="399">
        <v>0</v>
      </c>
      <c r="DF488" s="399">
        <v>0</v>
      </c>
      <c r="DG488" s="399">
        <v>1088.7002361253062</v>
      </c>
      <c r="DH488" s="399">
        <v>0</v>
      </c>
      <c r="DI488" s="399">
        <v>-4147.5788541377515</v>
      </c>
      <c r="DJ488" s="399"/>
      <c r="DK488" s="399">
        <v>0</v>
      </c>
      <c r="DL488" s="399">
        <v>0</v>
      </c>
      <c r="DM488" s="399">
        <v>0</v>
      </c>
      <c r="DN488" s="399">
        <v>0</v>
      </c>
      <c r="DO488" s="399">
        <v>-538.08297066721661</v>
      </c>
      <c r="DP488" s="399">
        <v>-30.963113349701388</v>
      </c>
      <c r="DQ488" s="399">
        <v>0</v>
      </c>
      <c r="DR488" s="399">
        <v>0</v>
      </c>
      <c r="DS488" s="399"/>
      <c r="DT488" s="399"/>
      <c r="DU488" s="399"/>
      <c r="DV488" s="399">
        <v>44260.308704319301</v>
      </c>
      <c r="DW488" s="399">
        <v>0</v>
      </c>
      <c r="DX488" s="399">
        <v>0</v>
      </c>
      <c r="DY488" s="399">
        <v>-11997.245379999993</v>
      </c>
      <c r="DZ488" s="399">
        <v>11243.047189999997</v>
      </c>
      <c r="EA488" s="399">
        <v>0</v>
      </c>
      <c r="EB488" s="399">
        <v>0</v>
      </c>
      <c r="EC488" s="399">
        <v>-9568.8399317649964</v>
      </c>
      <c r="ED488" s="399">
        <v>0</v>
      </c>
      <c r="EE488" s="399">
        <v>0</v>
      </c>
      <c r="EF488" s="399">
        <v>0</v>
      </c>
      <c r="EG488" s="399">
        <v>0</v>
      </c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>
        <v>0</v>
      </c>
      <c r="EN488" s="399">
        <v>0</v>
      </c>
      <c r="EO488" s="399">
        <v>0</v>
      </c>
      <c r="EP488" s="399">
        <v>5758.3764010217956</v>
      </c>
      <c r="EQ488" s="399">
        <v>0</v>
      </c>
      <c r="ER488" s="399">
        <v>0</v>
      </c>
      <c r="ES488" s="399">
        <v>0</v>
      </c>
      <c r="ET488" s="399">
        <v>0</v>
      </c>
      <c r="EU488" s="399">
        <v>0</v>
      </c>
      <c r="EV488" s="399">
        <v>215</v>
      </c>
      <c r="EW488" s="399">
        <v>0</v>
      </c>
      <c r="EX488" s="399">
        <v>0</v>
      </c>
      <c r="EY488" s="399">
        <v>0</v>
      </c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493</v>
      </c>
      <c r="B489" s="399" t="s">
        <v>2346</v>
      </c>
      <c r="C489" s="399" t="s">
        <v>2343</v>
      </c>
      <c r="D489" s="399" t="s">
        <v>1826</v>
      </c>
      <c r="E489" s="399" t="s">
        <v>918</v>
      </c>
      <c r="F489" s="399" t="s">
        <v>1239</v>
      </c>
      <c r="G489" s="399" t="s">
        <v>1239</v>
      </c>
      <c r="H489" s="399" t="s">
        <v>1239</v>
      </c>
      <c r="I489" s="399" t="s">
        <v>1239</v>
      </c>
      <c r="J489" s="399" t="s">
        <v>2344</v>
      </c>
      <c r="K489" s="791">
        <v>44743</v>
      </c>
      <c r="L489" s="399">
        <v>0</v>
      </c>
      <c r="M489" s="399">
        <v>0</v>
      </c>
      <c r="N489" s="399">
        <v>9.2210000000000001</v>
      </c>
      <c r="O489" s="399">
        <v>9.2210000000000001</v>
      </c>
      <c r="P489" s="399">
        <v>9.2210000000000001</v>
      </c>
      <c r="Q489" s="399">
        <v>9.2210000000000001</v>
      </c>
      <c r="R489" s="399"/>
      <c r="S489" s="399">
        <v>239.69</v>
      </c>
      <c r="T489" s="399">
        <v>171.61</v>
      </c>
      <c r="U489" s="399"/>
      <c r="V489" s="399">
        <v>3792.5973000000004</v>
      </c>
      <c r="W489" s="399">
        <v>3792.5973000000004</v>
      </c>
      <c r="X489" s="399">
        <v>3778.6735899999999</v>
      </c>
      <c r="Y489" s="399">
        <v>0</v>
      </c>
      <c r="Z489" s="399">
        <v>557.4767569728541</v>
      </c>
      <c r="AA489" s="399">
        <v>0</v>
      </c>
      <c r="AB489" s="399">
        <v>0</v>
      </c>
      <c r="AC489" s="399">
        <v>0</v>
      </c>
      <c r="AD489" s="399">
        <v>491.81119171342783</v>
      </c>
      <c r="AE489" s="399">
        <v>817.116390732014</v>
      </c>
      <c r="AF489" s="399">
        <v>1524.9157536376524</v>
      </c>
      <c r="AG489" s="399">
        <v>57.496226404928343</v>
      </c>
      <c r="AH489" s="399">
        <v>0</v>
      </c>
      <c r="AI489" s="399">
        <v>0</v>
      </c>
      <c r="AJ489" s="399">
        <v>0</v>
      </c>
      <c r="AK489" s="399">
        <v>0</v>
      </c>
      <c r="AL489" s="399">
        <v>86.198929478502507</v>
      </c>
      <c r="AM489" s="399"/>
      <c r="AN489" s="399">
        <v>3.6519922316189675</v>
      </c>
      <c r="AO489" s="399">
        <v>0</v>
      </c>
      <c r="AP489" s="399">
        <v>0</v>
      </c>
      <c r="AQ489" s="399">
        <v>0</v>
      </c>
      <c r="AR489" s="399">
        <v>0</v>
      </c>
      <c r="AS489" s="399">
        <v>0</v>
      </c>
      <c r="AT489" s="399">
        <v>0</v>
      </c>
      <c r="AU489" s="399">
        <v>0</v>
      </c>
      <c r="AV489" s="399">
        <v>0</v>
      </c>
      <c r="AW489" s="399">
        <v>0</v>
      </c>
      <c r="AX489" s="399">
        <v>0</v>
      </c>
      <c r="AY489" s="399">
        <v>0</v>
      </c>
      <c r="AZ489" s="399">
        <v>0</v>
      </c>
      <c r="BA489" s="399"/>
      <c r="BB489" s="399">
        <v>0</v>
      </c>
      <c r="BC489" s="399">
        <v>0</v>
      </c>
      <c r="BD489" s="399">
        <v>0</v>
      </c>
      <c r="BE489" s="399">
        <v>0</v>
      </c>
      <c r="BF489" s="399">
        <v>0</v>
      </c>
      <c r="BG489" s="399">
        <v>147.62740705977316</v>
      </c>
      <c r="BH489" s="399">
        <v>0</v>
      </c>
      <c r="BI489" s="399">
        <v>0</v>
      </c>
      <c r="BJ489" s="399">
        <v>0</v>
      </c>
      <c r="BK489" s="399">
        <v>1358.07</v>
      </c>
      <c r="BL489" s="399">
        <v>10</v>
      </c>
      <c r="BM489" s="399"/>
      <c r="BN489" s="399"/>
      <c r="BO489" s="399"/>
      <c r="BP489" s="399"/>
      <c r="BQ489" s="399"/>
      <c r="BR489" s="399"/>
      <c r="BS489" s="399"/>
      <c r="BT489" s="399"/>
      <c r="BU489" s="399"/>
      <c r="BV489" s="399">
        <v>1672.5431606974255</v>
      </c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>
        <v>3778.2638000000002</v>
      </c>
      <c r="CJ489" s="399">
        <v>-14.36350000000084</v>
      </c>
      <c r="CK489" s="399"/>
      <c r="CL489" s="399"/>
      <c r="CM489" s="399"/>
      <c r="CN489" s="399"/>
      <c r="CO489" s="399">
        <v>-221.4884200000001</v>
      </c>
      <c r="CP489" s="399">
        <v>207.56470999999991</v>
      </c>
      <c r="CQ489" s="399">
        <v>31</v>
      </c>
      <c r="CR489" s="399">
        <v>162.78424320830663</v>
      </c>
      <c r="CS489" s="399">
        <v>0</v>
      </c>
      <c r="CT489" s="399">
        <v>0</v>
      </c>
      <c r="CU489" s="399">
        <v>0</v>
      </c>
      <c r="CV489" s="399">
        <v>0</v>
      </c>
      <c r="CW489" s="399">
        <v>0</v>
      </c>
      <c r="CX489" s="399">
        <v>0</v>
      </c>
      <c r="CY489" s="399">
        <v>0</v>
      </c>
      <c r="CZ489" s="399">
        <v>22.14754901030625</v>
      </c>
      <c r="DA489" s="399">
        <v>0</v>
      </c>
      <c r="DB489" s="399">
        <v>0</v>
      </c>
      <c r="DC489" s="399">
        <v>207.61401146376238</v>
      </c>
      <c r="DD489" s="399">
        <v>0</v>
      </c>
      <c r="DE489" s="399">
        <v>0</v>
      </c>
      <c r="DF489" s="399">
        <v>0</v>
      </c>
      <c r="DG489" s="399">
        <v>20.099155057293757</v>
      </c>
      <c r="DH489" s="399">
        <v>0</v>
      </c>
      <c r="DI489" s="399">
        <v>-76.570967595594993</v>
      </c>
      <c r="DJ489" s="399"/>
      <c r="DK489" s="399">
        <v>0</v>
      </c>
      <c r="DL489" s="399">
        <v>0</v>
      </c>
      <c r="DM489" s="399">
        <v>0</v>
      </c>
      <c r="DN489" s="399">
        <v>0</v>
      </c>
      <c r="DO489" s="399">
        <v>-9.9338759212731986</v>
      </c>
      <c r="DP489" s="399">
        <v>-0.571628806187364</v>
      </c>
      <c r="DQ489" s="399">
        <v>0</v>
      </c>
      <c r="DR489" s="399">
        <v>0</v>
      </c>
      <c r="DS489" s="399"/>
      <c r="DT489" s="399"/>
      <c r="DU489" s="399"/>
      <c r="DV489" s="399">
        <v>817.116390732014</v>
      </c>
      <c r="DW489" s="399">
        <v>0</v>
      </c>
      <c r="DX489" s="399">
        <v>0</v>
      </c>
      <c r="DY489" s="399">
        <v>-221.48842000000013</v>
      </c>
      <c r="DZ489" s="399">
        <v>207.56470999999988</v>
      </c>
      <c r="EA489" s="399">
        <v>0</v>
      </c>
      <c r="EB489" s="399">
        <v>0</v>
      </c>
      <c r="EC489" s="399">
        <v>-176.65615485806939</v>
      </c>
      <c r="ED489" s="399">
        <v>0</v>
      </c>
      <c r="EE489" s="399">
        <v>0</v>
      </c>
      <c r="EF489" s="399">
        <v>0</v>
      </c>
      <c r="EG489" s="399">
        <v>0</v>
      </c>
      <c r="EH489" s="399">
        <v>0</v>
      </c>
      <c r="EI489" s="399">
        <v>0</v>
      </c>
      <c r="EJ489" s="399">
        <v>0</v>
      </c>
      <c r="EK489" s="399">
        <v>0</v>
      </c>
      <c r="EL489" s="399">
        <v>0</v>
      </c>
      <c r="EM489" s="399">
        <v>0</v>
      </c>
      <c r="EN489" s="399">
        <v>0</v>
      </c>
      <c r="EO489" s="399">
        <v>0</v>
      </c>
      <c r="EP489" s="399">
        <v>106.3088776156718</v>
      </c>
      <c r="EQ489" s="399">
        <v>0</v>
      </c>
      <c r="ER489" s="399">
        <v>0</v>
      </c>
      <c r="ES489" s="399">
        <v>0</v>
      </c>
      <c r="ET489" s="399">
        <v>0</v>
      </c>
      <c r="EU489" s="399">
        <v>0</v>
      </c>
      <c r="EV489" s="399">
        <v>215</v>
      </c>
      <c r="EW489" s="399">
        <v>0</v>
      </c>
      <c r="EX489" s="399">
        <v>0</v>
      </c>
      <c r="EY489" s="399">
        <v>0</v>
      </c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494</v>
      </c>
      <c r="B490" s="399" t="s">
        <v>956</v>
      </c>
      <c r="C490" s="399" t="s">
        <v>2352</v>
      </c>
      <c r="D490" s="399" t="s">
        <v>533</v>
      </c>
      <c r="E490" s="399" t="s">
        <v>918</v>
      </c>
      <c r="F490" s="399" t="s">
        <v>1239</v>
      </c>
      <c r="G490" s="399" t="s">
        <v>1239</v>
      </c>
      <c r="H490" s="399" t="s">
        <v>1239</v>
      </c>
      <c r="I490" s="399" t="s">
        <v>893</v>
      </c>
      <c r="J490" s="399" t="s">
        <v>2344</v>
      </c>
      <c r="K490" s="791">
        <v>44743</v>
      </c>
      <c r="L490" s="399">
        <v>0</v>
      </c>
      <c r="M490" s="399">
        <v>0</v>
      </c>
      <c r="N490" s="399">
        <v>9.0619999999999994</v>
      </c>
      <c r="O490" s="399">
        <v>9.0619999999999994</v>
      </c>
      <c r="P490" s="399">
        <v>9.0619999999999994</v>
      </c>
      <c r="Q490" s="399">
        <v>9.0619999999999994</v>
      </c>
      <c r="R490" s="399"/>
      <c r="S490" s="399">
        <v>984.21</v>
      </c>
      <c r="T490" s="399">
        <v>171.61</v>
      </c>
      <c r="U490" s="399"/>
      <c r="V490" s="399">
        <v>10474.04084</v>
      </c>
      <c r="W490" s="399">
        <v>10474.04084</v>
      </c>
      <c r="X490" s="399">
        <v>9767.4766999999993</v>
      </c>
      <c r="Y490" s="399">
        <v>0</v>
      </c>
      <c r="Z490" s="399">
        <v>476.64172035230041</v>
      </c>
      <c r="AA490" s="399">
        <v>0</v>
      </c>
      <c r="AB490" s="399">
        <v>0</v>
      </c>
      <c r="AC490" s="399">
        <v>0</v>
      </c>
      <c r="AD490" s="399">
        <v>3567.7879258534135</v>
      </c>
      <c r="AE490" s="399">
        <v>4640.4881787627837</v>
      </c>
      <c r="AF490" s="399">
        <v>1498.6212514330773</v>
      </c>
      <c r="AG490" s="399">
        <v>56.504804650413256</v>
      </c>
      <c r="AH490" s="399">
        <v>0</v>
      </c>
      <c r="AI490" s="399">
        <v>0</v>
      </c>
      <c r="AJ490" s="399">
        <v>0</v>
      </c>
      <c r="AK490" s="399">
        <v>0</v>
      </c>
      <c r="AL490" s="399">
        <v>84.712579864894224</v>
      </c>
      <c r="AM490" s="399"/>
      <c r="AN490" s="399">
        <v>2.3929160232505988</v>
      </c>
      <c r="AO490" s="399">
        <v>0</v>
      </c>
      <c r="AP490" s="399">
        <v>0</v>
      </c>
      <c r="AQ490" s="399">
        <v>0</v>
      </c>
      <c r="AR490" s="399">
        <v>0</v>
      </c>
      <c r="AS490" s="399">
        <v>0</v>
      </c>
      <c r="AT490" s="399">
        <v>0</v>
      </c>
      <c r="AU490" s="399">
        <v>0</v>
      </c>
      <c r="AV490" s="399">
        <v>0</v>
      </c>
      <c r="AW490" s="399">
        <v>0</v>
      </c>
      <c r="AX490" s="399">
        <v>0</v>
      </c>
      <c r="AY490" s="399">
        <v>0</v>
      </c>
      <c r="AZ490" s="399">
        <v>0</v>
      </c>
      <c r="BA490" s="399"/>
      <c r="BB490" s="399">
        <v>0</v>
      </c>
      <c r="BC490" s="399">
        <v>0</v>
      </c>
      <c r="BD490" s="399">
        <v>0</v>
      </c>
      <c r="BE490" s="399">
        <v>0</v>
      </c>
      <c r="BF490" s="399">
        <v>0</v>
      </c>
      <c r="BG490" s="399">
        <v>56.014838789484273</v>
      </c>
      <c r="BH490" s="399">
        <v>0</v>
      </c>
      <c r="BI490" s="399">
        <v>0</v>
      </c>
      <c r="BJ490" s="399">
        <v>0</v>
      </c>
      <c r="BK490" s="399">
        <v>0</v>
      </c>
      <c r="BL490" s="399">
        <v>0</v>
      </c>
      <c r="BM490" s="399"/>
      <c r="BN490" s="399"/>
      <c r="BO490" s="399"/>
      <c r="BP490" s="399"/>
      <c r="BQ490" s="399"/>
      <c r="BR490" s="399"/>
      <c r="BS490" s="399"/>
      <c r="BT490" s="399"/>
      <c r="BU490" s="399"/>
      <c r="BV490" s="399">
        <v>1554.6360902225615</v>
      </c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>
        <v>9765.3209999999999</v>
      </c>
      <c r="CJ490" s="399">
        <v>-708.7498400000004</v>
      </c>
      <c r="CK490" s="399"/>
      <c r="CL490" s="399"/>
      <c r="CM490" s="399"/>
      <c r="CN490" s="399"/>
      <c r="CO490" s="399">
        <v>-910.54976000000011</v>
      </c>
      <c r="CP490" s="399">
        <v>203.9856199999999</v>
      </c>
      <c r="CQ490" s="399">
        <v>31</v>
      </c>
      <c r="CR490" s="399">
        <v>296.72203963385982</v>
      </c>
      <c r="CS490" s="399">
        <v>0</v>
      </c>
      <c r="CT490" s="399">
        <v>0</v>
      </c>
      <c r="CU490" s="399">
        <v>0</v>
      </c>
      <c r="CV490" s="399">
        <v>0</v>
      </c>
      <c r="CW490" s="399">
        <v>0</v>
      </c>
      <c r="CX490" s="399">
        <v>0</v>
      </c>
      <c r="CY490" s="399">
        <v>0</v>
      </c>
      <c r="CZ490" s="399">
        <v>160.66685605695329</v>
      </c>
      <c r="DA490" s="399">
        <v>0</v>
      </c>
      <c r="DB490" s="399">
        <v>0</v>
      </c>
      <c r="DC490" s="399">
        <v>204.03407134634153</v>
      </c>
      <c r="DD490" s="399">
        <v>0</v>
      </c>
      <c r="DE490" s="399">
        <v>0</v>
      </c>
      <c r="DF490" s="399">
        <v>0</v>
      </c>
      <c r="DG490" s="399">
        <v>7.6263002430387843</v>
      </c>
      <c r="DH490" s="399">
        <v>0</v>
      </c>
      <c r="DI490" s="399">
        <v>-65.468052734585115</v>
      </c>
      <c r="DJ490" s="399"/>
      <c r="DK490" s="399">
        <v>0</v>
      </c>
      <c r="DL490" s="399">
        <v>0</v>
      </c>
      <c r="DM490" s="399">
        <v>0</v>
      </c>
      <c r="DN490" s="399">
        <v>0</v>
      </c>
      <c r="DO490" s="399">
        <v>-9.7625836241815165</v>
      </c>
      <c r="DP490" s="399">
        <v>-0.37455165370682586</v>
      </c>
      <c r="DQ490" s="399">
        <v>0</v>
      </c>
      <c r="DR490" s="399">
        <v>0</v>
      </c>
      <c r="DS490" s="399"/>
      <c r="DT490" s="399"/>
      <c r="DU490" s="399"/>
      <c r="DV490" s="399">
        <v>4640.4881787627837</v>
      </c>
      <c r="DW490" s="399">
        <v>0</v>
      </c>
      <c r="DX490" s="399">
        <v>0</v>
      </c>
      <c r="DY490" s="399">
        <v>-910.54975999999988</v>
      </c>
      <c r="DZ490" s="399">
        <v>203.98561999999993</v>
      </c>
      <c r="EA490" s="399">
        <v>0</v>
      </c>
      <c r="EB490" s="399">
        <v>0</v>
      </c>
      <c r="EC490" s="399">
        <v>-1003.2485061157149</v>
      </c>
      <c r="ED490" s="399">
        <v>0</v>
      </c>
      <c r="EE490" s="399">
        <v>0</v>
      </c>
      <c r="EF490" s="399">
        <v>0</v>
      </c>
      <c r="EG490" s="399">
        <v>0</v>
      </c>
      <c r="EH490" s="399">
        <v>0</v>
      </c>
      <c r="EI490" s="399">
        <v>0</v>
      </c>
      <c r="EJ490" s="399">
        <v>0</v>
      </c>
      <c r="EK490" s="399">
        <v>0</v>
      </c>
      <c r="EL490" s="399">
        <v>0</v>
      </c>
      <c r="EM490" s="399">
        <v>0</v>
      </c>
      <c r="EN490" s="399">
        <v>0</v>
      </c>
      <c r="EO490" s="399">
        <v>0</v>
      </c>
      <c r="EP490" s="399">
        <v>90.893917426450173</v>
      </c>
      <c r="EQ490" s="399">
        <v>0</v>
      </c>
      <c r="ER490" s="399">
        <v>0</v>
      </c>
      <c r="ES490" s="399">
        <v>0</v>
      </c>
      <c r="ET490" s="399">
        <v>0</v>
      </c>
      <c r="EU490" s="399">
        <v>0</v>
      </c>
      <c r="EV490" s="399">
        <v>215</v>
      </c>
      <c r="EW490" s="399">
        <v>0</v>
      </c>
      <c r="EX490" s="399">
        <v>0</v>
      </c>
      <c r="EY490" s="399">
        <v>0</v>
      </c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495</v>
      </c>
      <c r="B491" s="399" t="s">
        <v>956</v>
      </c>
      <c r="C491" s="399" t="s">
        <v>2352</v>
      </c>
      <c r="D491" s="399" t="s">
        <v>533</v>
      </c>
      <c r="E491" s="399" t="s">
        <v>918</v>
      </c>
      <c r="F491" s="399" t="s">
        <v>1239</v>
      </c>
      <c r="G491" s="399" t="s">
        <v>1239</v>
      </c>
      <c r="H491" s="399" t="s">
        <v>1239</v>
      </c>
      <c r="I491" s="399" t="s">
        <v>2326</v>
      </c>
      <c r="J491" s="399" t="s">
        <v>2344</v>
      </c>
      <c r="K491" s="791">
        <v>44743</v>
      </c>
      <c r="L491" s="399">
        <v>0</v>
      </c>
      <c r="M491" s="399">
        <v>0</v>
      </c>
      <c r="N491" s="399">
        <v>102.93600000000001</v>
      </c>
      <c r="O491" s="399">
        <v>102.93600000000001</v>
      </c>
      <c r="P491" s="399">
        <v>102.93600000000001</v>
      </c>
      <c r="Q491" s="399">
        <v>102.93600000000001</v>
      </c>
      <c r="R491" s="399"/>
      <c r="S491" s="399">
        <v>78.42</v>
      </c>
      <c r="T491" s="399">
        <v>171.61</v>
      </c>
      <c r="U491" s="399"/>
      <c r="V491" s="399">
        <v>25737.088080000001</v>
      </c>
      <c r="W491" s="399">
        <v>25737.088080000001</v>
      </c>
      <c r="X491" s="399">
        <v>27282.157440000003</v>
      </c>
      <c r="Y491" s="399">
        <v>0</v>
      </c>
      <c r="Z491" s="399">
        <v>5414.2123290867803</v>
      </c>
      <c r="AA491" s="399">
        <v>0</v>
      </c>
      <c r="AB491" s="399">
        <v>0</v>
      </c>
      <c r="AC491" s="399">
        <v>0</v>
      </c>
      <c r="AD491" s="399">
        <v>0</v>
      </c>
      <c r="AE491" s="399">
        <v>0</v>
      </c>
      <c r="AF491" s="399">
        <v>17022.961502705282</v>
      </c>
      <c r="AG491" s="399">
        <v>641.8427026588987</v>
      </c>
      <c r="AH491" s="399">
        <v>0</v>
      </c>
      <c r="AI491" s="399">
        <v>0</v>
      </c>
      <c r="AJ491" s="399">
        <v>0</v>
      </c>
      <c r="AK491" s="399">
        <v>0</v>
      </c>
      <c r="AL491" s="399">
        <v>962.25713098353049</v>
      </c>
      <c r="AM491" s="399"/>
      <c r="AN491" s="399">
        <v>27.181329040975907</v>
      </c>
      <c r="AO491" s="399">
        <v>0</v>
      </c>
      <c r="AP491" s="399">
        <v>0</v>
      </c>
      <c r="AQ491" s="399">
        <v>0</v>
      </c>
      <c r="AR491" s="399">
        <v>0</v>
      </c>
      <c r="AS491" s="399">
        <v>0</v>
      </c>
      <c r="AT491" s="399">
        <v>0</v>
      </c>
      <c r="AU491" s="399">
        <v>0</v>
      </c>
      <c r="AV491" s="399">
        <v>0</v>
      </c>
      <c r="AW491" s="399">
        <v>0</v>
      </c>
      <c r="AX491" s="399">
        <v>0</v>
      </c>
      <c r="AY491" s="399">
        <v>0</v>
      </c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>
        <v>0</v>
      </c>
      <c r="BG491" s="399">
        <v>636.27714032601568</v>
      </c>
      <c r="BH491" s="399">
        <v>0</v>
      </c>
      <c r="BI491" s="399">
        <v>0</v>
      </c>
      <c r="BJ491" s="399">
        <v>0</v>
      </c>
      <c r="BK491" s="399">
        <v>0</v>
      </c>
      <c r="BL491" s="399">
        <v>0</v>
      </c>
      <c r="BM491" s="399"/>
      <c r="BN491" s="399"/>
      <c r="BO491" s="399"/>
      <c r="BP491" s="399"/>
      <c r="BQ491" s="399"/>
      <c r="BR491" s="399"/>
      <c r="BS491" s="399"/>
      <c r="BT491" s="399"/>
      <c r="BU491" s="399"/>
      <c r="BV491" s="399">
        <v>17659.238643031298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27283.2176</v>
      </c>
      <c r="CJ491" s="399">
        <v>1546.0995199999961</v>
      </c>
      <c r="CK491" s="399"/>
      <c r="CL491" s="399"/>
      <c r="CM491" s="399"/>
      <c r="CN491" s="399"/>
      <c r="CO491" s="399">
        <v>-772.0200000000001</v>
      </c>
      <c r="CP491" s="399">
        <v>2317.089359999999</v>
      </c>
      <c r="CQ491" s="399">
        <v>31</v>
      </c>
      <c r="CR491" s="399">
        <v>1545.4619705001642</v>
      </c>
      <c r="CS491" s="399">
        <v>0</v>
      </c>
      <c r="CT491" s="399">
        <v>0</v>
      </c>
      <c r="CU491" s="399">
        <v>0</v>
      </c>
      <c r="CV491" s="399">
        <v>0</v>
      </c>
      <c r="CW491" s="399">
        <v>0</v>
      </c>
      <c r="CX491" s="399">
        <v>0</v>
      </c>
      <c r="CY491" s="399">
        <v>0</v>
      </c>
      <c r="CZ491" s="399">
        <v>0</v>
      </c>
      <c r="DA491" s="399">
        <v>0</v>
      </c>
      <c r="DB491" s="399">
        <v>0</v>
      </c>
      <c r="DC491" s="399">
        <v>2317.6397228103087</v>
      </c>
      <c r="DD491" s="399">
        <v>0</v>
      </c>
      <c r="DE491" s="399">
        <v>0</v>
      </c>
      <c r="DF491" s="399">
        <v>0</v>
      </c>
      <c r="DG491" s="399">
        <v>86.627768905036419</v>
      </c>
      <c r="DH491" s="399">
        <v>0</v>
      </c>
      <c r="DI491" s="399">
        <v>-743.65697156116221</v>
      </c>
      <c r="DJ491" s="399"/>
      <c r="DK491" s="399">
        <v>0</v>
      </c>
      <c r="DL491" s="399">
        <v>0</v>
      </c>
      <c r="DM491" s="399">
        <v>0</v>
      </c>
      <c r="DN491" s="399">
        <v>0</v>
      </c>
      <c r="DO491" s="399">
        <v>-110.89398675113091</v>
      </c>
      <c r="DP491" s="399">
        <v>-4.2545629028874252</v>
      </c>
      <c r="DQ491" s="399">
        <v>0</v>
      </c>
      <c r="DR491" s="399">
        <v>0</v>
      </c>
      <c r="DS491" s="399"/>
      <c r="DT491" s="399"/>
      <c r="DU491" s="399"/>
      <c r="DV491" s="399">
        <v>0</v>
      </c>
      <c r="DW491" s="399">
        <v>0</v>
      </c>
      <c r="DX491" s="399">
        <v>0</v>
      </c>
      <c r="DY491" s="399">
        <v>-772.01999999999953</v>
      </c>
      <c r="DZ491" s="399">
        <v>2317.0893599999981</v>
      </c>
      <c r="EA491" s="399">
        <v>0</v>
      </c>
      <c r="EB491" s="399">
        <v>0</v>
      </c>
      <c r="EC491" s="399">
        <v>0</v>
      </c>
      <c r="ED491" s="399">
        <v>0</v>
      </c>
      <c r="EE491" s="399">
        <v>0</v>
      </c>
      <c r="EF491" s="399">
        <v>0</v>
      </c>
      <c r="EG491" s="399">
        <v>0</v>
      </c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>
        <v>0</v>
      </c>
      <c r="EN491" s="399">
        <v>0</v>
      </c>
      <c r="EO491" s="399">
        <v>0</v>
      </c>
      <c r="EP491" s="399">
        <v>1032.4714504755104</v>
      </c>
      <c r="EQ491" s="399">
        <v>0</v>
      </c>
      <c r="ER491" s="399">
        <v>0</v>
      </c>
      <c r="ES491" s="399">
        <v>0</v>
      </c>
      <c r="ET491" s="399">
        <v>0</v>
      </c>
      <c r="EU491" s="399">
        <v>0</v>
      </c>
      <c r="EV491" s="399">
        <v>215</v>
      </c>
      <c r="EW491" s="399">
        <v>0</v>
      </c>
      <c r="EX491" s="399">
        <v>0</v>
      </c>
      <c r="EY491" s="399">
        <v>0</v>
      </c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496</v>
      </c>
      <c r="B492" s="399" t="s">
        <v>956</v>
      </c>
      <c r="C492" s="399" t="s">
        <v>2352</v>
      </c>
      <c r="D492" s="399" t="s">
        <v>533</v>
      </c>
      <c r="E492" s="399" t="s">
        <v>918</v>
      </c>
      <c r="F492" s="399" t="s">
        <v>1239</v>
      </c>
      <c r="G492" s="399" t="s">
        <v>1239</v>
      </c>
      <c r="H492" s="399" t="s">
        <v>1239</v>
      </c>
      <c r="I492" s="399" t="s">
        <v>1239</v>
      </c>
      <c r="J492" s="399" t="s">
        <v>2344</v>
      </c>
      <c r="K492" s="791">
        <v>44743</v>
      </c>
      <c r="L492" s="399">
        <v>631</v>
      </c>
      <c r="M492" s="399">
        <v>631</v>
      </c>
      <c r="N492" s="399">
        <v>0</v>
      </c>
      <c r="O492" s="399">
        <v>0</v>
      </c>
      <c r="P492" s="399">
        <v>0</v>
      </c>
      <c r="Q492" s="399">
        <v>0</v>
      </c>
      <c r="R492" s="399">
        <v>12.58</v>
      </c>
      <c r="S492" s="399"/>
      <c r="T492" s="399"/>
      <c r="U492" s="399">
        <v>7937.9800000000005</v>
      </c>
      <c r="V492" s="399"/>
      <c r="W492" s="399">
        <v>7937.9800000000005</v>
      </c>
      <c r="X492" s="399">
        <v>7313.29</v>
      </c>
      <c r="Y492" s="399">
        <v>0</v>
      </c>
      <c r="Z492" s="399">
        <v>0</v>
      </c>
      <c r="AA492" s="399">
        <v>0</v>
      </c>
      <c r="AB492" s="399">
        <v>0</v>
      </c>
      <c r="AC492" s="399">
        <v>0</v>
      </c>
      <c r="AD492" s="399">
        <v>4181.9142755921494</v>
      </c>
      <c r="AE492" s="399">
        <v>3754.2663950325805</v>
      </c>
      <c r="AF492" s="399"/>
      <c r="AG492" s="399"/>
      <c r="AH492" s="399"/>
      <c r="AI492" s="399">
        <v>0</v>
      </c>
      <c r="AJ492" s="399">
        <v>0</v>
      </c>
      <c r="AK492" s="399">
        <v>0</v>
      </c>
      <c r="AL492" s="399">
        <v>0</v>
      </c>
      <c r="AM492" s="399"/>
      <c r="AN492" s="399">
        <v>0</v>
      </c>
      <c r="AO492" s="399">
        <v>0</v>
      </c>
      <c r="AP492" s="399">
        <v>0</v>
      </c>
      <c r="AQ492" s="399">
        <v>0</v>
      </c>
      <c r="AR492" s="399">
        <v>0</v>
      </c>
      <c r="AS492" s="399"/>
      <c r="AT492" s="399"/>
      <c r="AU492" s="399">
        <v>0</v>
      </c>
      <c r="AV492" s="399">
        <v>0</v>
      </c>
      <c r="AW492" s="399">
        <v>0</v>
      </c>
      <c r="AX492" s="399"/>
      <c r="AY492" s="399"/>
      <c r="AZ492" s="399">
        <v>0</v>
      </c>
      <c r="BA492" s="399"/>
      <c r="BB492" s="399">
        <v>0</v>
      </c>
      <c r="BC492" s="399">
        <v>0</v>
      </c>
      <c r="BD492" s="399">
        <v>0</v>
      </c>
      <c r="BE492" s="399">
        <v>0</v>
      </c>
      <c r="BF492" s="399"/>
      <c r="BG492" s="399">
        <v>0</v>
      </c>
      <c r="BH492" s="399">
        <v>0</v>
      </c>
      <c r="BI492" s="399">
        <v>0</v>
      </c>
      <c r="BJ492" s="399">
        <v>0</v>
      </c>
      <c r="BK492" s="399">
        <v>10002.91</v>
      </c>
      <c r="BL492" s="399">
        <v>6</v>
      </c>
      <c r="BM492" s="399"/>
      <c r="BN492" s="399"/>
      <c r="BO492" s="399"/>
      <c r="BP492" s="399"/>
      <c r="BQ492" s="399"/>
      <c r="BR492" s="399"/>
      <c r="BS492" s="399"/>
      <c r="BT492" s="399"/>
      <c r="BU492" s="399"/>
      <c r="BV492" s="399">
        <v>0</v>
      </c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>
        <v>7313.29</v>
      </c>
      <c r="CJ492" s="399">
        <v>-624.72000000000116</v>
      </c>
      <c r="CK492" s="399"/>
      <c r="CL492" s="399"/>
      <c r="CM492" s="399"/>
      <c r="CN492" s="399"/>
      <c r="CO492" s="399">
        <v>-624.69000000000017</v>
      </c>
      <c r="CP492" s="399">
        <v>0</v>
      </c>
      <c r="CQ492" s="399">
        <v>31</v>
      </c>
      <c r="CR492" s="399">
        <v>188.32257772113462</v>
      </c>
      <c r="CS492" s="399">
        <v>0</v>
      </c>
      <c r="CT492" s="399">
        <v>0</v>
      </c>
      <c r="CU492" s="399">
        <v>0</v>
      </c>
      <c r="CV492" s="399">
        <v>0</v>
      </c>
      <c r="CW492" s="399"/>
      <c r="CX492" s="399"/>
      <c r="CY492" s="399"/>
      <c r="CZ492" s="399">
        <v>188.32257772113462</v>
      </c>
      <c r="DA492" s="399">
        <v>0</v>
      </c>
      <c r="DB492" s="399">
        <v>0</v>
      </c>
      <c r="DC492" s="399"/>
      <c r="DD492" s="399"/>
      <c r="DE492" s="399">
        <v>0</v>
      </c>
      <c r="DF492" s="399">
        <v>0</v>
      </c>
      <c r="DG492" s="399">
        <v>0</v>
      </c>
      <c r="DH492" s="399">
        <v>0</v>
      </c>
      <c r="DI492" s="399">
        <v>0</v>
      </c>
      <c r="DJ492" s="399"/>
      <c r="DK492" s="399">
        <v>0</v>
      </c>
      <c r="DL492" s="399">
        <v>0</v>
      </c>
      <c r="DM492" s="399"/>
      <c r="DN492" s="399">
        <v>0</v>
      </c>
      <c r="DO492" s="399">
        <v>0</v>
      </c>
      <c r="DP492" s="399">
        <v>0</v>
      </c>
      <c r="DQ492" s="399">
        <v>0</v>
      </c>
      <c r="DR492" s="399">
        <v>0</v>
      </c>
      <c r="DS492" s="399"/>
      <c r="DT492" s="399"/>
      <c r="DU492" s="399">
        <v>3754.2663950325805</v>
      </c>
      <c r="DV492" s="399"/>
      <c r="DW492" s="399">
        <v>0</v>
      </c>
      <c r="DX492" s="399">
        <v>0</v>
      </c>
      <c r="DY492" s="399">
        <v>-624.69000000000051</v>
      </c>
      <c r="DZ492" s="399"/>
      <c r="EA492" s="399">
        <v>0</v>
      </c>
      <c r="EB492" s="399"/>
      <c r="EC492" s="399">
        <v>-811.65213815522748</v>
      </c>
      <c r="ED492" s="399"/>
      <c r="EE492" s="399">
        <v>0</v>
      </c>
      <c r="EF492" s="399">
        <v>0</v>
      </c>
      <c r="EG492" s="399"/>
      <c r="EH492" s="399">
        <v>0</v>
      </c>
      <c r="EI492" s="399">
        <v>0</v>
      </c>
      <c r="EJ492" s="399">
        <v>0</v>
      </c>
      <c r="EK492" s="399">
        <v>0</v>
      </c>
      <c r="EL492" s="399">
        <v>0</v>
      </c>
      <c r="EM492" s="399"/>
      <c r="EN492" s="399"/>
      <c r="EO492" s="399">
        <v>0</v>
      </c>
      <c r="EP492" s="399">
        <v>0</v>
      </c>
      <c r="EQ492" s="399"/>
      <c r="ER492" s="399">
        <v>0</v>
      </c>
      <c r="ES492" s="399"/>
      <c r="ET492" s="399">
        <v>0</v>
      </c>
      <c r="EU492" s="399"/>
      <c r="EV492" s="399">
        <v>215</v>
      </c>
      <c r="EW492" s="399"/>
      <c r="EX492" s="399"/>
      <c r="EY492" s="399"/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497</v>
      </c>
      <c r="B493" s="399" t="s">
        <v>956</v>
      </c>
      <c r="C493" s="399" t="s">
        <v>2343</v>
      </c>
      <c r="D493" s="399" t="s">
        <v>2353</v>
      </c>
      <c r="E493" s="399" t="s">
        <v>894</v>
      </c>
      <c r="F493" s="399" t="s">
        <v>1239</v>
      </c>
      <c r="G493" s="399" t="s">
        <v>1239</v>
      </c>
      <c r="H493" s="399" t="s">
        <v>1239</v>
      </c>
      <c r="I493" s="399" t="s">
        <v>1239</v>
      </c>
      <c r="J493" s="399" t="s">
        <v>2344</v>
      </c>
      <c r="K493" s="791">
        <v>44743</v>
      </c>
      <c r="L493" s="399">
        <v>0</v>
      </c>
      <c r="M493" s="399">
        <v>0</v>
      </c>
      <c r="N493" s="399">
        <v>505.26299999999998</v>
      </c>
      <c r="O493" s="399">
        <v>505.26299999999998</v>
      </c>
      <c r="P493" s="399">
        <v>505.26299999999998</v>
      </c>
      <c r="Q493" s="399">
        <v>505.26299999999998</v>
      </c>
      <c r="R493" s="399"/>
      <c r="S493" s="399">
        <v>239.69</v>
      </c>
      <c r="T493" s="399">
        <v>171.61</v>
      </c>
      <c r="U493" s="399"/>
      <c r="V493" s="399">
        <v>207814.67190000002</v>
      </c>
      <c r="W493" s="399">
        <v>207814.67190000002</v>
      </c>
      <c r="X493" s="399">
        <v>207051.72476999997</v>
      </c>
      <c r="Y493" s="399">
        <v>0</v>
      </c>
      <c r="Z493" s="399">
        <v>30546.836423205201</v>
      </c>
      <c r="AA493" s="399">
        <v>0</v>
      </c>
      <c r="AB493" s="399">
        <v>0</v>
      </c>
      <c r="AC493" s="399">
        <v>0</v>
      </c>
      <c r="AD493" s="399">
        <v>26948.703845429092</v>
      </c>
      <c r="AE493" s="399">
        <v>44773.742428199716</v>
      </c>
      <c r="AF493" s="399">
        <v>83557.478411259202</v>
      </c>
      <c r="AG493" s="399">
        <v>3150.4951569280242</v>
      </c>
      <c r="AH493" s="399">
        <v>0</v>
      </c>
      <c r="AI493" s="399">
        <v>0</v>
      </c>
      <c r="AJ493" s="399">
        <v>0</v>
      </c>
      <c r="AK493" s="399">
        <v>0</v>
      </c>
      <c r="AL493" s="399">
        <v>4723.2544957267764</v>
      </c>
      <c r="AM493" s="399"/>
      <c r="AN493" s="399">
        <v>200.11024302402063</v>
      </c>
      <c r="AO493" s="399">
        <v>0</v>
      </c>
      <c r="AP493" s="399">
        <v>0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8089.2166330378668</v>
      </c>
      <c r="BH493" s="399">
        <v>0</v>
      </c>
      <c r="BI493" s="399">
        <v>0</v>
      </c>
      <c r="BJ493" s="399">
        <v>0</v>
      </c>
      <c r="BK493" s="399">
        <v>35477.25</v>
      </c>
      <c r="BL493" s="399">
        <v>702</v>
      </c>
      <c r="BM493" s="399"/>
      <c r="BN493" s="399"/>
      <c r="BO493" s="399"/>
      <c r="BP493" s="399"/>
      <c r="BQ493" s="399"/>
      <c r="BR493" s="399">
        <v>24843.781709999992</v>
      </c>
      <c r="BS493" s="399"/>
      <c r="BT493" s="399"/>
      <c r="BU493" s="399"/>
      <c r="BV493" s="399">
        <v>91646.69504429707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182206.86119999998</v>
      </c>
      <c r="CJ493" s="399">
        <v>-673.11165000000619</v>
      </c>
      <c r="CK493" s="399"/>
      <c r="CL493" s="399"/>
      <c r="CM493" s="399"/>
      <c r="CN493" s="399"/>
      <c r="CO493" s="399">
        <v>-12136.417260000004</v>
      </c>
      <c r="CP493" s="399">
        <v>11373.470129999994</v>
      </c>
      <c r="CQ493" s="399">
        <v>31</v>
      </c>
      <c r="CR493" s="399">
        <v>8919.7326836741122</v>
      </c>
      <c r="CS493" s="399">
        <v>0</v>
      </c>
      <c r="CT493" s="399">
        <v>0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1213.5708768674122</v>
      </c>
      <c r="DA493" s="399">
        <v>0</v>
      </c>
      <c r="DB493" s="399">
        <v>0</v>
      </c>
      <c r="DC493" s="399">
        <v>11376.1715946443</v>
      </c>
      <c r="DD493" s="399">
        <v>0</v>
      </c>
      <c r="DE493" s="399">
        <v>0</v>
      </c>
      <c r="DF493" s="399">
        <v>0</v>
      </c>
      <c r="DG493" s="399">
        <v>1101.3295067469271</v>
      </c>
      <c r="DH493" s="399">
        <v>0</v>
      </c>
      <c r="DI493" s="399">
        <v>-4195.6920941604039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-544.32490506563863</v>
      </c>
      <c r="DP493" s="399">
        <v>-31.322295358491061</v>
      </c>
      <c r="DQ493" s="399">
        <v>0</v>
      </c>
      <c r="DR493" s="399">
        <v>0</v>
      </c>
      <c r="DS493" s="399"/>
      <c r="DT493" s="399"/>
      <c r="DU493" s="399"/>
      <c r="DV493" s="399">
        <v>44773.742428199716</v>
      </c>
      <c r="DW493" s="399">
        <v>0</v>
      </c>
      <c r="DX493" s="399">
        <v>0</v>
      </c>
      <c r="DY493" s="399">
        <v>-12136.417260000002</v>
      </c>
      <c r="DZ493" s="399">
        <v>11373.470129999987</v>
      </c>
      <c r="EA493" s="399">
        <v>0</v>
      </c>
      <c r="EB493" s="399">
        <v>0</v>
      </c>
      <c r="EC493" s="399">
        <v>-9679.8415325943788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5825.1754073015054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215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498</v>
      </c>
      <c r="B494" s="399" t="s">
        <v>2346</v>
      </c>
      <c r="C494" s="399" t="s">
        <v>2343</v>
      </c>
      <c r="D494" s="399" t="s">
        <v>2353</v>
      </c>
      <c r="E494" s="399" t="s">
        <v>894</v>
      </c>
      <c r="F494" s="399" t="s">
        <v>1239</v>
      </c>
      <c r="G494" s="399" t="s">
        <v>1239</v>
      </c>
      <c r="H494" s="399" t="s">
        <v>1239</v>
      </c>
      <c r="I494" s="399" t="s">
        <v>1239</v>
      </c>
      <c r="J494" s="399" t="s">
        <v>2344</v>
      </c>
      <c r="K494" s="791">
        <v>44743</v>
      </c>
      <c r="L494" s="399">
        <v>0</v>
      </c>
      <c r="M494" s="399">
        <v>0</v>
      </c>
      <c r="N494" s="399">
        <v>7.8949999999999996</v>
      </c>
      <c r="O494" s="399">
        <v>7.8949999999999996</v>
      </c>
      <c r="P494" s="399">
        <v>7.8949999999999996</v>
      </c>
      <c r="Q494" s="399">
        <v>7.8949999999999996</v>
      </c>
      <c r="R494" s="399"/>
      <c r="S494" s="399">
        <v>239.69</v>
      </c>
      <c r="T494" s="399">
        <v>171.61</v>
      </c>
      <c r="U494" s="399"/>
      <c r="V494" s="399">
        <v>3247.2134999999998</v>
      </c>
      <c r="W494" s="399">
        <v>3247.2134999999998</v>
      </c>
      <c r="X494" s="399">
        <v>3235.29205</v>
      </c>
      <c r="Y494" s="399">
        <v>0</v>
      </c>
      <c r="Z494" s="399">
        <v>477.31037808271151</v>
      </c>
      <c r="AA494" s="399">
        <v>0</v>
      </c>
      <c r="AB494" s="399">
        <v>0</v>
      </c>
      <c r="AC494" s="399">
        <v>0</v>
      </c>
      <c r="AD494" s="399">
        <v>421.08766495797772</v>
      </c>
      <c r="AE494" s="399">
        <v>699.61326372728013</v>
      </c>
      <c r="AF494" s="399">
        <v>1305.6295277051584</v>
      </c>
      <c r="AG494" s="399">
        <v>49.228143093689326</v>
      </c>
      <c r="AH494" s="399">
        <v>0</v>
      </c>
      <c r="AI494" s="399">
        <v>0</v>
      </c>
      <c r="AJ494" s="399">
        <v>0</v>
      </c>
      <c r="AK494" s="399">
        <v>0</v>
      </c>
      <c r="AL494" s="399">
        <v>73.803334587656138</v>
      </c>
      <c r="AM494" s="399"/>
      <c r="AN494" s="399">
        <v>3.126827748468902</v>
      </c>
      <c r="AO494" s="399">
        <v>0</v>
      </c>
      <c r="AP494" s="399">
        <v>0</v>
      </c>
      <c r="AQ494" s="399">
        <v>0</v>
      </c>
      <c r="AR494" s="399">
        <v>0</v>
      </c>
      <c r="AS494" s="399">
        <v>0</v>
      </c>
      <c r="AT494" s="399">
        <v>0</v>
      </c>
      <c r="AU494" s="399">
        <v>0</v>
      </c>
      <c r="AV494" s="399">
        <v>0</v>
      </c>
      <c r="AW494" s="399">
        <v>0</v>
      </c>
      <c r="AX494" s="399">
        <v>0</v>
      </c>
      <c r="AY494" s="399">
        <v>0</v>
      </c>
      <c r="AZ494" s="399">
        <v>0</v>
      </c>
      <c r="BA494" s="399"/>
      <c r="BB494" s="399">
        <v>0</v>
      </c>
      <c r="BC494" s="399">
        <v>0</v>
      </c>
      <c r="BD494" s="399">
        <v>0</v>
      </c>
      <c r="BE494" s="399">
        <v>0</v>
      </c>
      <c r="BF494" s="399">
        <v>0</v>
      </c>
      <c r="BG494" s="399">
        <v>126.39826252433674</v>
      </c>
      <c r="BH494" s="399">
        <v>0</v>
      </c>
      <c r="BI494" s="399">
        <v>0</v>
      </c>
      <c r="BJ494" s="399">
        <v>0</v>
      </c>
      <c r="BK494" s="399">
        <v>2415.9899999999998</v>
      </c>
      <c r="BL494" s="399">
        <v>18</v>
      </c>
      <c r="BM494" s="399"/>
      <c r="BN494" s="399"/>
      <c r="BO494" s="399"/>
      <c r="BP494" s="399"/>
      <c r="BQ494" s="399"/>
      <c r="BR494" s="399">
        <v>388.19714999999985</v>
      </c>
      <c r="BS494" s="399"/>
      <c r="BT494" s="399"/>
      <c r="BU494" s="399"/>
      <c r="BV494" s="399">
        <v>1432.0277902294952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2848.8980000000001</v>
      </c>
      <c r="CJ494" s="399">
        <v>-8.7272499999999127</v>
      </c>
      <c r="CK494" s="399"/>
      <c r="CL494" s="399"/>
      <c r="CM494" s="399"/>
      <c r="CN494" s="399"/>
      <c r="CO494" s="399">
        <v>-189.63790000000006</v>
      </c>
      <c r="CP494" s="399">
        <v>177.71644999999992</v>
      </c>
      <c r="CQ494" s="399">
        <v>31</v>
      </c>
      <c r="CR494" s="399">
        <v>139.37551243136159</v>
      </c>
      <c r="CS494" s="399">
        <v>0</v>
      </c>
      <c r="CT494" s="399">
        <v>0</v>
      </c>
      <c r="CU494" s="399">
        <v>0</v>
      </c>
      <c r="CV494" s="399">
        <v>0</v>
      </c>
      <c r="CW494" s="399">
        <v>0</v>
      </c>
      <c r="CX494" s="399">
        <v>0</v>
      </c>
      <c r="CY494" s="399">
        <v>0</v>
      </c>
      <c r="CZ494" s="399">
        <v>18.962682945056713</v>
      </c>
      <c r="DA494" s="399">
        <v>0</v>
      </c>
      <c r="DB494" s="399">
        <v>0</v>
      </c>
      <c r="DC494" s="399">
        <v>177.758661805271</v>
      </c>
      <c r="DD494" s="399">
        <v>0</v>
      </c>
      <c r="DE494" s="399">
        <v>0</v>
      </c>
      <c r="DF494" s="399">
        <v>0</v>
      </c>
      <c r="DG494" s="399">
        <v>17.208852529805242</v>
      </c>
      <c r="DH494" s="399">
        <v>0</v>
      </c>
      <c r="DI494" s="399">
        <v>-65.559894715022494</v>
      </c>
      <c r="DJ494" s="399"/>
      <c r="DK494" s="399">
        <v>0</v>
      </c>
      <c r="DL494" s="399">
        <v>0</v>
      </c>
      <c r="DM494" s="399">
        <v>0</v>
      </c>
      <c r="DN494" s="399">
        <v>0</v>
      </c>
      <c r="DO494" s="399">
        <v>-8.5053628021312164</v>
      </c>
      <c r="DP494" s="399">
        <v>-0.48942733161796337</v>
      </c>
      <c r="DQ494" s="399">
        <v>0</v>
      </c>
      <c r="DR494" s="399">
        <v>0</v>
      </c>
      <c r="DS494" s="399"/>
      <c r="DT494" s="399"/>
      <c r="DU494" s="399"/>
      <c r="DV494" s="399">
        <v>699.61326372728013</v>
      </c>
      <c r="DW494" s="399">
        <v>0</v>
      </c>
      <c r="DX494" s="399">
        <v>0</v>
      </c>
      <c r="DY494" s="399">
        <v>-189.63789999999995</v>
      </c>
      <c r="DZ494" s="399">
        <v>177.7164499999999</v>
      </c>
      <c r="EA494" s="399">
        <v>0</v>
      </c>
      <c r="EB494" s="399">
        <v>0</v>
      </c>
      <c r="EC494" s="399">
        <v>-151.25261279736014</v>
      </c>
      <c r="ED494" s="399">
        <v>0</v>
      </c>
      <c r="EE494" s="399">
        <v>0</v>
      </c>
      <c r="EF494" s="399">
        <v>0</v>
      </c>
      <c r="EG494" s="399">
        <v>0</v>
      </c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>
        <v>0</v>
      </c>
      <c r="EN494" s="399">
        <v>0</v>
      </c>
      <c r="EO494" s="399">
        <v>0</v>
      </c>
      <c r="EP494" s="399">
        <v>91.021428128806946</v>
      </c>
      <c r="EQ494" s="399">
        <v>0</v>
      </c>
      <c r="ER494" s="399">
        <v>0</v>
      </c>
      <c r="ES494" s="399">
        <v>0</v>
      </c>
      <c r="ET494" s="399">
        <v>0</v>
      </c>
      <c r="EU494" s="399">
        <v>0</v>
      </c>
      <c r="EV494" s="399">
        <v>215</v>
      </c>
      <c r="EW494" s="399">
        <v>0</v>
      </c>
      <c r="EX494" s="399">
        <v>0</v>
      </c>
      <c r="EY494" s="399">
        <v>0</v>
      </c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499</v>
      </c>
      <c r="B495" s="399" t="s">
        <v>956</v>
      </c>
      <c r="C495" s="399" t="s">
        <v>2352</v>
      </c>
      <c r="D495" s="399" t="s">
        <v>533</v>
      </c>
      <c r="E495" s="399" t="s">
        <v>894</v>
      </c>
      <c r="F495" s="399" t="s">
        <v>1239</v>
      </c>
      <c r="G495" s="399" t="s">
        <v>1239</v>
      </c>
      <c r="H495" s="399" t="s">
        <v>1239</v>
      </c>
      <c r="I495" s="399" t="s">
        <v>893</v>
      </c>
      <c r="J495" s="399" t="s">
        <v>2344</v>
      </c>
      <c r="K495" s="791">
        <v>44743</v>
      </c>
      <c r="L495" s="399">
        <v>0</v>
      </c>
      <c r="M495" s="399">
        <v>0</v>
      </c>
      <c r="N495" s="399">
        <v>7.5860000000000003</v>
      </c>
      <c r="O495" s="399">
        <v>7.2825600000000001</v>
      </c>
      <c r="P495" s="399">
        <v>7.5860000000000003</v>
      </c>
      <c r="Q495" s="399">
        <v>7.2825600000000001</v>
      </c>
      <c r="R495" s="399"/>
      <c r="S495" s="399">
        <v>984.21</v>
      </c>
      <c r="T495" s="399">
        <v>171.61</v>
      </c>
      <c r="U495" s="399"/>
      <c r="V495" s="399">
        <v>8768.0505200000007</v>
      </c>
      <c r="W495" s="399">
        <v>8768.0505200000007</v>
      </c>
      <c r="X495" s="399">
        <v>8176.5701000000008</v>
      </c>
      <c r="Y495" s="399">
        <v>0</v>
      </c>
      <c r="Z495" s="399">
        <v>399.00729315742126</v>
      </c>
      <c r="AA495" s="399">
        <v>0</v>
      </c>
      <c r="AB495" s="399">
        <v>0</v>
      </c>
      <c r="AC495" s="399">
        <v>0</v>
      </c>
      <c r="AD495" s="399">
        <v>2986.6739357232395</v>
      </c>
      <c r="AE495" s="399">
        <v>3884.6549684500642</v>
      </c>
      <c r="AF495" s="399">
        <v>1254.5288913453239</v>
      </c>
      <c r="AG495" s="399">
        <v>47.301417797178878</v>
      </c>
      <c r="AH495" s="399">
        <v>0</v>
      </c>
      <c r="AI495" s="399">
        <v>0</v>
      </c>
      <c r="AJ495" s="399">
        <v>0</v>
      </c>
      <c r="AK495" s="399">
        <v>0</v>
      </c>
      <c r="AL495" s="399">
        <v>70.914768357436287</v>
      </c>
      <c r="AM495" s="399"/>
      <c r="AN495" s="399">
        <v>2.0031627623459549</v>
      </c>
      <c r="AO495" s="399">
        <v>0</v>
      </c>
      <c r="AP495" s="399">
        <v>0</v>
      </c>
      <c r="AQ495" s="399">
        <v>0</v>
      </c>
      <c r="AR495" s="399">
        <v>0</v>
      </c>
      <c r="AS495" s="399">
        <v>0</v>
      </c>
      <c r="AT495" s="399">
        <v>0</v>
      </c>
      <c r="AU495" s="399">
        <v>0</v>
      </c>
      <c r="AV495" s="399">
        <v>0</v>
      </c>
      <c r="AW495" s="399">
        <v>0</v>
      </c>
      <c r="AX495" s="399">
        <v>0</v>
      </c>
      <c r="AY495" s="399">
        <v>0</v>
      </c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>
        <v>0</v>
      </c>
      <c r="BG495" s="399">
        <v>46.891256572172558</v>
      </c>
      <c r="BH495" s="399">
        <v>0</v>
      </c>
      <c r="BI495" s="399">
        <v>0</v>
      </c>
      <c r="BJ495" s="399">
        <v>0</v>
      </c>
      <c r="BK495" s="399">
        <v>0</v>
      </c>
      <c r="BL495" s="399">
        <v>0</v>
      </c>
      <c r="BM495" s="399"/>
      <c r="BN495" s="399"/>
      <c r="BO495" s="399"/>
      <c r="BP495" s="399"/>
      <c r="BQ495" s="399"/>
      <c r="BR495" s="399">
        <v>327.06280400000014</v>
      </c>
      <c r="BS495" s="399"/>
      <c r="BT495" s="399"/>
      <c r="BU495" s="399"/>
      <c r="BV495" s="399">
        <v>1301.4201479174965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7846.7479999999996</v>
      </c>
      <c r="CJ495" s="399">
        <v>-570.61049920000187</v>
      </c>
      <c r="CK495" s="399"/>
      <c r="CL495" s="399"/>
      <c r="CM495" s="399"/>
      <c r="CN495" s="399"/>
      <c r="CO495" s="399">
        <v>-762.24128000000019</v>
      </c>
      <c r="CP495" s="399">
        <v>170.76085999999995</v>
      </c>
      <c r="CQ495" s="399">
        <v>31</v>
      </c>
      <c r="CR495" s="399">
        <v>248.39256153856422</v>
      </c>
      <c r="CS495" s="399">
        <v>0</v>
      </c>
      <c r="CT495" s="399">
        <v>0</v>
      </c>
      <c r="CU495" s="399">
        <v>0</v>
      </c>
      <c r="CV495" s="399">
        <v>0</v>
      </c>
      <c r="CW495" s="399">
        <v>0</v>
      </c>
      <c r="CX495" s="399">
        <v>0</v>
      </c>
      <c r="CY495" s="399">
        <v>0</v>
      </c>
      <c r="CZ495" s="399">
        <v>134.49776760627356</v>
      </c>
      <c r="DA495" s="399">
        <v>0</v>
      </c>
      <c r="DB495" s="399">
        <v>0</v>
      </c>
      <c r="DC495" s="399">
        <v>170.80141969028318</v>
      </c>
      <c r="DD495" s="399">
        <v>0</v>
      </c>
      <c r="DE495" s="399">
        <v>0</v>
      </c>
      <c r="DF495" s="399">
        <v>0</v>
      </c>
      <c r="DG495" s="399">
        <v>6.3841440789772932</v>
      </c>
      <c r="DH495" s="399">
        <v>0</v>
      </c>
      <c r="DI495" s="399">
        <v>-54.804750391145717</v>
      </c>
      <c r="DJ495" s="399"/>
      <c r="DK495" s="399">
        <v>0</v>
      </c>
      <c r="DL495" s="399">
        <v>0</v>
      </c>
      <c r="DM495" s="399">
        <v>0</v>
      </c>
      <c r="DN495" s="399">
        <v>0</v>
      </c>
      <c r="DO495" s="399">
        <v>-8.172473998349254</v>
      </c>
      <c r="DP495" s="399">
        <v>-0.31354544747516888</v>
      </c>
      <c r="DQ495" s="399">
        <v>0</v>
      </c>
      <c r="DR495" s="399">
        <v>0</v>
      </c>
      <c r="DS495" s="399"/>
      <c r="DT495" s="399"/>
      <c r="DU495" s="399"/>
      <c r="DV495" s="399">
        <v>3884.6549684500642</v>
      </c>
      <c r="DW495" s="399">
        <v>0</v>
      </c>
      <c r="DX495" s="399">
        <v>0</v>
      </c>
      <c r="DY495" s="399">
        <v>-762.24128000000019</v>
      </c>
      <c r="DZ495" s="399">
        <v>170.76086000000009</v>
      </c>
      <c r="EA495" s="399">
        <v>0</v>
      </c>
      <c r="EB495" s="399">
        <v>0</v>
      </c>
      <c r="EC495" s="399">
        <v>-839.84144420589428</v>
      </c>
      <c r="ED495" s="399">
        <v>0</v>
      </c>
      <c r="EE495" s="399">
        <v>0</v>
      </c>
      <c r="EF495" s="399">
        <v>0</v>
      </c>
      <c r="EG495" s="399">
        <v>0</v>
      </c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>
        <v>0</v>
      </c>
      <c r="EN495" s="399">
        <v>0</v>
      </c>
      <c r="EO495" s="399">
        <v>0</v>
      </c>
      <c r="EP495" s="399">
        <v>76.089302317043817</v>
      </c>
      <c r="EQ495" s="399">
        <v>0</v>
      </c>
      <c r="ER495" s="399">
        <v>0</v>
      </c>
      <c r="ES495" s="399">
        <v>0</v>
      </c>
      <c r="ET495" s="399">
        <v>0</v>
      </c>
      <c r="EU495" s="399">
        <v>0</v>
      </c>
      <c r="EV495" s="399">
        <v>215</v>
      </c>
      <c r="EW495" s="399">
        <v>0</v>
      </c>
      <c r="EX495" s="399">
        <v>0</v>
      </c>
      <c r="EY495" s="399">
        <v>0</v>
      </c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500</v>
      </c>
      <c r="B496" s="399" t="s">
        <v>2346</v>
      </c>
      <c r="C496" s="399" t="s">
        <v>2352</v>
      </c>
      <c r="D496" s="399" t="s">
        <v>533</v>
      </c>
      <c r="E496" s="399" t="s">
        <v>894</v>
      </c>
      <c r="F496" s="399" t="s">
        <v>1239</v>
      </c>
      <c r="G496" s="399" t="s">
        <v>1239</v>
      </c>
      <c r="H496" s="399" t="s">
        <v>1239</v>
      </c>
      <c r="I496" s="399" t="s">
        <v>893</v>
      </c>
      <c r="J496" s="399" t="s">
        <v>2344</v>
      </c>
      <c r="K496" s="791">
        <v>44743</v>
      </c>
      <c r="L496" s="399">
        <v>0</v>
      </c>
      <c r="M496" s="399">
        <v>0</v>
      </c>
      <c r="N496" s="399">
        <v>1.4550000000000001</v>
      </c>
      <c r="O496" s="399">
        <v>1.3968</v>
      </c>
      <c r="P496" s="399">
        <v>1.4550000000000001</v>
      </c>
      <c r="Q496" s="399">
        <v>1.3968</v>
      </c>
      <c r="R496" s="399"/>
      <c r="S496" s="399">
        <v>984.21</v>
      </c>
      <c r="T496" s="399">
        <v>171.61</v>
      </c>
      <c r="U496" s="399"/>
      <c r="V496" s="399">
        <v>1681.7181</v>
      </c>
      <c r="W496" s="399">
        <v>1681.7181</v>
      </c>
      <c r="X496" s="399">
        <v>1568.2717500000001</v>
      </c>
      <c r="Y496" s="399">
        <v>0</v>
      </c>
      <c r="Z496" s="399">
        <v>76.529872336415494</v>
      </c>
      <c r="AA496" s="399">
        <v>0</v>
      </c>
      <c r="AB496" s="399">
        <v>0</v>
      </c>
      <c r="AC496" s="399">
        <v>0</v>
      </c>
      <c r="AD496" s="399">
        <v>572.8461081567774</v>
      </c>
      <c r="AE496" s="399">
        <v>745.07948577575053</v>
      </c>
      <c r="AF496" s="399">
        <v>240.61950130601718</v>
      </c>
      <c r="AG496" s="399">
        <v>9.0724443573550317</v>
      </c>
      <c r="AH496" s="399">
        <v>0</v>
      </c>
      <c r="AI496" s="399">
        <v>0</v>
      </c>
      <c r="AJ496" s="399">
        <v>0</v>
      </c>
      <c r="AK496" s="399">
        <v>0</v>
      </c>
      <c r="AL496" s="399">
        <v>13.601501181132322</v>
      </c>
      <c r="AM496" s="399"/>
      <c r="AN496" s="399">
        <v>0.38420799093242347</v>
      </c>
      <c r="AO496" s="399">
        <v>0</v>
      </c>
      <c r="AP496" s="399">
        <v>0</v>
      </c>
      <c r="AQ496" s="399">
        <v>0</v>
      </c>
      <c r="AR496" s="399">
        <v>0</v>
      </c>
      <c r="AS496" s="399">
        <v>0</v>
      </c>
      <c r="AT496" s="399">
        <v>0</v>
      </c>
      <c r="AU496" s="399">
        <v>0</v>
      </c>
      <c r="AV496" s="399">
        <v>0</v>
      </c>
      <c r="AW496" s="399">
        <v>0</v>
      </c>
      <c r="AX496" s="399">
        <v>0</v>
      </c>
      <c r="AY496" s="399">
        <v>0</v>
      </c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>
        <v>0</v>
      </c>
      <c r="BG496" s="399">
        <v>8.9937751532442753</v>
      </c>
      <c r="BH496" s="399">
        <v>0</v>
      </c>
      <c r="BI496" s="399">
        <v>0</v>
      </c>
      <c r="BJ496" s="399">
        <v>0</v>
      </c>
      <c r="BK496" s="399">
        <v>0</v>
      </c>
      <c r="BL496" s="399">
        <v>0</v>
      </c>
      <c r="BM496" s="399"/>
      <c r="BN496" s="399"/>
      <c r="BO496" s="399"/>
      <c r="BP496" s="399"/>
      <c r="BQ496" s="399"/>
      <c r="BR496" s="399">
        <v>62.730870000000031</v>
      </c>
      <c r="BS496" s="399"/>
      <c r="BT496" s="399"/>
      <c r="BU496" s="399"/>
      <c r="BV496" s="399">
        <v>249.61327645926147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1508.99</v>
      </c>
      <c r="CJ496" s="399">
        <v>-105.48937600000022</v>
      </c>
      <c r="CK496" s="399"/>
      <c r="CL496" s="399"/>
      <c r="CM496" s="399"/>
      <c r="CN496" s="399"/>
      <c r="CO496" s="399">
        <v>-146.19840000000002</v>
      </c>
      <c r="CP496" s="399">
        <v>32.75204999999999</v>
      </c>
      <c r="CQ496" s="399">
        <v>31</v>
      </c>
      <c r="CR496" s="399">
        <v>47.641863569550651</v>
      </c>
      <c r="CS496" s="399">
        <v>0</v>
      </c>
      <c r="CT496" s="399">
        <v>0</v>
      </c>
      <c r="CU496" s="399">
        <v>0</v>
      </c>
      <c r="CV496" s="399">
        <v>0</v>
      </c>
      <c r="CW496" s="399">
        <v>0</v>
      </c>
      <c r="CX496" s="399">
        <v>0</v>
      </c>
      <c r="CY496" s="399">
        <v>0</v>
      </c>
      <c r="CZ496" s="399">
        <v>25.796764021503805</v>
      </c>
      <c r="DA496" s="399">
        <v>0</v>
      </c>
      <c r="DB496" s="399">
        <v>0</v>
      </c>
      <c r="DC496" s="399">
        <v>32.759829376398898</v>
      </c>
      <c r="DD496" s="399">
        <v>0</v>
      </c>
      <c r="DE496" s="399">
        <v>0</v>
      </c>
      <c r="DF496" s="399">
        <v>0</v>
      </c>
      <c r="DG496" s="399">
        <v>1.2244832105077723</v>
      </c>
      <c r="DH496" s="399">
        <v>0</v>
      </c>
      <c r="DI496" s="399">
        <v>-10.511588692211575</v>
      </c>
      <c r="DJ496" s="399"/>
      <c r="DK496" s="399">
        <v>0</v>
      </c>
      <c r="DL496" s="399">
        <v>0</v>
      </c>
      <c r="DM496" s="399">
        <v>0</v>
      </c>
      <c r="DN496" s="399">
        <v>0</v>
      </c>
      <c r="DO496" s="399">
        <v>-1.567486114895619</v>
      </c>
      <c r="DP496" s="399">
        <v>-6.0138231752751237E-2</v>
      </c>
      <c r="DQ496" s="399">
        <v>0</v>
      </c>
      <c r="DR496" s="399">
        <v>0</v>
      </c>
      <c r="DS496" s="399"/>
      <c r="DT496" s="399"/>
      <c r="DU496" s="399"/>
      <c r="DV496" s="399">
        <v>745.07948577575053</v>
      </c>
      <c r="DW496" s="399">
        <v>0</v>
      </c>
      <c r="DX496" s="399">
        <v>0</v>
      </c>
      <c r="DY496" s="399">
        <v>-146.19839999999999</v>
      </c>
      <c r="DZ496" s="399">
        <v>32.752049999999997</v>
      </c>
      <c r="EA496" s="399">
        <v>0</v>
      </c>
      <c r="EB496" s="399">
        <v>0</v>
      </c>
      <c r="EC496" s="399">
        <v>-161.08216468752653</v>
      </c>
      <c r="ED496" s="399">
        <v>0</v>
      </c>
      <c r="EE496" s="399">
        <v>0</v>
      </c>
      <c r="EF496" s="399">
        <v>0</v>
      </c>
      <c r="EG496" s="399">
        <v>0</v>
      </c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>
        <v>0</v>
      </c>
      <c r="EN496" s="399">
        <v>0</v>
      </c>
      <c r="EO496" s="399">
        <v>0</v>
      </c>
      <c r="EP496" s="399">
        <v>14.593980341589607</v>
      </c>
      <c r="EQ496" s="399">
        <v>0</v>
      </c>
      <c r="ER496" s="399">
        <v>0</v>
      </c>
      <c r="ES496" s="399">
        <v>0</v>
      </c>
      <c r="ET496" s="399">
        <v>0</v>
      </c>
      <c r="EU496" s="399">
        <v>0</v>
      </c>
      <c r="EV496" s="399">
        <v>215</v>
      </c>
      <c r="EW496" s="399">
        <v>0</v>
      </c>
      <c r="EX496" s="399">
        <v>0</v>
      </c>
      <c r="EY496" s="399">
        <v>0</v>
      </c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501</v>
      </c>
      <c r="B497" s="399" t="s">
        <v>956</v>
      </c>
      <c r="C497" s="399" t="s">
        <v>2352</v>
      </c>
      <c r="D497" s="399" t="s">
        <v>533</v>
      </c>
      <c r="E497" s="399" t="s">
        <v>894</v>
      </c>
      <c r="F497" s="399" t="s">
        <v>1239</v>
      </c>
      <c r="G497" s="399" t="s">
        <v>1239</v>
      </c>
      <c r="H497" s="399" t="s">
        <v>1239</v>
      </c>
      <c r="I497" s="399" t="s">
        <v>2326</v>
      </c>
      <c r="J497" s="399" t="s">
        <v>2344</v>
      </c>
      <c r="K497" s="791">
        <v>44743</v>
      </c>
      <c r="L497" s="399">
        <v>0</v>
      </c>
      <c r="M497" s="399">
        <v>0</v>
      </c>
      <c r="N497" s="399">
        <v>140.107</v>
      </c>
      <c r="O497" s="399">
        <v>134.50272000000001</v>
      </c>
      <c r="P497" s="399">
        <v>140.107</v>
      </c>
      <c r="Q497" s="399">
        <v>134.50272000000001</v>
      </c>
      <c r="R497" s="399"/>
      <c r="S497" s="399">
        <v>78.42</v>
      </c>
      <c r="T497" s="399">
        <v>171.61</v>
      </c>
      <c r="U497" s="399"/>
      <c r="V497" s="399">
        <v>35030.953210000007</v>
      </c>
      <c r="W497" s="399">
        <v>35030.953210000007</v>
      </c>
      <c r="X497" s="399">
        <v>37133.959280000003</v>
      </c>
      <c r="Y497" s="399">
        <v>0</v>
      </c>
      <c r="Z497" s="399">
        <v>7369.3270264179828</v>
      </c>
      <c r="AA497" s="399">
        <v>0</v>
      </c>
      <c r="AB497" s="399">
        <v>0</v>
      </c>
      <c r="AC497" s="399">
        <v>0</v>
      </c>
      <c r="AD497" s="399">
        <v>0</v>
      </c>
      <c r="AE497" s="399">
        <v>0</v>
      </c>
      <c r="AF497" s="399">
        <v>23170.086920606285</v>
      </c>
      <c r="AG497" s="399">
        <v>873.6171557222965</v>
      </c>
      <c r="AH497" s="399">
        <v>0</v>
      </c>
      <c r="AI497" s="399">
        <v>0</v>
      </c>
      <c r="AJ497" s="399">
        <v>0</v>
      </c>
      <c r="AK497" s="399">
        <v>0</v>
      </c>
      <c r="AL497" s="399">
        <v>1309.7357566906571</v>
      </c>
      <c r="AM497" s="399"/>
      <c r="AN497" s="399">
        <v>36.996720952281137</v>
      </c>
      <c r="AO497" s="399">
        <v>0</v>
      </c>
      <c r="AP497" s="399">
        <v>0</v>
      </c>
      <c r="AQ497" s="399">
        <v>0</v>
      </c>
      <c r="AR497" s="399">
        <v>0</v>
      </c>
      <c r="AS497" s="399">
        <v>0</v>
      </c>
      <c r="AT497" s="399">
        <v>0</v>
      </c>
      <c r="AU497" s="399">
        <v>0</v>
      </c>
      <c r="AV497" s="399">
        <v>0</v>
      </c>
      <c r="AW497" s="399">
        <v>0</v>
      </c>
      <c r="AX497" s="399">
        <v>0</v>
      </c>
      <c r="AY497" s="399">
        <v>0</v>
      </c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>
        <v>0</v>
      </c>
      <c r="BG497" s="399">
        <v>866.04182501415505</v>
      </c>
      <c r="BH497" s="399">
        <v>0</v>
      </c>
      <c r="BI497" s="399">
        <v>0</v>
      </c>
      <c r="BJ497" s="399">
        <v>0</v>
      </c>
      <c r="BK497" s="399">
        <v>0</v>
      </c>
      <c r="BL497" s="399">
        <v>0</v>
      </c>
      <c r="BM497" s="399"/>
      <c r="BN497" s="399"/>
      <c r="BO497" s="399"/>
      <c r="BP497" s="399"/>
      <c r="BQ497" s="399"/>
      <c r="BR497" s="399">
        <v>1485.358371199997</v>
      </c>
      <c r="BS497" s="399"/>
      <c r="BT497" s="399"/>
      <c r="BU497" s="399"/>
      <c r="BV497" s="399">
        <v>24036.128745620441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35647.879999999997</v>
      </c>
      <c r="CJ497" s="399">
        <v>2018.1349183999919</v>
      </c>
      <c r="CK497" s="399"/>
      <c r="CL497" s="399"/>
      <c r="CM497" s="399"/>
      <c r="CN497" s="399"/>
      <c r="CO497" s="399">
        <v>-1050.8025</v>
      </c>
      <c r="CP497" s="399">
        <v>3153.8085699999988</v>
      </c>
      <c r="CQ497" s="399">
        <v>31</v>
      </c>
      <c r="CR497" s="399">
        <v>2103.5404552427426</v>
      </c>
      <c r="CS497" s="399">
        <v>0</v>
      </c>
      <c r="CT497" s="399">
        <v>0</v>
      </c>
      <c r="CU497" s="399">
        <v>0</v>
      </c>
      <c r="CV497" s="399">
        <v>0</v>
      </c>
      <c r="CW497" s="399">
        <v>0</v>
      </c>
      <c r="CX497" s="399">
        <v>0</v>
      </c>
      <c r="CY497" s="399">
        <v>0</v>
      </c>
      <c r="CZ497" s="399">
        <v>0</v>
      </c>
      <c r="DA497" s="399">
        <v>0</v>
      </c>
      <c r="DB497" s="399">
        <v>0</v>
      </c>
      <c r="DC497" s="399">
        <v>3154.5576731540386</v>
      </c>
      <c r="DD497" s="399">
        <v>0</v>
      </c>
      <c r="DE497" s="399">
        <v>0</v>
      </c>
      <c r="DF497" s="399">
        <v>0</v>
      </c>
      <c r="DG497" s="399">
        <v>117.90973826433856</v>
      </c>
      <c r="DH497" s="399">
        <v>0</v>
      </c>
      <c r="DI497" s="399">
        <v>-1012.1973586939439</v>
      </c>
      <c r="DJ497" s="399"/>
      <c r="DK497" s="399">
        <v>0</v>
      </c>
      <c r="DL497" s="399">
        <v>0</v>
      </c>
      <c r="DM497" s="399">
        <v>0</v>
      </c>
      <c r="DN497" s="399">
        <v>0</v>
      </c>
      <c r="DO497" s="399">
        <v>-150.93867841902443</v>
      </c>
      <c r="DP497" s="399">
        <v>-5.7909190626685358</v>
      </c>
      <c r="DQ497" s="399">
        <v>0</v>
      </c>
      <c r="DR497" s="399">
        <v>0</v>
      </c>
      <c r="DS497" s="399"/>
      <c r="DT497" s="399"/>
      <c r="DU497" s="399"/>
      <c r="DV497" s="399">
        <v>0</v>
      </c>
      <c r="DW497" s="399">
        <v>0</v>
      </c>
      <c r="DX497" s="399">
        <v>0</v>
      </c>
      <c r="DY497" s="399">
        <v>-1050.8024999999998</v>
      </c>
      <c r="DZ497" s="399">
        <v>3153.8085699999974</v>
      </c>
      <c r="EA497" s="399">
        <v>0</v>
      </c>
      <c r="EB497" s="399">
        <v>0</v>
      </c>
      <c r="EC497" s="399">
        <v>0</v>
      </c>
      <c r="ED497" s="399">
        <v>0</v>
      </c>
      <c r="EE497" s="399">
        <v>0</v>
      </c>
      <c r="EF497" s="399">
        <v>0</v>
      </c>
      <c r="EG497" s="399">
        <v>0</v>
      </c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>
        <v>0</v>
      </c>
      <c r="EN497" s="399">
        <v>0</v>
      </c>
      <c r="EO497" s="399">
        <v>0</v>
      </c>
      <c r="EP497" s="399">
        <v>1405.3050197382095</v>
      </c>
      <c r="EQ497" s="399">
        <v>0</v>
      </c>
      <c r="ER497" s="399">
        <v>0</v>
      </c>
      <c r="ES497" s="399">
        <v>0</v>
      </c>
      <c r="ET497" s="399">
        <v>0</v>
      </c>
      <c r="EU497" s="399">
        <v>0</v>
      </c>
      <c r="EV497" s="399">
        <v>215</v>
      </c>
      <c r="EW497" s="399">
        <v>0</v>
      </c>
      <c r="EX497" s="399">
        <v>0</v>
      </c>
      <c r="EY497" s="399">
        <v>0</v>
      </c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502</v>
      </c>
      <c r="B498" s="399" t="s">
        <v>2346</v>
      </c>
      <c r="C498" s="399" t="s">
        <v>2352</v>
      </c>
      <c r="D498" s="399" t="s">
        <v>533</v>
      </c>
      <c r="E498" s="399" t="s">
        <v>894</v>
      </c>
      <c r="F498" s="399" t="s">
        <v>1239</v>
      </c>
      <c r="G498" s="399" t="s">
        <v>1239</v>
      </c>
      <c r="H498" s="399" t="s">
        <v>1239</v>
      </c>
      <c r="I498" s="399" t="s">
        <v>2326</v>
      </c>
      <c r="J498" s="399" t="s">
        <v>2344</v>
      </c>
      <c r="K498" s="791">
        <v>44743</v>
      </c>
      <c r="L498" s="399">
        <v>0</v>
      </c>
      <c r="M498" s="399">
        <v>0</v>
      </c>
      <c r="N498" s="399">
        <v>16.100000000000001</v>
      </c>
      <c r="O498" s="399">
        <v>15.456000000000001</v>
      </c>
      <c r="P498" s="399">
        <v>16.100000000000001</v>
      </c>
      <c r="Q498" s="399">
        <v>15.456000000000001</v>
      </c>
      <c r="R498" s="399"/>
      <c r="S498" s="399">
        <v>78.42</v>
      </c>
      <c r="T498" s="399">
        <v>171.61</v>
      </c>
      <c r="U498" s="399"/>
      <c r="V498" s="399">
        <v>4025.4830000000002</v>
      </c>
      <c r="W498" s="399">
        <v>4025.4830000000002</v>
      </c>
      <c r="X498" s="399">
        <v>4267.1440000000002</v>
      </c>
      <c r="Y498" s="399">
        <v>0</v>
      </c>
      <c r="Z498" s="399">
        <v>846.82539148885871</v>
      </c>
      <c r="AA498" s="399">
        <v>0</v>
      </c>
      <c r="AB498" s="399">
        <v>0</v>
      </c>
      <c r="AC498" s="399">
        <v>0</v>
      </c>
      <c r="AD498" s="399">
        <v>0</v>
      </c>
      <c r="AE498" s="399">
        <v>0</v>
      </c>
      <c r="AF498" s="399">
        <v>2662.5250659978533</v>
      </c>
      <c r="AG498" s="399">
        <v>100.38924684083575</v>
      </c>
      <c r="AH498" s="399">
        <v>0</v>
      </c>
      <c r="AI498" s="399">
        <v>0</v>
      </c>
      <c r="AJ498" s="399">
        <v>0</v>
      </c>
      <c r="AK498" s="399">
        <v>0</v>
      </c>
      <c r="AL498" s="399">
        <v>150.50458351630957</v>
      </c>
      <c r="AM498" s="399"/>
      <c r="AN498" s="399">
        <v>4.2513736453690845</v>
      </c>
      <c r="AO498" s="399">
        <v>0</v>
      </c>
      <c r="AP498" s="399">
        <v>0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99.518749118373094</v>
      </c>
      <c r="BH498" s="399">
        <v>0</v>
      </c>
      <c r="BI498" s="399">
        <v>0</v>
      </c>
      <c r="BJ498" s="399">
        <v>0</v>
      </c>
      <c r="BK498" s="399">
        <v>0</v>
      </c>
      <c r="BL498" s="399">
        <v>0</v>
      </c>
      <c r="BM498" s="399"/>
      <c r="BN498" s="399"/>
      <c r="BO498" s="399"/>
      <c r="BP498" s="399"/>
      <c r="BQ498" s="399"/>
      <c r="BR498" s="399">
        <v>170.68576000000002</v>
      </c>
      <c r="BS498" s="399"/>
      <c r="BT498" s="399"/>
      <c r="BU498" s="399"/>
      <c r="BV498" s="399">
        <v>2762.0438151162266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4097.5184000000008</v>
      </c>
      <c r="CJ498" s="399">
        <v>233.02472000000034</v>
      </c>
      <c r="CK498" s="399"/>
      <c r="CL498" s="399"/>
      <c r="CM498" s="399"/>
      <c r="CN498" s="399"/>
      <c r="CO498" s="399">
        <v>-120.75000000000001</v>
      </c>
      <c r="CP498" s="399">
        <v>362.41099999999989</v>
      </c>
      <c r="CQ498" s="399">
        <v>31</v>
      </c>
      <c r="CR498" s="399">
        <v>241.72240737013954</v>
      </c>
      <c r="CS498" s="399">
        <v>0</v>
      </c>
      <c r="CT498" s="399">
        <v>0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0</v>
      </c>
      <c r="DA498" s="399">
        <v>0</v>
      </c>
      <c r="DB498" s="399">
        <v>0</v>
      </c>
      <c r="DC498" s="399">
        <v>362.49708107218066</v>
      </c>
      <c r="DD498" s="399">
        <v>0</v>
      </c>
      <c r="DE498" s="399">
        <v>0</v>
      </c>
      <c r="DF498" s="399">
        <v>0</v>
      </c>
      <c r="DG498" s="399">
        <v>13.549264391185659</v>
      </c>
      <c r="DH498" s="399">
        <v>0</v>
      </c>
      <c r="DI498" s="399">
        <v>-116.31379927464354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-17.344691718088995</v>
      </c>
      <c r="DP498" s="399">
        <v>-0.66544710049436029</v>
      </c>
      <c r="DQ498" s="399">
        <v>0</v>
      </c>
      <c r="DR498" s="399">
        <v>0</v>
      </c>
      <c r="DS498" s="399"/>
      <c r="DT498" s="399"/>
      <c r="DU498" s="399"/>
      <c r="DV498" s="399">
        <v>0</v>
      </c>
      <c r="DW498" s="399">
        <v>0</v>
      </c>
      <c r="DX498" s="399">
        <v>0</v>
      </c>
      <c r="DY498" s="399">
        <v>-120.75</v>
      </c>
      <c r="DZ498" s="399">
        <v>362.41100000000006</v>
      </c>
      <c r="EA498" s="399">
        <v>0</v>
      </c>
      <c r="EB498" s="399">
        <v>0</v>
      </c>
      <c r="EC498" s="399">
        <v>0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161.48665532618054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215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503</v>
      </c>
      <c r="B499" s="399" t="s">
        <v>956</v>
      </c>
      <c r="C499" s="399" t="s">
        <v>2352</v>
      </c>
      <c r="D499" s="399" t="s">
        <v>533</v>
      </c>
      <c r="E499" s="399" t="s">
        <v>894</v>
      </c>
      <c r="F499" s="399" t="s">
        <v>1239</v>
      </c>
      <c r="G499" s="399" t="s">
        <v>1239</v>
      </c>
      <c r="H499" s="399" t="s">
        <v>1239</v>
      </c>
      <c r="I499" s="399" t="s">
        <v>1239</v>
      </c>
      <c r="J499" s="399" t="s">
        <v>2344</v>
      </c>
      <c r="K499" s="791">
        <v>44743</v>
      </c>
      <c r="L499" s="399">
        <v>941</v>
      </c>
      <c r="M499" s="399">
        <v>903.36</v>
      </c>
      <c r="N499" s="399">
        <v>0</v>
      </c>
      <c r="O499" s="399">
        <v>0</v>
      </c>
      <c r="P499" s="399">
        <v>0</v>
      </c>
      <c r="Q499" s="399">
        <v>0</v>
      </c>
      <c r="R499" s="399">
        <v>12.58</v>
      </c>
      <c r="S499" s="399"/>
      <c r="T499" s="399"/>
      <c r="U499" s="399">
        <v>11837.78</v>
      </c>
      <c r="V499" s="399"/>
      <c r="W499" s="399">
        <v>11837.78</v>
      </c>
      <c r="X499" s="399">
        <v>10906.19</v>
      </c>
      <c r="Y499" s="399">
        <v>0</v>
      </c>
      <c r="Z499" s="399">
        <v>0</v>
      </c>
      <c r="AA499" s="399">
        <v>0</v>
      </c>
      <c r="AB499" s="399">
        <v>0</v>
      </c>
      <c r="AC499" s="399">
        <v>0</v>
      </c>
      <c r="AD499" s="399">
        <v>6236.4204965645204</v>
      </c>
      <c r="AE499" s="399">
        <v>5598.6761929091253</v>
      </c>
      <c r="AF499" s="399"/>
      <c r="AG499" s="399"/>
      <c r="AH499" s="399"/>
      <c r="AI499" s="399">
        <v>0</v>
      </c>
      <c r="AJ499" s="399">
        <v>0</v>
      </c>
      <c r="AK499" s="399">
        <v>0</v>
      </c>
      <c r="AL499" s="399">
        <v>0</v>
      </c>
      <c r="AM499" s="399"/>
      <c r="AN499" s="399">
        <v>0</v>
      </c>
      <c r="AO499" s="399">
        <v>0</v>
      </c>
      <c r="AP499" s="399">
        <v>0</v>
      </c>
      <c r="AQ499" s="399">
        <v>0</v>
      </c>
      <c r="AR499" s="399">
        <v>0</v>
      </c>
      <c r="AS499" s="399"/>
      <c r="AT499" s="399"/>
      <c r="AU499" s="399">
        <v>0</v>
      </c>
      <c r="AV499" s="399">
        <v>0</v>
      </c>
      <c r="AW499" s="399">
        <v>0</v>
      </c>
      <c r="AX499" s="399"/>
      <c r="AY499" s="399"/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/>
      <c r="BG499" s="399">
        <v>0</v>
      </c>
      <c r="BH499" s="399">
        <v>0</v>
      </c>
      <c r="BI499" s="399">
        <v>0</v>
      </c>
      <c r="BJ499" s="399">
        <v>0</v>
      </c>
      <c r="BK499" s="399">
        <v>11485.26</v>
      </c>
      <c r="BL499" s="399">
        <v>10</v>
      </c>
      <c r="BM499" s="399"/>
      <c r="BN499" s="399"/>
      <c r="BO499" s="399"/>
      <c r="BP499" s="399"/>
      <c r="BQ499" s="399"/>
      <c r="BR499" s="399">
        <v>436.24759999999986</v>
      </c>
      <c r="BS499" s="399"/>
      <c r="BT499" s="399"/>
      <c r="BU499" s="399"/>
      <c r="BV499" s="399">
        <v>0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10469.9424</v>
      </c>
      <c r="CJ499" s="399">
        <v>-894.35640000000058</v>
      </c>
      <c r="CK499" s="399"/>
      <c r="CL499" s="399"/>
      <c r="CM499" s="399"/>
      <c r="CN499" s="399"/>
      <c r="CO499" s="399">
        <v>-931.59000000000015</v>
      </c>
      <c r="CP499" s="399">
        <v>0</v>
      </c>
      <c r="CQ499" s="399">
        <v>31</v>
      </c>
      <c r="CR499" s="399">
        <v>280.84238611028104</v>
      </c>
      <c r="CS499" s="399">
        <v>0</v>
      </c>
      <c r="CT499" s="399">
        <v>0</v>
      </c>
      <c r="CU499" s="399">
        <v>0</v>
      </c>
      <c r="CV499" s="399">
        <v>0</v>
      </c>
      <c r="CW499" s="399"/>
      <c r="CX499" s="399"/>
      <c r="CY499" s="399"/>
      <c r="CZ499" s="399">
        <v>280.84238611028104</v>
      </c>
      <c r="DA499" s="399">
        <v>0</v>
      </c>
      <c r="DB499" s="399">
        <v>0</v>
      </c>
      <c r="DC499" s="399"/>
      <c r="DD499" s="399"/>
      <c r="DE499" s="399">
        <v>0</v>
      </c>
      <c r="DF499" s="399">
        <v>0</v>
      </c>
      <c r="DG499" s="399">
        <v>0</v>
      </c>
      <c r="DH499" s="399">
        <v>0</v>
      </c>
      <c r="DI499" s="399">
        <v>0</v>
      </c>
      <c r="DJ499" s="399"/>
      <c r="DK499" s="399">
        <v>0</v>
      </c>
      <c r="DL499" s="399">
        <v>0</v>
      </c>
      <c r="DM499" s="399"/>
      <c r="DN499" s="399">
        <v>0</v>
      </c>
      <c r="DO499" s="399">
        <v>0</v>
      </c>
      <c r="DP499" s="399">
        <v>0</v>
      </c>
      <c r="DQ499" s="399">
        <v>0</v>
      </c>
      <c r="DR499" s="399">
        <v>0</v>
      </c>
      <c r="DS499" s="399"/>
      <c r="DT499" s="399"/>
      <c r="DU499" s="399">
        <v>5598.6761929091253</v>
      </c>
      <c r="DV499" s="399"/>
      <c r="DW499" s="399">
        <v>0</v>
      </c>
      <c r="DX499" s="399">
        <v>0</v>
      </c>
      <c r="DY499" s="399">
        <v>-931.59000000000015</v>
      </c>
      <c r="DZ499" s="399"/>
      <c r="EA499" s="399">
        <v>0</v>
      </c>
      <c r="EB499" s="399"/>
      <c r="EC499" s="399">
        <v>-1210.4035847925024</v>
      </c>
      <c r="ED499" s="399"/>
      <c r="EE499" s="399">
        <v>0</v>
      </c>
      <c r="EF499" s="399">
        <v>0</v>
      </c>
      <c r="EG499" s="399"/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/>
      <c r="EN499" s="399"/>
      <c r="EO499" s="399">
        <v>0</v>
      </c>
      <c r="EP499" s="399">
        <v>0</v>
      </c>
      <c r="EQ499" s="399"/>
      <c r="ER499" s="399">
        <v>0</v>
      </c>
      <c r="ES499" s="399"/>
      <c r="ET499" s="399">
        <v>0</v>
      </c>
      <c r="EU499" s="399"/>
      <c r="EV499" s="399">
        <v>215</v>
      </c>
      <c r="EW499" s="399"/>
      <c r="EX499" s="399"/>
      <c r="EY499" s="399"/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504</v>
      </c>
      <c r="B500" s="399" t="s">
        <v>2346</v>
      </c>
      <c r="C500" s="399" t="s">
        <v>2352</v>
      </c>
      <c r="D500" s="399" t="s">
        <v>533</v>
      </c>
      <c r="E500" s="399" t="s">
        <v>894</v>
      </c>
      <c r="F500" s="399" t="s">
        <v>1239</v>
      </c>
      <c r="G500" s="399" t="s">
        <v>1239</v>
      </c>
      <c r="H500" s="399" t="s">
        <v>1239</v>
      </c>
      <c r="I500" s="399" t="s">
        <v>1239</v>
      </c>
      <c r="J500" s="399" t="s">
        <v>2344</v>
      </c>
      <c r="K500" s="791">
        <v>44743</v>
      </c>
      <c r="L500" s="399">
        <v>136</v>
      </c>
      <c r="M500" s="399">
        <v>130.56</v>
      </c>
      <c r="N500" s="399">
        <v>0</v>
      </c>
      <c r="O500" s="399">
        <v>0</v>
      </c>
      <c r="P500" s="399">
        <v>0</v>
      </c>
      <c r="Q500" s="399">
        <v>0</v>
      </c>
      <c r="R500" s="399">
        <v>12.58</v>
      </c>
      <c r="S500" s="399"/>
      <c r="T500" s="399"/>
      <c r="U500" s="399">
        <v>1710.88</v>
      </c>
      <c r="V500" s="399"/>
      <c r="W500" s="399">
        <v>1710.88</v>
      </c>
      <c r="X500" s="399">
        <v>1576.24</v>
      </c>
      <c r="Y500" s="399">
        <v>0</v>
      </c>
      <c r="Z500" s="399">
        <v>0</v>
      </c>
      <c r="AA500" s="399">
        <v>0</v>
      </c>
      <c r="AB500" s="399">
        <v>0</v>
      </c>
      <c r="AC500" s="399">
        <v>0</v>
      </c>
      <c r="AD500" s="399">
        <v>901.3317614588467</v>
      </c>
      <c r="AE500" s="399">
        <v>809.16042745551658</v>
      </c>
      <c r="AF500" s="399"/>
      <c r="AG500" s="399"/>
      <c r="AH500" s="399"/>
      <c r="AI500" s="399">
        <v>0</v>
      </c>
      <c r="AJ500" s="399">
        <v>0</v>
      </c>
      <c r="AK500" s="399">
        <v>0</v>
      </c>
      <c r="AL500" s="399">
        <v>0</v>
      </c>
      <c r="AM500" s="399"/>
      <c r="AN500" s="399">
        <v>0</v>
      </c>
      <c r="AO500" s="399">
        <v>0</v>
      </c>
      <c r="AP500" s="399">
        <v>0</v>
      </c>
      <c r="AQ500" s="399">
        <v>0</v>
      </c>
      <c r="AR500" s="399">
        <v>0</v>
      </c>
      <c r="AS500" s="399"/>
      <c r="AT500" s="399"/>
      <c r="AU500" s="399">
        <v>0</v>
      </c>
      <c r="AV500" s="399">
        <v>0</v>
      </c>
      <c r="AW500" s="399">
        <v>0</v>
      </c>
      <c r="AX500" s="399"/>
      <c r="AY500" s="399"/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/>
      <c r="BG500" s="399">
        <v>0</v>
      </c>
      <c r="BH500" s="399">
        <v>0</v>
      </c>
      <c r="BI500" s="399">
        <v>0</v>
      </c>
      <c r="BJ500" s="399">
        <v>0</v>
      </c>
      <c r="BK500" s="399">
        <v>1747.71</v>
      </c>
      <c r="BL500" s="399">
        <v>1</v>
      </c>
      <c r="BM500" s="399"/>
      <c r="BN500" s="399"/>
      <c r="BO500" s="399"/>
      <c r="BP500" s="399"/>
      <c r="BQ500" s="399"/>
      <c r="BR500" s="399">
        <v>63.04959999999997</v>
      </c>
      <c r="BS500" s="399"/>
      <c r="BT500" s="399"/>
      <c r="BU500" s="399"/>
      <c r="BV500" s="399">
        <v>0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1513.1904</v>
      </c>
      <c r="CJ500" s="399">
        <v>-129.28440000000001</v>
      </c>
      <c r="CK500" s="399"/>
      <c r="CL500" s="399"/>
      <c r="CM500" s="399"/>
      <c r="CN500" s="399"/>
      <c r="CO500" s="399">
        <v>-134.64000000000004</v>
      </c>
      <c r="CP500" s="399">
        <v>0</v>
      </c>
      <c r="CQ500" s="399">
        <v>31</v>
      </c>
      <c r="CR500" s="399">
        <v>40.589335293303179</v>
      </c>
      <c r="CS500" s="399">
        <v>0</v>
      </c>
      <c r="CT500" s="399">
        <v>0</v>
      </c>
      <c r="CU500" s="399">
        <v>0</v>
      </c>
      <c r="CV500" s="399">
        <v>0</v>
      </c>
      <c r="CW500" s="399"/>
      <c r="CX500" s="399"/>
      <c r="CY500" s="399"/>
      <c r="CZ500" s="399">
        <v>40.589335293303179</v>
      </c>
      <c r="DA500" s="399">
        <v>0</v>
      </c>
      <c r="DB500" s="399">
        <v>0</v>
      </c>
      <c r="DC500" s="399"/>
      <c r="DD500" s="399"/>
      <c r="DE500" s="399">
        <v>0</v>
      </c>
      <c r="DF500" s="399">
        <v>0</v>
      </c>
      <c r="DG500" s="399">
        <v>0</v>
      </c>
      <c r="DH500" s="399">
        <v>0</v>
      </c>
      <c r="DI500" s="399">
        <v>0</v>
      </c>
      <c r="DJ500" s="399"/>
      <c r="DK500" s="399">
        <v>0</v>
      </c>
      <c r="DL500" s="399">
        <v>0</v>
      </c>
      <c r="DM500" s="399"/>
      <c r="DN500" s="399">
        <v>0</v>
      </c>
      <c r="DO500" s="399">
        <v>0</v>
      </c>
      <c r="DP500" s="399">
        <v>0</v>
      </c>
      <c r="DQ500" s="399">
        <v>0</v>
      </c>
      <c r="DR500" s="399">
        <v>0</v>
      </c>
      <c r="DS500" s="399"/>
      <c r="DT500" s="399"/>
      <c r="DU500" s="399">
        <v>809.16042745551658</v>
      </c>
      <c r="DV500" s="399"/>
      <c r="DW500" s="399">
        <v>0</v>
      </c>
      <c r="DX500" s="399">
        <v>0</v>
      </c>
      <c r="DY500" s="399">
        <v>-134.6400000000001</v>
      </c>
      <c r="DZ500" s="399"/>
      <c r="EA500" s="399">
        <v>0</v>
      </c>
      <c r="EB500" s="399"/>
      <c r="EC500" s="399">
        <v>-174.93611852473998</v>
      </c>
      <c r="ED500" s="399"/>
      <c r="EE500" s="399">
        <v>0</v>
      </c>
      <c r="EF500" s="399">
        <v>0</v>
      </c>
      <c r="EG500" s="399"/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/>
      <c r="EN500" s="399"/>
      <c r="EO500" s="399">
        <v>0</v>
      </c>
      <c r="EP500" s="399">
        <v>0</v>
      </c>
      <c r="EQ500" s="399"/>
      <c r="ER500" s="399">
        <v>0</v>
      </c>
      <c r="ES500" s="399"/>
      <c r="ET500" s="399">
        <v>0</v>
      </c>
      <c r="EU500" s="399"/>
      <c r="EV500" s="399">
        <v>215</v>
      </c>
      <c r="EW500" s="399"/>
      <c r="EX500" s="399"/>
      <c r="EY500" s="399"/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505</v>
      </c>
      <c r="B501" s="399" t="s">
        <v>956</v>
      </c>
      <c r="C501" s="399" t="s">
        <v>2343</v>
      </c>
      <c r="D501" s="399" t="s">
        <v>1826</v>
      </c>
      <c r="E501" s="399" t="s">
        <v>2354</v>
      </c>
      <c r="F501" s="399" t="s">
        <v>1239</v>
      </c>
      <c r="G501" s="399" t="s">
        <v>1239</v>
      </c>
      <c r="H501" s="399" t="s">
        <v>1239</v>
      </c>
      <c r="I501" s="399" t="s">
        <v>1239</v>
      </c>
      <c r="J501" s="399" t="s">
        <v>2344</v>
      </c>
      <c r="K501" s="791">
        <v>44743</v>
      </c>
      <c r="L501" s="399">
        <v>0</v>
      </c>
      <c r="M501" s="399">
        <v>0</v>
      </c>
      <c r="N501" s="399">
        <v>35.94</v>
      </c>
      <c r="O501" s="399">
        <v>35.94</v>
      </c>
      <c r="P501" s="399">
        <v>35.94</v>
      </c>
      <c r="Q501" s="399">
        <v>35.94</v>
      </c>
      <c r="R501" s="399"/>
      <c r="S501" s="399">
        <v>239.69</v>
      </c>
      <c r="T501" s="399">
        <v>171.61</v>
      </c>
      <c r="U501" s="399"/>
      <c r="V501" s="399">
        <v>14782.121999999999</v>
      </c>
      <c r="W501" s="399">
        <v>14782.121999999999</v>
      </c>
      <c r="X501" s="399">
        <v>14727.852599999998</v>
      </c>
      <c r="Y501" s="399">
        <v>0</v>
      </c>
      <c r="Z501" s="399">
        <v>2172.8353373391578</v>
      </c>
      <c r="AA501" s="399">
        <v>0</v>
      </c>
      <c r="AB501" s="399">
        <v>0</v>
      </c>
      <c r="AC501" s="399">
        <v>0</v>
      </c>
      <c r="AD501" s="399">
        <v>1916.8955894350497</v>
      </c>
      <c r="AE501" s="399">
        <v>3184.8132613500252</v>
      </c>
      <c r="AF501" s="399">
        <v>5943.549743600176</v>
      </c>
      <c r="AG501" s="399">
        <v>224.0987286620892</v>
      </c>
      <c r="AH501" s="399">
        <v>0</v>
      </c>
      <c r="AI501" s="399">
        <v>0</v>
      </c>
      <c r="AJ501" s="399">
        <v>0</v>
      </c>
      <c r="AK501" s="399">
        <v>0</v>
      </c>
      <c r="AL501" s="399">
        <v>335.97110134013445</v>
      </c>
      <c r="AM501" s="399"/>
      <c r="AN501" s="399">
        <v>14.23409617225742</v>
      </c>
      <c r="AO501" s="399">
        <v>0</v>
      </c>
      <c r="AP501" s="399">
        <v>0</v>
      </c>
      <c r="AQ501" s="399">
        <v>0</v>
      </c>
      <c r="AR501" s="399">
        <v>0</v>
      </c>
      <c r="AS501" s="399">
        <v>0</v>
      </c>
      <c r="AT501" s="399">
        <v>0</v>
      </c>
      <c r="AU501" s="399">
        <v>0</v>
      </c>
      <c r="AV501" s="399">
        <v>0</v>
      </c>
      <c r="AW501" s="399">
        <v>0</v>
      </c>
      <c r="AX501" s="399">
        <v>0</v>
      </c>
      <c r="AY501" s="399">
        <v>0</v>
      </c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>
        <v>0</v>
      </c>
      <c r="BG501" s="399">
        <v>575.39627044010922</v>
      </c>
      <c r="BH501" s="399">
        <v>0</v>
      </c>
      <c r="BI501" s="399">
        <v>0</v>
      </c>
      <c r="BJ501" s="399">
        <v>0</v>
      </c>
      <c r="BK501" s="399">
        <v>2835.01</v>
      </c>
      <c r="BL501" s="399">
        <v>44</v>
      </c>
      <c r="BM501" s="399"/>
      <c r="BN501" s="399"/>
      <c r="BO501" s="399"/>
      <c r="BP501" s="399"/>
      <c r="BQ501" s="399"/>
      <c r="BR501" s="399"/>
      <c r="BS501" s="399"/>
      <c r="BT501" s="399"/>
      <c r="BU501" s="399"/>
      <c r="BV501" s="399">
        <v>6518.9460140402853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14727.852599999998</v>
      </c>
      <c r="CJ501" s="399">
        <v>-54.299400000001697</v>
      </c>
      <c r="CK501" s="399"/>
      <c r="CL501" s="399"/>
      <c r="CM501" s="399"/>
      <c r="CN501" s="399"/>
      <c r="CO501" s="399">
        <v>-863.27880000000027</v>
      </c>
      <c r="CP501" s="399">
        <v>809.00939999999957</v>
      </c>
      <c r="CQ501" s="399">
        <v>31</v>
      </c>
      <c r="CR501" s="399">
        <v>634.47193372807487</v>
      </c>
      <c r="CS501" s="399">
        <v>0</v>
      </c>
      <c r="CT501" s="399">
        <v>0</v>
      </c>
      <c r="CU501" s="399">
        <v>0</v>
      </c>
      <c r="CV501" s="399">
        <v>0</v>
      </c>
      <c r="CW501" s="399">
        <v>0</v>
      </c>
      <c r="CX501" s="399">
        <v>0</v>
      </c>
      <c r="CY501" s="399">
        <v>0</v>
      </c>
      <c r="CZ501" s="399">
        <v>86.322840411062771</v>
      </c>
      <c r="DA501" s="399">
        <v>0</v>
      </c>
      <c r="DB501" s="399">
        <v>0</v>
      </c>
      <c r="DC501" s="399">
        <v>809.20155861702915</v>
      </c>
      <c r="DD501" s="399">
        <v>0</v>
      </c>
      <c r="DE501" s="399">
        <v>0</v>
      </c>
      <c r="DF501" s="399">
        <v>0</v>
      </c>
      <c r="DG501" s="399">
        <v>78.338968957720112</v>
      </c>
      <c r="DH501" s="399">
        <v>0</v>
      </c>
      <c r="DI501" s="399">
        <v>-298.44491653678369</v>
      </c>
      <c r="DJ501" s="399"/>
      <c r="DK501" s="399">
        <v>0</v>
      </c>
      <c r="DL501" s="399">
        <v>0</v>
      </c>
      <c r="DM501" s="399">
        <v>0</v>
      </c>
      <c r="DN501" s="399">
        <v>0</v>
      </c>
      <c r="DO501" s="399">
        <v>-38.718523002988718</v>
      </c>
      <c r="DP501" s="399">
        <v>-2.2279947179670163</v>
      </c>
      <c r="DQ501" s="399">
        <v>0</v>
      </c>
      <c r="DR501" s="399">
        <v>0</v>
      </c>
      <c r="DS501" s="399"/>
      <c r="DT501" s="399"/>
      <c r="DU501" s="399"/>
      <c r="DV501" s="399">
        <v>3184.8132613500252</v>
      </c>
      <c r="DW501" s="399">
        <v>0</v>
      </c>
      <c r="DX501" s="399">
        <v>0</v>
      </c>
      <c r="DY501" s="399">
        <v>-863.27880000000096</v>
      </c>
      <c r="DZ501" s="399">
        <v>809.009399999999</v>
      </c>
      <c r="EA501" s="399">
        <v>0</v>
      </c>
      <c r="EB501" s="399">
        <v>0</v>
      </c>
      <c r="EC501" s="399">
        <v>-688.53944318392951</v>
      </c>
      <c r="ED501" s="399">
        <v>0</v>
      </c>
      <c r="EE501" s="399">
        <v>0</v>
      </c>
      <c r="EF501" s="399">
        <v>0</v>
      </c>
      <c r="EG501" s="399">
        <v>0</v>
      </c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>
        <v>0</v>
      </c>
      <c r="EN501" s="399">
        <v>0</v>
      </c>
      <c r="EO501" s="399">
        <v>0</v>
      </c>
      <c r="EP501" s="399">
        <v>414.35213767565824</v>
      </c>
      <c r="EQ501" s="399">
        <v>0</v>
      </c>
      <c r="ER501" s="399">
        <v>0</v>
      </c>
      <c r="ES501" s="399">
        <v>0</v>
      </c>
      <c r="ET501" s="399">
        <v>0</v>
      </c>
      <c r="EU501" s="399">
        <v>0</v>
      </c>
      <c r="EV501" s="399">
        <v>215</v>
      </c>
      <c r="EW501" s="399">
        <v>0</v>
      </c>
      <c r="EX501" s="399">
        <v>0</v>
      </c>
      <c r="EY501" s="399">
        <v>0</v>
      </c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506</v>
      </c>
      <c r="B502" s="399" t="s">
        <v>956</v>
      </c>
      <c r="C502" s="399" t="s">
        <v>2352</v>
      </c>
      <c r="D502" s="399" t="s">
        <v>533</v>
      </c>
      <c r="E502" s="399" t="s">
        <v>2354</v>
      </c>
      <c r="F502" s="399" t="s">
        <v>1239</v>
      </c>
      <c r="G502" s="399" t="s">
        <v>1239</v>
      </c>
      <c r="H502" s="399" t="s">
        <v>1239</v>
      </c>
      <c r="I502" s="399" t="s">
        <v>893</v>
      </c>
      <c r="J502" s="399" t="s">
        <v>2344</v>
      </c>
      <c r="K502" s="791">
        <v>44743</v>
      </c>
      <c r="L502" s="399">
        <v>0</v>
      </c>
      <c r="M502" s="399">
        <v>0</v>
      </c>
      <c r="N502" s="399">
        <v>0.88</v>
      </c>
      <c r="O502" s="399">
        <v>0.88</v>
      </c>
      <c r="P502" s="399">
        <v>0.88</v>
      </c>
      <c r="Q502" s="399">
        <v>0.88</v>
      </c>
      <c r="R502" s="399"/>
      <c r="S502" s="399">
        <v>984.21</v>
      </c>
      <c r="T502" s="399">
        <v>171.61</v>
      </c>
      <c r="U502" s="399"/>
      <c r="V502" s="399">
        <v>1017.1216000000001</v>
      </c>
      <c r="W502" s="399">
        <v>1017.1216000000001</v>
      </c>
      <c r="X502" s="399">
        <v>948.50800000000004</v>
      </c>
      <c r="Y502" s="399">
        <v>0</v>
      </c>
      <c r="Z502" s="399">
        <v>46.286108354670532</v>
      </c>
      <c r="AA502" s="399">
        <v>0</v>
      </c>
      <c r="AB502" s="399">
        <v>0</v>
      </c>
      <c r="AC502" s="399">
        <v>0</v>
      </c>
      <c r="AD502" s="399">
        <v>346.46362555186539</v>
      </c>
      <c r="AE502" s="399">
        <v>450.63226631110683</v>
      </c>
      <c r="AF502" s="399">
        <v>145.5293203775224</v>
      </c>
      <c r="AG502" s="399">
        <v>5.4871141130394694</v>
      </c>
      <c r="AH502" s="399">
        <v>0</v>
      </c>
      <c r="AI502" s="399">
        <v>0</v>
      </c>
      <c r="AJ502" s="399">
        <v>0</v>
      </c>
      <c r="AK502" s="399">
        <v>0</v>
      </c>
      <c r="AL502" s="399">
        <v>8.2263374841212666</v>
      </c>
      <c r="AM502" s="399"/>
      <c r="AN502" s="399">
        <v>0.23237321788352761</v>
      </c>
      <c r="AO502" s="399">
        <v>0</v>
      </c>
      <c r="AP502" s="399">
        <v>0</v>
      </c>
      <c r="AQ502" s="399">
        <v>0</v>
      </c>
      <c r="AR502" s="399">
        <v>0</v>
      </c>
      <c r="AS502" s="399">
        <v>0</v>
      </c>
      <c r="AT502" s="399">
        <v>0</v>
      </c>
      <c r="AU502" s="399">
        <v>0</v>
      </c>
      <c r="AV502" s="399">
        <v>0</v>
      </c>
      <c r="AW502" s="399">
        <v>0</v>
      </c>
      <c r="AX502" s="399">
        <v>0</v>
      </c>
      <c r="AY502" s="399">
        <v>0</v>
      </c>
      <c r="AZ502" s="399">
        <v>0</v>
      </c>
      <c r="BA502" s="399"/>
      <c r="BB502" s="399">
        <v>0</v>
      </c>
      <c r="BC502" s="399">
        <v>0</v>
      </c>
      <c r="BD502" s="399">
        <v>0</v>
      </c>
      <c r="BE502" s="399">
        <v>0</v>
      </c>
      <c r="BF502" s="399">
        <v>0</v>
      </c>
      <c r="BG502" s="399">
        <v>5.43953411330238</v>
      </c>
      <c r="BH502" s="399">
        <v>0</v>
      </c>
      <c r="BI502" s="399">
        <v>0</v>
      </c>
      <c r="BJ502" s="399">
        <v>0</v>
      </c>
      <c r="BK502" s="399">
        <v>0</v>
      </c>
      <c r="BL502" s="399">
        <v>0</v>
      </c>
      <c r="BM502" s="399"/>
      <c r="BN502" s="399"/>
      <c r="BO502" s="399"/>
      <c r="BP502" s="399"/>
      <c r="BQ502" s="399"/>
      <c r="BR502" s="399"/>
      <c r="BS502" s="399"/>
      <c r="BT502" s="399"/>
      <c r="BU502" s="399"/>
      <c r="BV502" s="399">
        <v>150.96885449082478</v>
      </c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>
        <v>948.50800000000004</v>
      </c>
      <c r="CJ502" s="399">
        <v>-68.643599999999992</v>
      </c>
      <c r="CK502" s="399"/>
      <c r="CL502" s="399"/>
      <c r="CM502" s="399"/>
      <c r="CN502" s="399"/>
      <c r="CO502" s="399">
        <v>-88.42240000000001</v>
      </c>
      <c r="CP502" s="399">
        <v>19.808799999999991</v>
      </c>
      <c r="CQ502" s="399">
        <v>31</v>
      </c>
      <c r="CR502" s="399">
        <v>28.814322983645866</v>
      </c>
      <c r="CS502" s="399">
        <v>0</v>
      </c>
      <c r="CT502" s="399">
        <v>0</v>
      </c>
      <c r="CU502" s="399">
        <v>0</v>
      </c>
      <c r="CV502" s="399">
        <v>0</v>
      </c>
      <c r="CW502" s="399">
        <v>0</v>
      </c>
      <c r="CX502" s="399">
        <v>0</v>
      </c>
      <c r="CY502" s="399">
        <v>0</v>
      </c>
      <c r="CZ502" s="399">
        <v>15.602166555961048</v>
      </c>
      <c r="DA502" s="399">
        <v>0</v>
      </c>
      <c r="DB502" s="399">
        <v>0</v>
      </c>
      <c r="DC502" s="399">
        <v>19.813505052392486</v>
      </c>
      <c r="DD502" s="399">
        <v>0</v>
      </c>
      <c r="DE502" s="399">
        <v>0</v>
      </c>
      <c r="DF502" s="399">
        <v>0</v>
      </c>
      <c r="DG502" s="399">
        <v>0.74058091082256983</v>
      </c>
      <c r="DH502" s="399">
        <v>0</v>
      </c>
      <c r="DI502" s="399">
        <v>-6.3575244324028759</v>
      </c>
      <c r="DJ502" s="399"/>
      <c r="DK502" s="399">
        <v>0</v>
      </c>
      <c r="DL502" s="399">
        <v>0</v>
      </c>
      <c r="DM502" s="399">
        <v>0</v>
      </c>
      <c r="DN502" s="399">
        <v>0</v>
      </c>
      <c r="DO502" s="399">
        <v>-0.94803283924958404</v>
      </c>
      <c r="DP502" s="399">
        <v>-3.6372263877952643E-2</v>
      </c>
      <c r="DQ502" s="399">
        <v>0</v>
      </c>
      <c r="DR502" s="399">
        <v>0</v>
      </c>
      <c r="DS502" s="399"/>
      <c r="DT502" s="399"/>
      <c r="DU502" s="399"/>
      <c r="DV502" s="399">
        <v>450.63226631110683</v>
      </c>
      <c r="DW502" s="399">
        <v>0</v>
      </c>
      <c r="DX502" s="399">
        <v>0</v>
      </c>
      <c r="DY502" s="399">
        <v>-88.422400000000039</v>
      </c>
      <c r="DZ502" s="399">
        <v>19.808799999999991</v>
      </c>
      <c r="EA502" s="399">
        <v>0</v>
      </c>
      <c r="EB502" s="399">
        <v>0</v>
      </c>
      <c r="EC502" s="399">
        <v>-97.424264553280636</v>
      </c>
      <c r="ED502" s="399">
        <v>0</v>
      </c>
      <c r="EE502" s="399">
        <v>0</v>
      </c>
      <c r="EF502" s="399">
        <v>0</v>
      </c>
      <c r="EG502" s="399">
        <v>0</v>
      </c>
      <c r="EH502" s="399">
        <v>0</v>
      </c>
      <c r="EI502" s="399">
        <v>0</v>
      </c>
      <c r="EJ502" s="399">
        <v>0</v>
      </c>
      <c r="EK502" s="399">
        <v>0</v>
      </c>
      <c r="EL502" s="399">
        <v>0</v>
      </c>
      <c r="EM502" s="399">
        <v>0</v>
      </c>
      <c r="EN502" s="399">
        <v>0</v>
      </c>
      <c r="EO502" s="399">
        <v>0</v>
      </c>
      <c r="EP502" s="399">
        <v>8.8265997942260164</v>
      </c>
      <c r="EQ502" s="399">
        <v>0</v>
      </c>
      <c r="ER502" s="399">
        <v>0</v>
      </c>
      <c r="ES502" s="399">
        <v>0</v>
      </c>
      <c r="ET502" s="399">
        <v>0</v>
      </c>
      <c r="EU502" s="399">
        <v>0</v>
      </c>
      <c r="EV502" s="399">
        <v>215</v>
      </c>
      <c r="EW502" s="399">
        <v>0</v>
      </c>
      <c r="EX502" s="399">
        <v>0</v>
      </c>
      <c r="EY502" s="399">
        <v>0</v>
      </c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507</v>
      </c>
      <c r="B503" s="399" t="s">
        <v>956</v>
      </c>
      <c r="C503" s="399" t="s">
        <v>2352</v>
      </c>
      <c r="D503" s="399" t="s">
        <v>533</v>
      </c>
      <c r="E503" s="399" t="s">
        <v>2354</v>
      </c>
      <c r="F503" s="399" t="s">
        <v>1239</v>
      </c>
      <c r="G503" s="399" t="s">
        <v>1239</v>
      </c>
      <c r="H503" s="399" t="s">
        <v>1239</v>
      </c>
      <c r="I503" s="399" t="s">
        <v>2326</v>
      </c>
      <c r="J503" s="399" t="s">
        <v>2344</v>
      </c>
      <c r="K503" s="791">
        <v>44743</v>
      </c>
      <c r="L503" s="399">
        <v>0</v>
      </c>
      <c r="M503" s="399">
        <v>0</v>
      </c>
      <c r="N503" s="399">
        <v>7.1269999999999998</v>
      </c>
      <c r="O503" s="399">
        <v>7.1269999999999998</v>
      </c>
      <c r="P503" s="399">
        <v>7.1269999999999998</v>
      </c>
      <c r="Q503" s="399">
        <v>7.1269999999999998</v>
      </c>
      <c r="R503" s="399"/>
      <c r="S503" s="399">
        <v>78.42</v>
      </c>
      <c r="T503" s="399">
        <v>171.61</v>
      </c>
      <c r="U503" s="399"/>
      <c r="V503" s="399">
        <v>1781.96381</v>
      </c>
      <c r="W503" s="399">
        <v>1781.96381</v>
      </c>
      <c r="X503" s="399">
        <v>1888.9400800000001</v>
      </c>
      <c r="Y503" s="399">
        <v>0</v>
      </c>
      <c r="Z503" s="399">
        <v>374.86487982242829</v>
      </c>
      <c r="AA503" s="399">
        <v>0</v>
      </c>
      <c r="AB503" s="399">
        <v>0</v>
      </c>
      <c r="AC503" s="399">
        <v>0</v>
      </c>
      <c r="AD503" s="399">
        <v>0</v>
      </c>
      <c r="AE503" s="399">
        <v>0</v>
      </c>
      <c r="AF503" s="399">
        <v>1178.6221208302297</v>
      </c>
      <c r="AG503" s="399">
        <v>44.439388958673064</v>
      </c>
      <c r="AH503" s="399">
        <v>0</v>
      </c>
      <c r="AI503" s="399">
        <v>0</v>
      </c>
      <c r="AJ503" s="399">
        <v>0</v>
      </c>
      <c r="AK503" s="399">
        <v>0</v>
      </c>
      <c r="AL503" s="399">
        <v>66.623985510604854</v>
      </c>
      <c r="AM503" s="399"/>
      <c r="AN503" s="399">
        <v>1.8819590043817058</v>
      </c>
      <c r="AO503" s="399">
        <v>0</v>
      </c>
      <c r="AP503" s="399">
        <v>0</v>
      </c>
      <c r="AQ503" s="399">
        <v>0</v>
      </c>
      <c r="AR503" s="399">
        <v>0</v>
      </c>
      <c r="AS503" s="399">
        <v>0</v>
      </c>
      <c r="AT503" s="399">
        <v>0</v>
      </c>
      <c r="AU503" s="399">
        <v>0</v>
      </c>
      <c r="AV503" s="399">
        <v>0</v>
      </c>
      <c r="AW503" s="399">
        <v>0</v>
      </c>
      <c r="AX503" s="399">
        <v>0</v>
      </c>
      <c r="AY503" s="399">
        <v>0</v>
      </c>
      <c r="AZ503" s="399">
        <v>0</v>
      </c>
      <c r="BA503" s="399"/>
      <c r="BB503" s="399">
        <v>0</v>
      </c>
      <c r="BC503" s="399">
        <v>0</v>
      </c>
      <c r="BD503" s="399">
        <v>0</v>
      </c>
      <c r="BE503" s="399">
        <v>0</v>
      </c>
      <c r="BF503" s="399">
        <v>0</v>
      </c>
      <c r="BG503" s="399">
        <v>44.054045028984156</v>
      </c>
      <c r="BH503" s="399">
        <v>0</v>
      </c>
      <c r="BI503" s="399">
        <v>0</v>
      </c>
      <c r="BJ503" s="399">
        <v>0</v>
      </c>
      <c r="BK503" s="399">
        <v>0</v>
      </c>
      <c r="BL503" s="399">
        <v>0</v>
      </c>
      <c r="BM503" s="399"/>
      <c r="BN503" s="399"/>
      <c r="BO503" s="399"/>
      <c r="BP503" s="399"/>
      <c r="BQ503" s="399"/>
      <c r="BR503" s="399"/>
      <c r="BS503" s="399"/>
      <c r="BT503" s="399"/>
      <c r="BU503" s="399"/>
      <c r="BV503" s="399">
        <v>1222.6761658592138</v>
      </c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>
        <v>1889.7352000000001</v>
      </c>
      <c r="CJ503" s="399">
        <v>107.74139000000014</v>
      </c>
      <c r="CK503" s="399"/>
      <c r="CL503" s="399"/>
      <c r="CM503" s="399"/>
      <c r="CN503" s="399"/>
      <c r="CO503" s="399">
        <v>-53.452500000000001</v>
      </c>
      <c r="CP503" s="399">
        <v>160.42876999999993</v>
      </c>
      <c r="CQ503" s="399">
        <v>31</v>
      </c>
      <c r="CR503" s="399">
        <v>107.00345325012313</v>
      </c>
      <c r="CS503" s="399">
        <v>0</v>
      </c>
      <c r="CT503" s="399">
        <v>0</v>
      </c>
      <c r="CU503" s="399">
        <v>0</v>
      </c>
      <c r="CV503" s="399">
        <v>0</v>
      </c>
      <c r="CW503" s="399">
        <v>0</v>
      </c>
      <c r="CX503" s="399">
        <v>0</v>
      </c>
      <c r="CY503" s="399">
        <v>0</v>
      </c>
      <c r="CZ503" s="399">
        <v>0</v>
      </c>
      <c r="DA503" s="399">
        <v>0</v>
      </c>
      <c r="DB503" s="399">
        <v>0</v>
      </c>
      <c r="DC503" s="399">
        <v>160.46687557772862</v>
      </c>
      <c r="DD503" s="399">
        <v>0</v>
      </c>
      <c r="DE503" s="399">
        <v>0</v>
      </c>
      <c r="DF503" s="399">
        <v>0</v>
      </c>
      <c r="DG503" s="399">
        <v>5.9978638084459774</v>
      </c>
      <c r="DH503" s="399">
        <v>0</v>
      </c>
      <c r="DI503" s="399">
        <v>-51.488723442881053</v>
      </c>
      <c r="DJ503" s="399"/>
      <c r="DK503" s="399">
        <v>0</v>
      </c>
      <c r="DL503" s="399">
        <v>0</v>
      </c>
      <c r="DM503" s="399">
        <v>0</v>
      </c>
      <c r="DN503" s="399">
        <v>0</v>
      </c>
      <c r="DO503" s="399">
        <v>-7.6779886878770327</v>
      </c>
      <c r="DP503" s="399">
        <v>-0.29457400529337319</v>
      </c>
      <c r="DQ503" s="399">
        <v>0</v>
      </c>
      <c r="DR503" s="399">
        <v>0</v>
      </c>
      <c r="DS503" s="399"/>
      <c r="DT503" s="399"/>
      <c r="DU503" s="399"/>
      <c r="DV503" s="399">
        <v>0</v>
      </c>
      <c r="DW503" s="399">
        <v>0</v>
      </c>
      <c r="DX503" s="399">
        <v>0</v>
      </c>
      <c r="DY503" s="399">
        <v>-53.45249999999993</v>
      </c>
      <c r="DZ503" s="399">
        <v>160.42876999999999</v>
      </c>
      <c r="EA503" s="399">
        <v>0</v>
      </c>
      <c r="EB503" s="399">
        <v>0</v>
      </c>
      <c r="EC503" s="399">
        <v>0</v>
      </c>
      <c r="ED503" s="399">
        <v>0</v>
      </c>
      <c r="EE503" s="399">
        <v>0</v>
      </c>
      <c r="EF503" s="399">
        <v>0</v>
      </c>
      <c r="EG503" s="399">
        <v>0</v>
      </c>
      <c r="EH503" s="399">
        <v>0</v>
      </c>
      <c r="EI503" s="399">
        <v>0</v>
      </c>
      <c r="EJ503" s="399">
        <v>0</v>
      </c>
      <c r="EK503" s="399">
        <v>0</v>
      </c>
      <c r="EL503" s="399">
        <v>0</v>
      </c>
      <c r="EM503" s="399">
        <v>0</v>
      </c>
      <c r="EN503" s="399">
        <v>0</v>
      </c>
      <c r="EO503" s="399">
        <v>0</v>
      </c>
      <c r="EP503" s="399">
        <v>71.485428106191833</v>
      </c>
      <c r="EQ503" s="399">
        <v>0</v>
      </c>
      <c r="ER503" s="399">
        <v>0</v>
      </c>
      <c r="ES503" s="399">
        <v>0</v>
      </c>
      <c r="ET503" s="399">
        <v>0</v>
      </c>
      <c r="EU503" s="399">
        <v>0</v>
      </c>
      <c r="EV503" s="399">
        <v>215</v>
      </c>
      <c r="EW503" s="399">
        <v>0</v>
      </c>
      <c r="EX503" s="399">
        <v>0</v>
      </c>
      <c r="EY503" s="399">
        <v>0</v>
      </c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508</v>
      </c>
      <c r="B504" s="399" t="s">
        <v>956</v>
      </c>
      <c r="C504" s="399" t="s">
        <v>2352</v>
      </c>
      <c r="D504" s="399" t="s">
        <v>533</v>
      </c>
      <c r="E504" s="399" t="s">
        <v>2354</v>
      </c>
      <c r="F504" s="399" t="s">
        <v>1239</v>
      </c>
      <c r="G504" s="399" t="s">
        <v>1239</v>
      </c>
      <c r="H504" s="399" t="s">
        <v>1239</v>
      </c>
      <c r="I504" s="399" t="s">
        <v>1239</v>
      </c>
      <c r="J504" s="399" t="s">
        <v>2344</v>
      </c>
      <c r="K504" s="791">
        <v>44743</v>
      </c>
      <c r="L504" s="399">
        <v>155</v>
      </c>
      <c r="M504" s="399">
        <v>155</v>
      </c>
      <c r="N504" s="399">
        <v>0</v>
      </c>
      <c r="O504" s="399">
        <v>0</v>
      </c>
      <c r="P504" s="399">
        <v>0</v>
      </c>
      <c r="Q504" s="399">
        <v>0</v>
      </c>
      <c r="R504" s="399">
        <v>12.58</v>
      </c>
      <c r="S504" s="399"/>
      <c r="T504" s="399"/>
      <c r="U504" s="399">
        <v>1949.9</v>
      </c>
      <c r="V504" s="399"/>
      <c r="W504" s="399">
        <v>1949.9</v>
      </c>
      <c r="X504" s="399">
        <v>1796.45</v>
      </c>
      <c r="Y504" s="399">
        <v>0</v>
      </c>
      <c r="Z504" s="399">
        <v>0</v>
      </c>
      <c r="AA504" s="399">
        <v>0</v>
      </c>
      <c r="AB504" s="399">
        <v>0</v>
      </c>
      <c r="AC504" s="399">
        <v>0</v>
      </c>
      <c r="AD504" s="399">
        <v>1027.2531104861855</v>
      </c>
      <c r="AE504" s="399">
        <v>922.20489893827255</v>
      </c>
      <c r="AF504" s="399"/>
      <c r="AG504" s="399"/>
      <c r="AH504" s="399"/>
      <c r="AI504" s="399">
        <v>0</v>
      </c>
      <c r="AJ504" s="399">
        <v>0</v>
      </c>
      <c r="AK504" s="399">
        <v>0</v>
      </c>
      <c r="AL504" s="399">
        <v>0</v>
      </c>
      <c r="AM504" s="399"/>
      <c r="AN504" s="399">
        <v>0</v>
      </c>
      <c r="AO504" s="399">
        <v>0</v>
      </c>
      <c r="AP504" s="399">
        <v>0</v>
      </c>
      <c r="AQ504" s="399">
        <v>0</v>
      </c>
      <c r="AR504" s="399">
        <v>0</v>
      </c>
      <c r="AS504" s="399"/>
      <c r="AT504" s="399"/>
      <c r="AU504" s="399">
        <v>0</v>
      </c>
      <c r="AV504" s="399">
        <v>0</v>
      </c>
      <c r="AW504" s="399">
        <v>0</v>
      </c>
      <c r="AX504" s="399"/>
      <c r="AY504" s="399"/>
      <c r="AZ504" s="399">
        <v>0</v>
      </c>
      <c r="BA504" s="399"/>
      <c r="BB504" s="399">
        <v>0</v>
      </c>
      <c r="BC504" s="399">
        <v>0</v>
      </c>
      <c r="BD504" s="399">
        <v>0</v>
      </c>
      <c r="BE504" s="399">
        <v>0</v>
      </c>
      <c r="BF504" s="399"/>
      <c r="BG504" s="399">
        <v>0</v>
      </c>
      <c r="BH504" s="399">
        <v>0</v>
      </c>
      <c r="BI504" s="399">
        <v>0</v>
      </c>
      <c r="BJ504" s="399">
        <v>0</v>
      </c>
      <c r="BK504" s="399">
        <v>376.15</v>
      </c>
      <c r="BL504" s="399">
        <v>3</v>
      </c>
      <c r="BM504" s="399"/>
      <c r="BN504" s="399"/>
      <c r="BO504" s="399"/>
      <c r="BP504" s="399"/>
      <c r="BQ504" s="399"/>
      <c r="BR504" s="399"/>
      <c r="BS504" s="399"/>
      <c r="BT504" s="399"/>
      <c r="BU504" s="399"/>
      <c r="BV504" s="399">
        <v>0</v>
      </c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>
        <v>1796.45</v>
      </c>
      <c r="CJ504" s="399">
        <v>-153.48000000000002</v>
      </c>
      <c r="CK504" s="399"/>
      <c r="CL504" s="399"/>
      <c r="CM504" s="399"/>
      <c r="CN504" s="399"/>
      <c r="CO504" s="399">
        <v>-153.45000000000005</v>
      </c>
      <c r="CP504" s="399">
        <v>0</v>
      </c>
      <c r="CQ504" s="399">
        <v>31</v>
      </c>
      <c r="CR504" s="399">
        <v>46.259904194573437</v>
      </c>
      <c r="CS504" s="399">
        <v>0</v>
      </c>
      <c r="CT504" s="399">
        <v>0</v>
      </c>
      <c r="CU504" s="399">
        <v>0</v>
      </c>
      <c r="CV504" s="399">
        <v>0</v>
      </c>
      <c r="CW504" s="399"/>
      <c r="CX504" s="399"/>
      <c r="CY504" s="399"/>
      <c r="CZ504" s="399">
        <v>46.259904194573437</v>
      </c>
      <c r="DA504" s="399">
        <v>0</v>
      </c>
      <c r="DB504" s="399">
        <v>0</v>
      </c>
      <c r="DC504" s="399"/>
      <c r="DD504" s="399"/>
      <c r="DE504" s="399">
        <v>0</v>
      </c>
      <c r="DF504" s="399">
        <v>0</v>
      </c>
      <c r="DG504" s="399">
        <v>0</v>
      </c>
      <c r="DH504" s="399">
        <v>0</v>
      </c>
      <c r="DI504" s="399">
        <v>0</v>
      </c>
      <c r="DJ504" s="399"/>
      <c r="DK504" s="399">
        <v>0</v>
      </c>
      <c r="DL504" s="399">
        <v>0</v>
      </c>
      <c r="DM504" s="399"/>
      <c r="DN504" s="399">
        <v>0</v>
      </c>
      <c r="DO504" s="399">
        <v>0</v>
      </c>
      <c r="DP504" s="399">
        <v>0</v>
      </c>
      <c r="DQ504" s="399">
        <v>0</v>
      </c>
      <c r="DR504" s="399">
        <v>0</v>
      </c>
      <c r="DS504" s="399"/>
      <c r="DT504" s="399"/>
      <c r="DU504" s="399">
        <v>922.20489893827255</v>
      </c>
      <c r="DV504" s="399"/>
      <c r="DW504" s="399">
        <v>0</v>
      </c>
      <c r="DX504" s="399">
        <v>0</v>
      </c>
      <c r="DY504" s="399">
        <v>-153.45000000000005</v>
      </c>
      <c r="DZ504" s="399"/>
      <c r="EA504" s="399">
        <v>0</v>
      </c>
      <c r="EB504" s="399"/>
      <c r="EC504" s="399">
        <v>-199.37572331863748</v>
      </c>
      <c r="ED504" s="399"/>
      <c r="EE504" s="399">
        <v>0</v>
      </c>
      <c r="EF504" s="399">
        <v>0</v>
      </c>
      <c r="EG504" s="399"/>
      <c r="EH504" s="399">
        <v>0</v>
      </c>
      <c r="EI504" s="399">
        <v>0</v>
      </c>
      <c r="EJ504" s="399">
        <v>0</v>
      </c>
      <c r="EK504" s="399">
        <v>0</v>
      </c>
      <c r="EL504" s="399">
        <v>0</v>
      </c>
      <c r="EM504" s="399"/>
      <c r="EN504" s="399"/>
      <c r="EO504" s="399">
        <v>0</v>
      </c>
      <c r="EP504" s="399">
        <v>0</v>
      </c>
      <c r="EQ504" s="399"/>
      <c r="ER504" s="399">
        <v>0</v>
      </c>
      <c r="ES504" s="399"/>
      <c r="ET504" s="399">
        <v>0</v>
      </c>
      <c r="EU504" s="399"/>
      <c r="EV504" s="399">
        <v>215</v>
      </c>
      <c r="EW504" s="399"/>
      <c r="EX504" s="399"/>
      <c r="EY504" s="399"/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509</v>
      </c>
      <c r="B505" s="399" t="s">
        <v>956</v>
      </c>
      <c r="C505" s="399" t="s">
        <v>2343</v>
      </c>
      <c r="D505" s="399" t="s">
        <v>2355</v>
      </c>
      <c r="E505" s="399" t="s">
        <v>2356</v>
      </c>
      <c r="F505" s="399" t="s">
        <v>2357</v>
      </c>
      <c r="G505" s="399" t="s">
        <v>1239</v>
      </c>
      <c r="H505" s="399" t="s">
        <v>1239</v>
      </c>
      <c r="I505" s="399" t="s">
        <v>1239</v>
      </c>
      <c r="J505" s="399" t="s">
        <v>2344</v>
      </c>
      <c r="K505" s="791">
        <v>44743</v>
      </c>
      <c r="L505" s="399">
        <v>0</v>
      </c>
      <c r="M505" s="399">
        <v>0</v>
      </c>
      <c r="N505" s="399">
        <v>105.77200000000001</v>
      </c>
      <c r="O505" s="399">
        <v>105.77200000000001</v>
      </c>
      <c r="P505" s="399">
        <v>105.77200000000001</v>
      </c>
      <c r="Q505" s="399">
        <v>105.77200000000001</v>
      </c>
      <c r="R505" s="399"/>
      <c r="S505" s="399">
        <v>131.83000000000001</v>
      </c>
      <c r="T505" s="399">
        <v>94.39</v>
      </c>
      <c r="U505" s="399"/>
      <c r="V505" s="399">
        <v>23927.741840000002</v>
      </c>
      <c r="W505" s="399">
        <v>23927.741840000002</v>
      </c>
      <c r="X505" s="399">
        <v>23839.951079999999</v>
      </c>
      <c r="Y505" s="399">
        <v>0</v>
      </c>
      <c r="Z505" s="399">
        <v>3517.0792046625147</v>
      </c>
      <c r="AA505" s="399">
        <v>0</v>
      </c>
      <c r="AB505" s="399">
        <v>0</v>
      </c>
      <c r="AC505" s="399">
        <v>0</v>
      </c>
      <c r="AD505" s="399">
        <v>3102.8000600208202</v>
      </c>
      <c r="AE505" s="399">
        <v>5155.1262535818869</v>
      </c>
      <c r="AF505" s="399">
        <v>9620.5795468570723</v>
      </c>
      <c r="AG505" s="399">
        <v>362.73939622775691</v>
      </c>
      <c r="AH505" s="399">
        <v>0</v>
      </c>
      <c r="AI505" s="399">
        <v>0</v>
      </c>
      <c r="AJ505" s="399">
        <v>0</v>
      </c>
      <c r="AK505" s="399">
        <v>0</v>
      </c>
      <c r="AL505" s="399">
        <v>543.8226052315465</v>
      </c>
      <c r="AM505" s="399"/>
      <c r="AN505" s="399">
        <v>23.040146109699698</v>
      </c>
      <c r="AO505" s="399">
        <v>0</v>
      </c>
      <c r="AP505" s="399">
        <v>0</v>
      </c>
      <c r="AQ505" s="399">
        <v>0</v>
      </c>
      <c r="AR505" s="399">
        <v>0</v>
      </c>
      <c r="AS505" s="399">
        <v>0</v>
      </c>
      <c r="AT505" s="399">
        <v>0</v>
      </c>
      <c r="AU505" s="399">
        <v>0</v>
      </c>
      <c r="AV505" s="399">
        <v>0</v>
      </c>
      <c r="AW505" s="399">
        <v>0</v>
      </c>
      <c r="AX505" s="399">
        <v>0</v>
      </c>
      <c r="AY505" s="399">
        <v>0</v>
      </c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>
        <v>0</v>
      </c>
      <c r="BG505" s="399">
        <v>931.37028031010368</v>
      </c>
      <c r="BH505" s="399">
        <v>0</v>
      </c>
      <c r="BI505" s="399">
        <v>0</v>
      </c>
      <c r="BJ505" s="399">
        <v>0</v>
      </c>
      <c r="BK505" s="399">
        <v>4882.88</v>
      </c>
      <c r="BL505" s="399">
        <v>7</v>
      </c>
      <c r="BM505" s="399"/>
      <c r="BN505" s="399"/>
      <c r="BO505" s="399"/>
      <c r="BP505" s="399"/>
      <c r="BQ505" s="399"/>
      <c r="BR505" s="399"/>
      <c r="BS505" s="399"/>
      <c r="BT505" s="399"/>
      <c r="BU505" s="399"/>
      <c r="BV505" s="399">
        <v>10551.949827167176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23839.5003</v>
      </c>
      <c r="CJ505" s="399">
        <v>-88.271540000001551</v>
      </c>
      <c r="CK505" s="399"/>
      <c r="CL505" s="399"/>
      <c r="CM505" s="399"/>
      <c r="CN505" s="399"/>
      <c r="CO505" s="399">
        <v>-1397.2481200000009</v>
      </c>
      <c r="CP505" s="399">
        <v>1309.4573599999997</v>
      </c>
      <c r="CQ505" s="399">
        <v>31</v>
      </c>
      <c r="CR505" s="399">
        <v>1026.993627041109</v>
      </c>
      <c r="CS505" s="399">
        <v>0</v>
      </c>
      <c r="CT505" s="399">
        <v>0</v>
      </c>
      <c r="CU505" s="399">
        <v>0</v>
      </c>
      <c r="CV505" s="399">
        <v>0</v>
      </c>
      <c r="CW505" s="399">
        <v>0</v>
      </c>
      <c r="CX505" s="399">
        <v>0</v>
      </c>
      <c r="CY505" s="399">
        <v>0</v>
      </c>
      <c r="CZ505" s="399">
        <v>139.72723182463278</v>
      </c>
      <c r="DA505" s="399">
        <v>0</v>
      </c>
      <c r="DB505" s="399">
        <v>0</v>
      </c>
      <c r="DC505" s="399">
        <v>1309.8212852510478</v>
      </c>
      <c r="DD505" s="399">
        <v>0</v>
      </c>
      <c r="DE505" s="399">
        <v>0</v>
      </c>
      <c r="DF505" s="399">
        <v>0</v>
      </c>
      <c r="DG505" s="399">
        <v>126.80406743260596</v>
      </c>
      <c r="DH505" s="399">
        <v>0</v>
      </c>
      <c r="DI505" s="399">
        <v>-483.08051312077941</v>
      </c>
      <c r="DJ505" s="399"/>
      <c r="DK505" s="399">
        <v>0</v>
      </c>
      <c r="DL505" s="399">
        <v>0</v>
      </c>
      <c r="DM505" s="399">
        <v>0</v>
      </c>
      <c r="DN505" s="399">
        <v>0</v>
      </c>
      <c r="DO505" s="399">
        <v>-62.672080920691883</v>
      </c>
      <c r="DP505" s="399">
        <v>-3.6063634257051582</v>
      </c>
      <c r="DQ505" s="399">
        <v>0</v>
      </c>
      <c r="DR505" s="399">
        <v>0</v>
      </c>
      <c r="DS505" s="399"/>
      <c r="DT505" s="399"/>
      <c r="DU505" s="399"/>
      <c r="DV505" s="399">
        <v>5155.1262535818869</v>
      </c>
      <c r="DW505" s="399">
        <v>0</v>
      </c>
      <c r="DX505" s="399">
        <v>0</v>
      </c>
      <c r="DY505" s="399">
        <v>-1397.2481200000002</v>
      </c>
      <c r="DZ505" s="399">
        <v>1309.4573599999985</v>
      </c>
      <c r="EA505" s="399">
        <v>0</v>
      </c>
      <c r="EB505" s="399">
        <v>0</v>
      </c>
      <c r="EC505" s="399">
        <v>-1114.5104811198544</v>
      </c>
      <c r="ED505" s="399">
        <v>0</v>
      </c>
      <c r="EE505" s="399">
        <v>0</v>
      </c>
      <c r="EF505" s="399">
        <v>0</v>
      </c>
      <c r="EG505" s="399">
        <v>0</v>
      </c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>
        <v>0</v>
      </c>
      <c r="EN505" s="399">
        <v>0</v>
      </c>
      <c r="EO505" s="399">
        <v>0</v>
      </c>
      <c r="EP505" s="399">
        <v>670.69476539861648</v>
      </c>
      <c r="EQ505" s="399">
        <v>0</v>
      </c>
      <c r="ER505" s="399">
        <v>0</v>
      </c>
      <c r="ES505" s="399">
        <v>0</v>
      </c>
      <c r="ET505" s="399">
        <v>0</v>
      </c>
      <c r="EU505" s="399">
        <v>0</v>
      </c>
      <c r="EV505" s="399">
        <v>215</v>
      </c>
      <c r="EW505" s="399">
        <v>0</v>
      </c>
      <c r="EX505" s="399">
        <v>0</v>
      </c>
      <c r="EY505" s="399">
        <v>0</v>
      </c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399">
        <v>510</v>
      </c>
      <c r="B506" s="399" t="s">
        <v>956</v>
      </c>
      <c r="C506" s="399" t="s">
        <v>2343</v>
      </c>
      <c r="D506" s="399" t="s">
        <v>1826</v>
      </c>
      <c r="E506" s="399" t="s">
        <v>921</v>
      </c>
      <c r="F506" s="399" t="s">
        <v>2358</v>
      </c>
      <c r="G506" s="399" t="s">
        <v>1239</v>
      </c>
      <c r="H506" s="399" t="s">
        <v>1239</v>
      </c>
      <c r="I506" s="399" t="s">
        <v>1239</v>
      </c>
      <c r="J506" s="399" t="s">
        <v>2344</v>
      </c>
      <c r="K506" s="791">
        <v>44743</v>
      </c>
      <c r="L506" s="399">
        <v>0</v>
      </c>
      <c r="M506" s="399">
        <v>0</v>
      </c>
      <c r="N506" s="399">
        <v>32.04</v>
      </c>
      <c r="O506" s="399">
        <v>30.117599999999999</v>
      </c>
      <c r="P506" s="399">
        <v>32.04</v>
      </c>
      <c r="Q506" s="399">
        <v>30.117599999999999</v>
      </c>
      <c r="R506" s="399"/>
      <c r="S506" s="399">
        <v>239.69</v>
      </c>
      <c r="T506" s="399">
        <v>171.61</v>
      </c>
      <c r="U506" s="399"/>
      <c r="V506" s="399">
        <v>13178.052</v>
      </c>
      <c r="W506" s="399">
        <v>13178.052</v>
      </c>
      <c r="X506" s="399">
        <v>13129.6716</v>
      </c>
      <c r="Y506" s="399">
        <v>0</v>
      </c>
      <c r="Z506" s="399">
        <v>1937.0518700152093</v>
      </c>
      <c r="AA506" s="399">
        <v>0</v>
      </c>
      <c r="AB506" s="399">
        <v>0</v>
      </c>
      <c r="AC506" s="399">
        <v>0</v>
      </c>
      <c r="AD506" s="399">
        <v>1708.8852166249026</v>
      </c>
      <c r="AE506" s="399">
        <v>2839.2158289831609</v>
      </c>
      <c r="AF506" s="399">
        <v>5298.5902555634293</v>
      </c>
      <c r="AG506" s="399">
        <v>199.78083657020974</v>
      </c>
      <c r="AH506" s="399">
        <v>0</v>
      </c>
      <c r="AI506" s="399">
        <v>0</v>
      </c>
      <c r="AJ506" s="399">
        <v>0</v>
      </c>
      <c r="AK506" s="399">
        <v>0</v>
      </c>
      <c r="AL506" s="399">
        <v>299.51346930823343</v>
      </c>
      <c r="AM506" s="399"/>
      <c r="AN506" s="399">
        <v>12.689494751227818</v>
      </c>
      <c r="AO506" s="399">
        <v>0</v>
      </c>
      <c r="AP506" s="399">
        <v>0</v>
      </c>
      <c r="AQ506" s="399">
        <v>0</v>
      </c>
      <c r="AR506" s="399">
        <v>0</v>
      </c>
      <c r="AS506" s="399">
        <v>0</v>
      </c>
      <c r="AT506" s="399">
        <v>0</v>
      </c>
      <c r="AU506" s="399">
        <v>0</v>
      </c>
      <c r="AV506" s="399">
        <v>0</v>
      </c>
      <c r="AW506" s="399">
        <v>0</v>
      </c>
      <c r="AX506" s="399">
        <v>0</v>
      </c>
      <c r="AY506" s="399">
        <v>0</v>
      </c>
      <c r="AZ506" s="399">
        <v>0</v>
      </c>
      <c r="BA506" s="399"/>
      <c r="BB506" s="399">
        <v>0</v>
      </c>
      <c r="BC506" s="399">
        <v>0</v>
      </c>
      <c r="BD506" s="399">
        <v>0</v>
      </c>
      <c r="BE506" s="399">
        <v>0</v>
      </c>
      <c r="BF506" s="399">
        <v>0</v>
      </c>
      <c r="BG506" s="399">
        <v>512.95761004176688</v>
      </c>
      <c r="BH506" s="399">
        <v>0</v>
      </c>
      <c r="BI506" s="399">
        <v>0</v>
      </c>
      <c r="BJ506" s="399">
        <v>0</v>
      </c>
      <c r="BK506" s="399">
        <v>2689.2</v>
      </c>
      <c r="BL506" s="399">
        <v>40</v>
      </c>
      <c r="BM506" s="399"/>
      <c r="BN506" s="399"/>
      <c r="BO506" s="399"/>
      <c r="BP506" s="399"/>
      <c r="BQ506" s="399">
        <v>787.78029599999991</v>
      </c>
      <c r="BR506" s="399"/>
      <c r="BS506" s="399"/>
      <c r="BT506" s="399"/>
      <c r="BU506" s="399"/>
      <c r="BV506" s="399">
        <v>5811.5478656051964</v>
      </c>
      <c r="BW506" s="399"/>
      <c r="BX506" s="399"/>
      <c r="BY506" s="399"/>
      <c r="BZ506" s="399"/>
      <c r="CA506" s="399"/>
      <c r="CB506" s="399"/>
      <c r="CC506" s="399"/>
      <c r="CD506" s="399"/>
      <c r="CE506" s="399"/>
      <c r="CF506" s="399"/>
      <c r="CG506" s="399"/>
      <c r="CH506" s="399"/>
      <c r="CI506" s="399">
        <v>12342.8748</v>
      </c>
      <c r="CJ506" s="399">
        <v>-44.524080000002868</v>
      </c>
      <c r="CK506" s="399"/>
      <c r="CL506" s="399"/>
      <c r="CM506" s="399"/>
      <c r="CN506" s="399"/>
      <c r="CO506" s="399">
        <v>-769.60080000000028</v>
      </c>
      <c r="CP506" s="399">
        <v>721.2203999999997</v>
      </c>
      <c r="CQ506" s="399">
        <v>31</v>
      </c>
      <c r="CR506" s="399">
        <v>565.62272556058451</v>
      </c>
      <c r="CS506" s="399">
        <v>0</v>
      </c>
      <c r="CT506" s="399">
        <v>0</v>
      </c>
      <c r="CU506" s="399">
        <v>0</v>
      </c>
      <c r="CV506" s="399">
        <v>0</v>
      </c>
      <c r="CW506" s="399">
        <v>0</v>
      </c>
      <c r="CX506" s="399">
        <v>0</v>
      </c>
      <c r="CY506" s="399">
        <v>0</v>
      </c>
      <c r="CZ506" s="399">
        <v>76.955587277975837</v>
      </c>
      <c r="DA506" s="399">
        <v>0</v>
      </c>
      <c r="DB506" s="399">
        <v>0</v>
      </c>
      <c r="DC506" s="399">
        <v>721.39170668028964</v>
      </c>
      <c r="DD506" s="399">
        <v>0</v>
      </c>
      <c r="DE506" s="399">
        <v>0</v>
      </c>
      <c r="DF506" s="399">
        <v>0</v>
      </c>
      <c r="DG506" s="399">
        <v>69.838079170989204</v>
      </c>
      <c r="DH506" s="399">
        <v>0</v>
      </c>
      <c r="DI506" s="399">
        <v>-266.05940806451167</v>
      </c>
      <c r="DJ506" s="399"/>
      <c r="DK506" s="399">
        <v>0</v>
      </c>
      <c r="DL506" s="399">
        <v>0</v>
      </c>
      <c r="DM506" s="399">
        <v>0</v>
      </c>
      <c r="DN506" s="399">
        <v>0</v>
      </c>
      <c r="DO506" s="399">
        <v>-34.51701382904173</v>
      </c>
      <c r="DP506" s="399">
        <v>-1.986225675115838</v>
      </c>
      <c r="DQ506" s="399">
        <v>0</v>
      </c>
      <c r="DR506" s="399">
        <v>0</v>
      </c>
      <c r="DS506" s="399"/>
      <c r="DT506" s="399"/>
      <c r="DU506" s="399"/>
      <c r="DV506" s="399">
        <v>2839.2158289831609</v>
      </c>
      <c r="DW506" s="399">
        <v>0</v>
      </c>
      <c r="DX506" s="399">
        <v>0</v>
      </c>
      <c r="DY506" s="399">
        <v>-769.60080000000016</v>
      </c>
      <c r="DZ506" s="399">
        <v>721.22040000000015</v>
      </c>
      <c r="EA506" s="399">
        <v>0</v>
      </c>
      <c r="EB506" s="399">
        <v>0</v>
      </c>
      <c r="EC506" s="399">
        <v>-613.82314300537291</v>
      </c>
      <c r="ED506" s="399">
        <v>0</v>
      </c>
      <c r="EE506" s="399">
        <v>0</v>
      </c>
      <c r="EF506" s="399">
        <v>0</v>
      </c>
      <c r="EG506" s="399">
        <v>0</v>
      </c>
      <c r="EH506" s="399">
        <v>0</v>
      </c>
      <c r="EI506" s="399">
        <v>0</v>
      </c>
      <c r="EJ506" s="399">
        <v>0</v>
      </c>
      <c r="EK506" s="399">
        <v>0</v>
      </c>
      <c r="EL506" s="399">
        <v>0</v>
      </c>
      <c r="EM506" s="399">
        <v>0</v>
      </c>
      <c r="EN506" s="399">
        <v>0</v>
      </c>
      <c r="EO506" s="399">
        <v>0</v>
      </c>
      <c r="EP506" s="399">
        <v>369.38905094958517</v>
      </c>
      <c r="EQ506" s="399">
        <v>0</v>
      </c>
      <c r="ER506" s="399">
        <v>0</v>
      </c>
      <c r="ES506" s="399">
        <v>0</v>
      </c>
      <c r="ET506" s="399">
        <v>0</v>
      </c>
      <c r="EU506" s="399">
        <v>0</v>
      </c>
      <c r="EV506" s="399">
        <v>215</v>
      </c>
      <c r="EW506" s="399">
        <v>0</v>
      </c>
      <c r="EX506" s="399">
        <v>0</v>
      </c>
      <c r="EY506" s="399">
        <v>0</v>
      </c>
      <c r="EZ506" s="399"/>
      <c r="FA506" s="399">
        <v>0</v>
      </c>
      <c r="FB506" s="399"/>
      <c r="FC506" s="399"/>
      <c r="FD506" s="399"/>
      <c r="FE506" s="399"/>
      <c r="FF506" s="399">
        <v>0</v>
      </c>
      <c r="FG506" s="399">
        <v>0</v>
      </c>
      <c r="FH506" s="399">
        <v>0</v>
      </c>
      <c r="FI506" s="399">
        <v>0</v>
      </c>
    </row>
    <row r="507" spans="1:165">
      <c r="A507" s="399">
        <v>511</v>
      </c>
      <c r="B507" s="399" t="s">
        <v>956</v>
      </c>
      <c r="C507" s="399" t="s">
        <v>2343</v>
      </c>
      <c r="D507" s="399" t="s">
        <v>1826</v>
      </c>
      <c r="E507" s="399" t="s">
        <v>2359</v>
      </c>
      <c r="F507" s="399" t="s">
        <v>1239</v>
      </c>
      <c r="G507" s="399" t="s">
        <v>1239</v>
      </c>
      <c r="H507" s="399" t="s">
        <v>1239</v>
      </c>
      <c r="I507" s="399" t="s">
        <v>1239</v>
      </c>
      <c r="J507" s="399" t="s">
        <v>2344</v>
      </c>
      <c r="K507" s="791">
        <v>44743</v>
      </c>
      <c r="L507" s="399">
        <v>0</v>
      </c>
      <c r="M507" s="399">
        <v>0</v>
      </c>
      <c r="N507" s="399">
        <v>9.8490000000000002</v>
      </c>
      <c r="O507" s="399">
        <v>9.8490000000000002</v>
      </c>
      <c r="P507" s="399">
        <v>9.8490000000000002</v>
      </c>
      <c r="Q507" s="399">
        <v>9.8490000000000002</v>
      </c>
      <c r="R507" s="399"/>
      <c r="S507" s="399">
        <v>239.69</v>
      </c>
      <c r="T507" s="399">
        <v>171.61</v>
      </c>
      <c r="U507" s="399"/>
      <c r="V507" s="399">
        <v>4050.8937000000005</v>
      </c>
      <c r="W507" s="399">
        <v>4050.8937000000005</v>
      </c>
      <c r="X507" s="399">
        <v>4036.02171</v>
      </c>
      <c r="Y507" s="399">
        <v>0</v>
      </c>
      <c r="Z507" s="399">
        <v>595.44394094194115</v>
      </c>
      <c r="AA507" s="399">
        <v>0</v>
      </c>
      <c r="AB507" s="399">
        <v>0</v>
      </c>
      <c r="AC507" s="399">
        <v>0</v>
      </c>
      <c r="AD507" s="399">
        <v>525.30619533516438</v>
      </c>
      <c r="AE507" s="399">
        <v>872.76643881570396</v>
      </c>
      <c r="AF507" s="399">
        <v>1628.7707686343388</v>
      </c>
      <c r="AG507" s="399">
        <v>61.412030567415606</v>
      </c>
      <c r="AH507" s="399">
        <v>0</v>
      </c>
      <c r="AI507" s="399">
        <v>0</v>
      </c>
      <c r="AJ507" s="399">
        <v>0</v>
      </c>
      <c r="AK507" s="399">
        <v>0</v>
      </c>
      <c r="AL507" s="399">
        <v>92.069543046716319</v>
      </c>
      <c r="AM507" s="399"/>
      <c r="AN507" s="399">
        <v>3.9007126655693751</v>
      </c>
      <c r="AO507" s="399">
        <v>0</v>
      </c>
      <c r="AP507" s="399">
        <v>0</v>
      </c>
      <c r="AQ507" s="399">
        <v>0</v>
      </c>
      <c r="AR507" s="399">
        <v>0</v>
      </c>
      <c r="AS507" s="399">
        <v>0</v>
      </c>
      <c r="AT507" s="399">
        <v>0</v>
      </c>
      <c r="AU507" s="399">
        <v>0</v>
      </c>
      <c r="AV507" s="399">
        <v>0</v>
      </c>
      <c r="AW507" s="399">
        <v>0</v>
      </c>
      <c r="AX507" s="399">
        <v>0</v>
      </c>
      <c r="AY507" s="399">
        <v>0</v>
      </c>
      <c r="AZ507" s="399">
        <v>0</v>
      </c>
      <c r="BA507" s="399"/>
      <c r="BB507" s="399">
        <v>0</v>
      </c>
      <c r="BC507" s="399">
        <v>0</v>
      </c>
      <c r="BD507" s="399">
        <v>0</v>
      </c>
      <c r="BE507" s="399">
        <v>0</v>
      </c>
      <c r="BF507" s="399">
        <v>0</v>
      </c>
      <c r="BG507" s="399">
        <v>157.68163237519857</v>
      </c>
      <c r="BH507" s="399">
        <v>0</v>
      </c>
      <c r="BI507" s="399">
        <v>0</v>
      </c>
      <c r="BJ507" s="399">
        <v>0</v>
      </c>
      <c r="BK507" s="399">
        <v>826.66</v>
      </c>
      <c r="BL507" s="399">
        <v>4</v>
      </c>
      <c r="BM507" s="399"/>
      <c r="BN507" s="399"/>
      <c r="BO507" s="399"/>
      <c r="BP507" s="399"/>
      <c r="BQ507" s="399"/>
      <c r="BR507" s="399"/>
      <c r="BS507" s="399"/>
      <c r="BT507" s="399"/>
      <c r="BU507" s="399"/>
      <c r="BV507" s="399">
        <v>1786.4524010095374</v>
      </c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>
        <v>4036.4314999999997</v>
      </c>
      <c r="CJ507" s="399">
        <v>-14.492200000001503</v>
      </c>
      <c r="CK507" s="399"/>
      <c r="CL507" s="399"/>
      <c r="CM507" s="399"/>
      <c r="CN507" s="399"/>
      <c r="CO507" s="399">
        <v>-236.57298000000011</v>
      </c>
      <c r="CP507" s="399">
        <v>221.7009899999999</v>
      </c>
      <c r="CQ507" s="399">
        <v>31</v>
      </c>
      <c r="CR507" s="399">
        <v>173.87073108758432</v>
      </c>
      <c r="CS507" s="399">
        <v>0</v>
      </c>
      <c r="CT507" s="399">
        <v>0</v>
      </c>
      <c r="CU507" s="399">
        <v>0</v>
      </c>
      <c r="CV507" s="399">
        <v>0</v>
      </c>
      <c r="CW507" s="399">
        <v>0</v>
      </c>
      <c r="CX507" s="399">
        <v>0</v>
      </c>
      <c r="CY507" s="399">
        <v>0</v>
      </c>
      <c r="CZ507" s="399">
        <v>23.655916950711116</v>
      </c>
      <c r="DA507" s="399">
        <v>0</v>
      </c>
      <c r="DB507" s="399">
        <v>0</v>
      </c>
      <c r="DC507" s="399">
        <v>221.75364916024273</v>
      </c>
      <c r="DD507" s="399">
        <v>0</v>
      </c>
      <c r="DE507" s="399">
        <v>0</v>
      </c>
      <c r="DF507" s="399">
        <v>0</v>
      </c>
      <c r="DG507" s="399">
        <v>21.468016284490403</v>
      </c>
      <c r="DH507" s="399">
        <v>0</v>
      </c>
      <c r="DI507" s="399">
        <v>-81.785864857283855</v>
      </c>
      <c r="DJ507" s="399"/>
      <c r="DK507" s="399">
        <v>0</v>
      </c>
      <c r="DL507" s="399">
        <v>0</v>
      </c>
      <c r="DM507" s="399">
        <v>0</v>
      </c>
      <c r="DN507" s="399">
        <v>0</v>
      </c>
      <c r="DO507" s="399">
        <v>-10.610426629283126</v>
      </c>
      <c r="DP507" s="399">
        <v>-0.61055982129263064</v>
      </c>
      <c r="DQ507" s="399">
        <v>0</v>
      </c>
      <c r="DR507" s="399">
        <v>0</v>
      </c>
      <c r="DS507" s="399"/>
      <c r="DT507" s="399"/>
      <c r="DU507" s="399"/>
      <c r="DV507" s="399">
        <v>872.76643881570396</v>
      </c>
      <c r="DW507" s="399">
        <v>0</v>
      </c>
      <c r="DX507" s="399">
        <v>0</v>
      </c>
      <c r="DY507" s="399">
        <v>-236.57298000000037</v>
      </c>
      <c r="DZ507" s="399">
        <v>221.70098999999982</v>
      </c>
      <c r="EA507" s="399">
        <v>0</v>
      </c>
      <c r="EB507" s="399">
        <v>0</v>
      </c>
      <c r="EC507" s="399">
        <v>-188.68739498938578</v>
      </c>
      <c r="ED507" s="399">
        <v>0</v>
      </c>
      <c r="EE507" s="399">
        <v>0</v>
      </c>
      <c r="EF507" s="399">
        <v>0</v>
      </c>
      <c r="EG507" s="399">
        <v>0</v>
      </c>
      <c r="EH507" s="399">
        <v>0</v>
      </c>
      <c r="EI507" s="399">
        <v>0</v>
      </c>
      <c r="EJ507" s="399">
        <v>0</v>
      </c>
      <c r="EK507" s="399">
        <v>0</v>
      </c>
      <c r="EL507" s="399">
        <v>0</v>
      </c>
      <c r="EM507" s="399">
        <v>0</v>
      </c>
      <c r="EN507" s="399">
        <v>0</v>
      </c>
      <c r="EO507" s="399">
        <v>0</v>
      </c>
      <c r="EP507" s="399">
        <v>113.54908747822923</v>
      </c>
      <c r="EQ507" s="399">
        <v>0</v>
      </c>
      <c r="ER507" s="399">
        <v>0</v>
      </c>
      <c r="ES507" s="399">
        <v>0</v>
      </c>
      <c r="ET507" s="399">
        <v>0</v>
      </c>
      <c r="EU507" s="399">
        <v>0</v>
      </c>
      <c r="EV507" s="399">
        <v>215</v>
      </c>
      <c r="EW507" s="399">
        <v>0</v>
      </c>
      <c r="EX507" s="399">
        <v>0</v>
      </c>
      <c r="EY507" s="399">
        <v>0</v>
      </c>
      <c r="EZ507" s="399"/>
      <c r="FA507" s="399">
        <v>0</v>
      </c>
      <c r="FB507" s="399"/>
      <c r="FC507" s="399"/>
      <c r="FD507" s="399"/>
      <c r="FE507" s="399"/>
      <c r="FF507" s="399">
        <v>0</v>
      </c>
      <c r="FG507" s="399">
        <v>0</v>
      </c>
      <c r="FH507" s="399">
        <v>0</v>
      </c>
      <c r="FI507" s="399">
        <v>0</v>
      </c>
    </row>
    <row r="508" spans="1:165">
      <c r="A508" s="399">
        <v>512</v>
      </c>
      <c r="B508" s="399" t="s">
        <v>956</v>
      </c>
      <c r="C508" s="399" t="s">
        <v>2343</v>
      </c>
      <c r="D508" s="399" t="s">
        <v>2353</v>
      </c>
      <c r="E508" s="399" t="s">
        <v>894</v>
      </c>
      <c r="F508" s="399" t="s">
        <v>2363</v>
      </c>
      <c r="G508" s="399" t="s">
        <v>2361</v>
      </c>
      <c r="H508" s="399" t="s">
        <v>1239</v>
      </c>
      <c r="I508" s="399" t="s">
        <v>1239</v>
      </c>
      <c r="J508" s="399" t="s">
        <v>2344</v>
      </c>
      <c r="K508" s="791">
        <v>44743</v>
      </c>
      <c r="L508" s="399">
        <v>0</v>
      </c>
      <c r="M508" s="399">
        <v>0</v>
      </c>
      <c r="N508" s="399">
        <v>0</v>
      </c>
      <c r="O508" s="399">
        <v>0</v>
      </c>
      <c r="P508" s="399">
        <v>0</v>
      </c>
      <c r="Q508" s="399">
        <v>0</v>
      </c>
      <c r="R508" s="399"/>
      <c r="S508" s="399"/>
      <c r="T508" s="399"/>
      <c r="U508" s="399"/>
      <c r="V508" s="399"/>
      <c r="W508" s="399"/>
      <c r="X508" s="399"/>
      <c r="Y508" s="399"/>
      <c r="Z508" s="399"/>
      <c r="AA508" s="399">
        <v>0</v>
      </c>
      <c r="AB508" s="399"/>
      <c r="AC508" s="399"/>
      <c r="AD508" s="399"/>
      <c r="AE508" s="399"/>
      <c r="AF508" s="399"/>
      <c r="AG508" s="399"/>
      <c r="AH508" s="399"/>
      <c r="AI508" s="399"/>
      <c r="AJ508" s="399"/>
      <c r="AK508" s="399"/>
      <c r="AL508" s="399"/>
      <c r="AM508" s="399"/>
      <c r="AN508" s="399"/>
      <c r="AO508" s="399"/>
      <c r="AP508" s="399"/>
      <c r="AQ508" s="399"/>
      <c r="AR508" s="399"/>
      <c r="AS508" s="399"/>
      <c r="AT508" s="399"/>
      <c r="AU508" s="399"/>
      <c r="AV508" s="399"/>
      <c r="AW508" s="399"/>
      <c r="AX508" s="399"/>
      <c r="AY508" s="399"/>
      <c r="AZ508" s="399">
        <v>0</v>
      </c>
      <c r="BA508" s="399"/>
      <c r="BB508" s="399"/>
      <c r="BC508" s="399"/>
      <c r="BD508" s="399"/>
      <c r="BE508" s="399"/>
      <c r="BF508" s="399"/>
      <c r="BG508" s="399"/>
      <c r="BH508" s="399"/>
      <c r="BI508" s="399">
        <v>0</v>
      </c>
      <c r="BJ508" s="399">
        <v>0</v>
      </c>
      <c r="BK508" s="399">
        <v>5291.3</v>
      </c>
      <c r="BL508" s="399">
        <v>20</v>
      </c>
      <c r="BM508" s="399"/>
      <c r="BN508" s="399"/>
      <c r="BO508" s="399"/>
      <c r="BP508" s="399"/>
      <c r="BQ508" s="399"/>
      <c r="BR508" s="399"/>
      <c r="BS508" s="399"/>
      <c r="BT508" s="399"/>
      <c r="BU508" s="399"/>
      <c r="BV508" s="399"/>
      <c r="BW508" s="399"/>
      <c r="BX508" s="399"/>
      <c r="BY508" s="399"/>
      <c r="BZ508" s="399"/>
      <c r="CA508" s="399"/>
      <c r="CB508" s="399"/>
      <c r="CC508" s="399"/>
      <c r="CD508" s="399"/>
      <c r="CE508" s="399"/>
      <c r="CF508" s="399"/>
      <c r="CG508" s="399"/>
      <c r="CH508" s="399"/>
      <c r="CI508" s="399"/>
      <c r="CJ508" s="399">
        <v>-0.03</v>
      </c>
      <c r="CK508" s="399"/>
      <c r="CL508" s="399"/>
      <c r="CM508" s="399"/>
      <c r="CN508" s="399"/>
      <c r="CO508" s="399">
        <v>0</v>
      </c>
      <c r="CP508" s="399">
        <v>0</v>
      </c>
      <c r="CQ508" s="399">
        <v>31</v>
      </c>
      <c r="CR508" s="399"/>
      <c r="CS508" s="399"/>
      <c r="CT508" s="399"/>
      <c r="CU508" s="399"/>
      <c r="CV508" s="399"/>
      <c r="CW508" s="399"/>
      <c r="CX508" s="399"/>
      <c r="CY508" s="399"/>
      <c r="CZ508" s="399"/>
      <c r="DA508" s="399"/>
      <c r="DB508" s="399"/>
      <c r="DC508" s="399"/>
      <c r="DD508" s="399"/>
      <c r="DE508" s="399"/>
      <c r="DF508" s="399"/>
      <c r="DG508" s="399"/>
      <c r="DH508" s="399"/>
      <c r="DI508" s="399"/>
      <c r="DJ508" s="399"/>
      <c r="DK508" s="399">
        <v>0</v>
      </c>
      <c r="DL508" s="399"/>
      <c r="DM508" s="399"/>
      <c r="DN508" s="399"/>
      <c r="DO508" s="399"/>
      <c r="DP508" s="399"/>
      <c r="DQ508" s="399"/>
      <c r="DR508" s="399"/>
      <c r="DS508" s="399"/>
      <c r="DT508" s="399"/>
      <c r="DU508" s="399"/>
      <c r="DV508" s="399"/>
      <c r="DW508" s="399"/>
      <c r="DX508" s="399"/>
      <c r="DY508" s="399"/>
      <c r="DZ508" s="399"/>
      <c r="EA508" s="399"/>
      <c r="EB508" s="399"/>
      <c r="EC508" s="399"/>
      <c r="ED508" s="399"/>
      <c r="EE508" s="399"/>
      <c r="EF508" s="399"/>
      <c r="EG508" s="399"/>
      <c r="EH508" s="399"/>
      <c r="EI508" s="399"/>
      <c r="EJ508" s="399"/>
      <c r="EK508" s="399"/>
      <c r="EL508" s="399"/>
      <c r="EM508" s="399"/>
      <c r="EN508" s="399"/>
      <c r="EO508" s="399"/>
      <c r="EP508" s="399"/>
      <c r="EQ508" s="399"/>
      <c r="ER508" s="399"/>
      <c r="ES508" s="399"/>
      <c r="ET508" s="399"/>
      <c r="EU508" s="399"/>
      <c r="EV508" s="399">
        <v>215</v>
      </c>
      <c r="EW508" s="399"/>
      <c r="EX508" s="399"/>
      <c r="EY508" s="399"/>
      <c r="EZ508" s="399"/>
      <c r="FA508" s="399">
        <v>0</v>
      </c>
      <c r="FB508" s="399"/>
      <c r="FC508" s="399"/>
      <c r="FD508" s="399"/>
      <c r="FE508" s="399"/>
      <c r="FF508" s="399">
        <v>0</v>
      </c>
      <c r="FG508" s="399">
        <v>0</v>
      </c>
      <c r="FH508" s="399">
        <v>0</v>
      </c>
      <c r="FI508" s="399">
        <v>0</v>
      </c>
    </row>
    <row r="509" spans="1:165">
      <c r="A509" s="399">
        <v>513</v>
      </c>
      <c r="B509" s="399" t="s">
        <v>2346</v>
      </c>
      <c r="C509" s="399" t="s">
        <v>2343</v>
      </c>
      <c r="D509" s="399" t="s">
        <v>2353</v>
      </c>
      <c r="E509" s="399" t="s">
        <v>894</v>
      </c>
      <c r="F509" s="399" t="s">
        <v>2363</v>
      </c>
      <c r="G509" s="399" t="s">
        <v>2361</v>
      </c>
      <c r="H509" s="399" t="s">
        <v>1239</v>
      </c>
      <c r="I509" s="399" t="s">
        <v>1239</v>
      </c>
      <c r="J509" s="399" t="s">
        <v>2344</v>
      </c>
      <c r="K509" s="791">
        <v>44743</v>
      </c>
      <c r="L509" s="399">
        <v>0</v>
      </c>
      <c r="M509" s="399">
        <v>0</v>
      </c>
      <c r="N509" s="399">
        <v>0</v>
      </c>
      <c r="O509" s="399">
        <v>0</v>
      </c>
      <c r="P509" s="399">
        <v>0</v>
      </c>
      <c r="Q509" s="399">
        <v>0</v>
      </c>
      <c r="R509" s="399"/>
      <c r="S509" s="399"/>
      <c r="T509" s="399"/>
      <c r="U509" s="399"/>
      <c r="V509" s="399"/>
      <c r="W509" s="399"/>
      <c r="X509" s="399"/>
      <c r="Y509" s="399"/>
      <c r="Z509" s="399"/>
      <c r="AA509" s="399">
        <v>0</v>
      </c>
      <c r="AB509" s="399"/>
      <c r="AC509" s="399"/>
      <c r="AD509" s="399"/>
      <c r="AE509" s="399"/>
      <c r="AF509" s="399"/>
      <c r="AG509" s="399"/>
      <c r="AH509" s="399"/>
      <c r="AI509" s="399"/>
      <c r="AJ509" s="399"/>
      <c r="AK509" s="399"/>
      <c r="AL509" s="399"/>
      <c r="AM509" s="399"/>
      <c r="AN509" s="399"/>
      <c r="AO509" s="399"/>
      <c r="AP509" s="399"/>
      <c r="AQ509" s="399"/>
      <c r="AR509" s="399"/>
      <c r="AS509" s="399"/>
      <c r="AT509" s="399"/>
      <c r="AU509" s="399"/>
      <c r="AV509" s="399"/>
      <c r="AW509" s="399"/>
      <c r="AX509" s="399"/>
      <c r="AY509" s="399"/>
      <c r="AZ509" s="399">
        <v>0</v>
      </c>
      <c r="BA509" s="399"/>
      <c r="BB509" s="399"/>
      <c r="BC509" s="399"/>
      <c r="BD509" s="399"/>
      <c r="BE509" s="399"/>
      <c r="BF509" s="399"/>
      <c r="BG509" s="399"/>
      <c r="BH509" s="399"/>
      <c r="BI509" s="399">
        <v>0</v>
      </c>
      <c r="BJ509" s="399">
        <v>0</v>
      </c>
      <c r="BK509" s="399">
        <v>44.04</v>
      </c>
      <c r="BL509" s="399">
        <v>1</v>
      </c>
      <c r="BM509" s="399"/>
      <c r="BN509" s="399"/>
      <c r="BO509" s="399"/>
      <c r="BP509" s="399"/>
      <c r="BQ509" s="399"/>
      <c r="BR509" s="399"/>
      <c r="BS509" s="399"/>
      <c r="BT509" s="399"/>
      <c r="BU509" s="399"/>
      <c r="BV509" s="399"/>
      <c r="BW509" s="399"/>
      <c r="BX509" s="399"/>
      <c r="BY509" s="399"/>
      <c r="BZ509" s="399"/>
      <c r="CA509" s="399"/>
      <c r="CB509" s="399"/>
      <c r="CC509" s="399"/>
      <c r="CD509" s="399"/>
      <c r="CE509" s="399"/>
      <c r="CF509" s="399"/>
      <c r="CG509" s="399"/>
      <c r="CH509" s="399"/>
      <c r="CI509" s="399"/>
      <c r="CJ509" s="399">
        <v>-0.03</v>
      </c>
      <c r="CK509" s="399"/>
      <c r="CL509" s="399"/>
      <c r="CM509" s="399"/>
      <c r="CN509" s="399"/>
      <c r="CO509" s="399">
        <v>0</v>
      </c>
      <c r="CP509" s="399">
        <v>0</v>
      </c>
      <c r="CQ509" s="399">
        <v>31</v>
      </c>
      <c r="CR509" s="399"/>
      <c r="CS509" s="399"/>
      <c r="CT509" s="399"/>
      <c r="CU509" s="399"/>
      <c r="CV509" s="399"/>
      <c r="CW509" s="399"/>
      <c r="CX509" s="399"/>
      <c r="CY509" s="399"/>
      <c r="CZ509" s="399"/>
      <c r="DA509" s="399"/>
      <c r="DB509" s="399"/>
      <c r="DC509" s="399"/>
      <c r="DD509" s="399"/>
      <c r="DE509" s="399"/>
      <c r="DF509" s="399"/>
      <c r="DG509" s="399"/>
      <c r="DH509" s="399"/>
      <c r="DI509" s="399"/>
      <c r="DJ509" s="399"/>
      <c r="DK509" s="399">
        <v>0</v>
      </c>
      <c r="DL509" s="399"/>
      <c r="DM509" s="399"/>
      <c r="DN509" s="399"/>
      <c r="DO509" s="399"/>
      <c r="DP509" s="399"/>
      <c r="DQ509" s="399"/>
      <c r="DR509" s="399"/>
      <c r="DS509" s="399"/>
      <c r="DT509" s="399"/>
      <c r="DU509" s="399"/>
      <c r="DV509" s="399"/>
      <c r="DW509" s="399"/>
      <c r="DX509" s="399"/>
      <c r="DY509" s="399"/>
      <c r="DZ509" s="399"/>
      <c r="EA509" s="399"/>
      <c r="EB509" s="399"/>
      <c r="EC509" s="399"/>
      <c r="ED509" s="399"/>
      <c r="EE509" s="399"/>
      <c r="EF509" s="399"/>
      <c r="EG509" s="399"/>
      <c r="EH509" s="399"/>
      <c r="EI509" s="399"/>
      <c r="EJ509" s="399"/>
      <c r="EK509" s="399"/>
      <c r="EL509" s="399"/>
      <c r="EM509" s="399"/>
      <c r="EN509" s="399"/>
      <c r="EO509" s="399"/>
      <c r="EP509" s="399"/>
      <c r="EQ509" s="399"/>
      <c r="ER509" s="399"/>
      <c r="ES509" s="399"/>
      <c r="ET509" s="399"/>
      <c r="EU509" s="399"/>
      <c r="EV509" s="399">
        <v>215</v>
      </c>
      <c r="EW509" s="399"/>
      <c r="EX509" s="399"/>
      <c r="EY509" s="399"/>
      <c r="EZ509" s="399"/>
      <c r="FA509" s="399">
        <v>0</v>
      </c>
      <c r="FB509" s="399"/>
      <c r="FC509" s="399"/>
      <c r="FD509" s="399"/>
      <c r="FE509" s="399"/>
      <c r="FF509" s="399">
        <v>0</v>
      </c>
      <c r="FG509" s="399">
        <v>0</v>
      </c>
      <c r="FH509" s="399">
        <v>0</v>
      </c>
      <c r="FI509" s="399">
        <v>0</v>
      </c>
    </row>
    <row r="510" spans="1:165">
      <c r="A510" s="399">
        <v>514</v>
      </c>
      <c r="B510" s="399" t="s">
        <v>956</v>
      </c>
      <c r="C510" s="399" t="s">
        <v>2343</v>
      </c>
      <c r="D510" s="399" t="s">
        <v>2353</v>
      </c>
      <c r="E510" s="399" t="s">
        <v>894</v>
      </c>
      <c r="F510" s="399" t="s">
        <v>2363</v>
      </c>
      <c r="G510" s="399" t="s">
        <v>2361</v>
      </c>
      <c r="H510" s="399" t="s">
        <v>1239</v>
      </c>
      <c r="I510" s="399" t="s">
        <v>1239</v>
      </c>
      <c r="J510" s="399" t="s">
        <v>2344</v>
      </c>
      <c r="K510" s="791">
        <v>44743</v>
      </c>
      <c r="L510" s="399">
        <v>0</v>
      </c>
      <c r="M510" s="399">
        <v>0</v>
      </c>
      <c r="N510" s="399">
        <v>23.988</v>
      </c>
      <c r="O510" s="399">
        <v>23.988</v>
      </c>
      <c r="P510" s="399">
        <v>23.988</v>
      </c>
      <c r="Q510" s="399">
        <v>23.988</v>
      </c>
      <c r="R510" s="399"/>
      <c r="S510" s="399">
        <v>239.69</v>
      </c>
      <c r="T510" s="399">
        <v>171.61</v>
      </c>
      <c r="U510" s="399"/>
      <c r="V510" s="399">
        <v>9866.2644</v>
      </c>
      <c r="W510" s="399">
        <v>9866.2644</v>
      </c>
      <c r="X510" s="399">
        <v>9830.0425199999991</v>
      </c>
      <c r="Y510" s="399">
        <v>0</v>
      </c>
      <c r="Z510" s="399">
        <v>1450.2496959402258</v>
      </c>
      <c r="AA510" s="399">
        <v>0</v>
      </c>
      <c r="AB510" s="399">
        <v>0</v>
      </c>
      <c r="AC510" s="399">
        <v>0</v>
      </c>
      <c r="AD510" s="399">
        <v>1279.4238007614908</v>
      </c>
      <c r="AE510" s="399">
        <v>2125.6900532349582</v>
      </c>
      <c r="AF510" s="399">
        <v>3966.9969741090995</v>
      </c>
      <c r="AG510" s="399">
        <v>149.57374243589862</v>
      </c>
      <c r="AH510" s="399">
        <v>0</v>
      </c>
      <c r="AI510" s="399">
        <v>0</v>
      </c>
      <c r="AJ510" s="399">
        <v>0</v>
      </c>
      <c r="AK510" s="399">
        <v>0</v>
      </c>
      <c r="AL510" s="399">
        <v>224.24248132852381</v>
      </c>
      <c r="AM510" s="399"/>
      <c r="AN510" s="399">
        <v>9.5004868942713134</v>
      </c>
      <c r="AO510" s="399">
        <v>0</v>
      </c>
      <c r="AP510" s="399">
        <v>0</v>
      </c>
      <c r="AQ510" s="399">
        <v>0</v>
      </c>
      <c r="AR510" s="399">
        <v>0</v>
      </c>
      <c r="AS510" s="399">
        <v>0</v>
      </c>
      <c r="AT510" s="399">
        <v>0</v>
      </c>
      <c r="AU510" s="399">
        <v>0</v>
      </c>
      <c r="AV510" s="399">
        <v>0</v>
      </c>
      <c r="AW510" s="399">
        <v>0</v>
      </c>
      <c r="AX510" s="399">
        <v>0</v>
      </c>
      <c r="AY510" s="399">
        <v>0</v>
      </c>
      <c r="AZ510" s="399">
        <v>0</v>
      </c>
      <c r="BA510" s="399"/>
      <c r="BB510" s="399">
        <v>0</v>
      </c>
      <c r="BC510" s="399">
        <v>0</v>
      </c>
      <c r="BD510" s="399">
        <v>0</v>
      </c>
      <c r="BE510" s="399">
        <v>0</v>
      </c>
      <c r="BF510" s="399">
        <v>0</v>
      </c>
      <c r="BG510" s="399">
        <v>384.04579118857379</v>
      </c>
      <c r="BH510" s="399">
        <v>0</v>
      </c>
      <c r="BI510" s="399">
        <v>0</v>
      </c>
      <c r="BJ510" s="399">
        <v>0</v>
      </c>
      <c r="BK510" s="399">
        <v>0</v>
      </c>
      <c r="BL510" s="399">
        <v>0</v>
      </c>
      <c r="BM510" s="399"/>
      <c r="BN510" s="399"/>
      <c r="BO510" s="399"/>
      <c r="BP510" s="399"/>
      <c r="BQ510" s="399"/>
      <c r="BR510" s="399">
        <v>1179.4899599999997</v>
      </c>
      <c r="BS510" s="399"/>
      <c r="BT510" s="399"/>
      <c r="BU510" s="399"/>
      <c r="BV510" s="399">
        <v>4351.0427652976732</v>
      </c>
      <c r="BW510" s="399"/>
      <c r="BX510" s="399"/>
      <c r="BY510" s="399"/>
      <c r="BZ510" s="399"/>
      <c r="CA510" s="399"/>
      <c r="CB510" s="399"/>
      <c r="CC510" s="399"/>
      <c r="CD510" s="399"/>
      <c r="CE510" s="399"/>
      <c r="CF510" s="399"/>
      <c r="CG510" s="399"/>
      <c r="CH510" s="399"/>
      <c r="CI510" s="399">
        <v>8651.273799999999</v>
      </c>
      <c r="CJ510" s="399">
        <v>-31.212800000002972</v>
      </c>
      <c r="CK510" s="399"/>
      <c r="CL510" s="399"/>
      <c r="CM510" s="399"/>
      <c r="CN510" s="399"/>
      <c r="CO510" s="399">
        <v>-576.19176000000027</v>
      </c>
      <c r="CP510" s="399">
        <v>539.96987999999976</v>
      </c>
      <c r="CQ510" s="399">
        <v>31</v>
      </c>
      <c r="CR510" s="399">
        <v>423.47559115940203</v>
      </c>
      <c r="CS510" s="399">
        <v>0</v>
      </c>
      <c r="CT510" s="399">
        <v>0</v>
      </c>
      <c r="CU510" s="399">
        <v>0</v>
      </c>
      <c r="CV510" s="399">
        <v>0</v>
      </c>
      <c r="CW510" s="399">
        <v>0</v>
      </c>
      <c r="CX510" s="399">
        <v>0</v>
      </c>
      <c r="CY510" s="399">
        <v>0</v>
      </c>
      <c r="CZ510" s="399">
        <v>57.615812347817609</v>
      </c>
      <c r="DA510" s="399">
        <v>0</v>
      </c>
      <c r="DB510" s="399">
        <v>0</v>
      </c>
      <c r="DC510" s="399">
        <v>540.0981354508981</v>
      </c>
      <c r="DD510" s="399">
        <v>0</v>
      </c>
      <c r="DE510" s="399">
        <v>0</v>
      </c>
      <c r="DF510" s="399">
        <v>0</v>
      </c>
      <c r="DG510" s="399">
        <v>52.287011334384772</v>
      </c>
      <c r="DH510" s="399">
        <v>0</v>
      </c>
      <c r="DI510" s="399">
        <v>-199.19578903406682</v>
      </c>
      <c r="DJ510" s="399"/>
      <c r="DK510" s="399">
        <v>0</v>
      </c>
      <c r="DL510" s="399">
        <v>0</v>
      </c>
      <c r="DM510" s="399">
        <v>0</v>
      </c>
      <c r="DN510" s="399">
        <v>0</v>
      </c>
      <c r="DO510" s="399">
        <v>-25.842513349907989</v>
      </c>
      <c r="DP510" s="399">
        <v>-1.4870655897215581</v>
      </c>
      <c r="DQ510" s="399">
        <v>0</v>
      </c>
      <c r="DR510" s="399">
        <v>0</v>
      </c>
      <c r="DS510" s="399"/>
      <c r="DT510" s="399"/>
      <c r="DU510" s="399"/>
      <c r="DV510" s="399">
        <v>2125.6900532349582</v>
      </c>
      <c r="DW510" s="399">
        <v>0</v>
      </c>
      <c r="DX510" s="399">
        <v>0</v>
      </c>
      <c r="DY510" s="399">
        <v>-576.19176000000061</v>
      </c>
      <c r="DZ510" s="399">
        <v>539.96987999999965</v>
      </c>
      <c r="EA510" s="399">
        <v>0</v>
      </c>
      <c r="EB510" s="399">
        <v>0</v>
      </c>
      <c r="EC510" s="399">
        <v>-459.56272017518359</v>
      </c>
      <c r="ED510" s="399">
        <v>0</v>
      </c>
      <c r="EE510" s="399">
        <v>0</v>
      </c>
      <c r="EF510" s="399">
        <v>0</v>
      </c>
      <c r="EG510" s="399">
        <v>0</v>
      </c>
      <c r="EH510" s="399">
        <v>0</v>
      </c>
      <c r="EI510" s="399">
        <v>0</v>
      </c>
      <c r="EJ510" s="399">
        <v>0</v>
      </c>
      <c r="EK510" s="399">
        <v>0</v>
      </c>
      <c r="EL510" s="399">
        <v>0</v>
      </c>
      <c r="EM510" s="399">
        <v>0</v>
      </c>
      <c r="EN510" s="399">
        <v>0</v>
      </c>
      <c r="EO510" s="399">
        <v>0</v>
      </c>
      <c r="EP510" s="399">
        <v>276.55757035513886</v>
      </c>
      <c r="EQ510" s="399">
        <v>0</v>
      </c>
      <c r="ER510" s="399">
        <v>0</v>
      </c>
      <c r="ES510" s="399">
        <v>0</v>
      </c>
      <c r="ET510" s="399">
        <v>0</v>
      </c>
      <c r="EU510" s="399">
        <v>0</v>
      </c>
      <c r="EV510" s="399">
        <v>215</v>
      </c>
      <c r="EW510" s="399">
        <v>0</v>
      </c>
      <c r="EX510" s="399">
        <v>0</v>
      </c>
      <c r="EY510" s="399">
        <v>0</v>
      </c>
      <c r="EZ510" s="399"/>
      <c r="FA510" s="399">
        <v>0</v>
      </c>
      <c r="FB510" s="399"/>
      <c r="FC510" s="399"/>
      <c r="FD510" s="399"/>
      <c r="FE510" s="399"/>
      <c r="FF510" s="399">
        <v>0</v>
      </c>
      <c r="FG510" s="399">
        <v>0</v>
      </c>
      <c r="FH510" s="399">
        <v>0</v>
      </c>
      <c r="FI510" s="399">
        <v>0</v>
      </c>
    </row>
    <row r="511" spans="1:165">
      <c r="A511" s="399">
        <v>515</v>
      </c>
      <c r="B511" s="399" t="s">
        <v>2346</v>
      </c>
      <c r="C511" s="399" t="s">
        <v>2343</v>
      </c>
      <c r="D511" s="399" t="s">
        <v>2353</v>
      </c>
      <c r="E511" s="399" t="s">
        <v>894</v>
      </c>
      <c r="F511" s="399" t="s">
        <v>2363</v>
      </c>
      <c r="G511" s="399" t="s">
        <v>2361</v>
      </c>
      <c r="H511" s="399" t="s">
        <v>1239</v>
      </c>
      <c r="I511" s="399" t="s">
        <v>1239</v>
      </c>
      <c r="J511" s="399" t="s">
        <v>2344</v>
      </c>
      <c r="K511" s="791">
        <v>44743</v>
      </c>
      <c r="L511" s="399">
        <v>0</v>
      </c>
      <c r="M511" s="399">
        <v>0</v>
      </c>
      <c r="N511" s="399">
        <v>0.1</v>
      </c>
      <c r="O511" s="399">
        <v>0.1</v>
      </c>
      <c r="P511" s="399">
        <v>0.1</v>
      </c>
      <c r="Q511" s="399">
        <v>0.1</v>
      </c>
      <c r="R511" s="399"/>
      <c r="S511" s="399">
        <v>239.69</v>
      </c>
      <c r="T511" s="399">
        <v>171.61</v>
      </c>
      <c r="U511" s="399"/>
      <c r="V511" s="399">
        <v>41.13</v>
      </c>
      <c r="W511" s="399">
        <v>41.13</v>
      </c>
      <c r="X511" s="399">
        <v>40.978999999999999</v>
      </c>
      <c r="Y511" s="399">
        <v>0</v>
      </c>
      <c r="Z511" s="399">
        <v>6.0457299313832999</v>
      </c>
      <c r="AA511" s="399">
        <v>0</v>
      </c>
      <c r="AB511" s="399">
        <v>0</v>
      </c>
      <c r="AC511" s="399">
        <v>0</v>
      </c>
      <c r="AD511" s="399">
        <v>5.3335993028242905</v>
      </c>
      <c r="AE511" s="399">
        <v>8.8614726247913893</v>
      </c>
      <c r="AF511" s="399">
        <v>16.537422770173002</v>
      </c>
      <c r="AG511" s="399">
        <v>0.62353569466357606</v>
      </c>
      <c r="AH511" s="399">
        <v>0</v>
      </c>
      <c r="AI511" s="399">
        <v>0</v>
      </c>
      <c r="AJ511" s="399">
        <v>0</v>
      </c>
      <c r="AK511" s="399">
        <v>0</v>
      </c>
      <c r="AL511" s="399">
        <v>0.9348110777410531</v>
      </c>
      <c r="AM511" s="399"/>
      <c r="AN511" s="399">
        <v>3.9605164641784707E-2</v>
      </c>
      <c r="AO511" s="399">
        <v>0</v>
      </c>
      <c r="AP511" s="399">
        <v>0</v>
      </c>
      <c r="AQ511" s="399">
        <v>0</v>
      </c>
      <c r="AR511" s="399">
        <v>0</v>
      </c>
      <c r="AS511" s="399">
        <v>0</v>
      </c>
      <c r="AT511" s="399">
        <v>0</v>
      </c>
      <c r="AU511" s="399">
        <v>0</v>
      </c>
      <c r="AV511" s="399">
        <v>0</v>
      </c>
      <c r="AW511" s="399">
        <v>0</v>
      </c>
      <c r="AX511" s="399">
        <v>0</v>
      </c>
      <c r="AY511" s="399">
        <v>0</v>
      </c>
      <c r="AZ511" s="399">
        <v>0</v>
      </c>
      <c r="BA511" s="399"/>
      <c r="BB511" s="399">
        <v>0</v>
      </c>
      <c r="BC511" s="399">
        <v>0</v>
      </c>
      <c r="BD511" s="399">
        <v>0</v>
      </c>
      <c r="BE511" s="399">
        <v>0</v>
      </c>
      <c r="BF511" s="399">
        <v>0</v>
      </c>
      <c r="BG511" s="399">
        <v>1.6009912922651901</v>
      </c>
      <c r="BH511" s="399">
        <v>0</v>
      </c>
      <c r="BI511" s="399">
        <v>0</v>
      </c>
      <c r="BJ511" s="399">
        <v>0</v>
      </c>
      <c r="BK511" s="399">
        <v>0</v>
      </c>
      <c r="BL511" s="399">
        <v>0</v>
      </c>
      <c r="BM511" s="399"/>
      <c r="BN511" s="399"/>
      <c r="BO511" s="399"/>
      <c r="BP511" s="399"/>
      <c r="BQ511" s="399"/>
      <c r="BR511" s="399">
        <v>4.9169999999999989</v>
      </c>
      <c r="BS511" s="399"/>
      <c r="BT511" s="399"/>
      <c r="BU511" s="399"/>
      <c r="BV511" s="399">
        <v>18.138414062438191</v>
      </c>
      <c r="BW511" s="399"/>
      <c r="BX511" s="399"/>
      <c r="BY511" s="399"/>
      <c r="BZ511" s="399"/>
      <c r="CA511" s="399"/>
      <c r="CB511" s="399"/>
      <c r="CC511" s="399"/>
      <c r="CD511" s="399"/>
      <c r="CE511" s="399"/>
      <c r="CF511" s="399"/>
      <c r="CG511" s="399"/>
      <c r="CH511" s="399"/>
      <c r="CI511" s="399">
        <v>36.061999999999998</v>
      </c>
      <c r="CJ511" s="399">
        <v>-0.16300000000001091</v>
      </c>
      <c r="CK511" s="399"/>
      <c r="CL511" s="399"/>
      <c r="CM511" s="399"/>
      <c r="CN511" s="399"/>
      <c r="CO511" s="399">
        <v>-2.402000000000001</v>
      </c>
      <c r="CP511" s="399">
        <v>2.250999999999999</v>
      </c>
      <c r="CQ511" s="399">
        <v>31</v>
      </c>
      <c r="CR511" s="399">
        <v>1.7653643119868505</v>
      </c>
      <c r="CS511" s="399">
        <v>0</v>
      </c>
      <c r="CT511" s="399">
        <v>0</v>
      </c>
      <c r="CU511" s="399">
        <v>0</v>
      </c>
      <c r="CV511" s="399">
        <v>0</v>
      </c>
      <c r="CW511" s="399">
        <v>0</v>
      </c>
      <c r="CX511" s="399">
        <v>0</v>
      </c>
      <c r="CY511" s="399">
        <v>0</v>
      </c>
      <c r="CZ511" s="399">
        <v>0.24018597777145967</v>
      </c>
      <c r="DA511" s="399">
        <v>0</v>
      </c>
      <c r="DB511" s="399">
        <v>0</v>
      </c>
      <c r="DC511" s="399">
        <v>2.2515346650445984</v>
      </c>
      <c r="DD511" s="399">
        <v>0</v>
      </c>
      <c r="DE511" s="399">
        <v>0</v>
      </c>
      <c r="DF511" s="399">
        <v>0</v>
      </c>
      <c r="DG511" s="399">
        <v>0.21797153299310001</v>
      </c>
      <c r="DH511" s="399">
        <v>0</v>
      </c>
      <c r="DI511" s="399">
        <v>-0.83039765313518021</v>
      </c>
      <c r="DJ511" s="399"/>
      <c r="DK511" s="399">
        <v>0</v>
      </c>
      <c r="DL511" s="399">
        <v>0</v>
      </c>
      <c r="DM511" s="399">
        <v>0</v>
      </c>
      <c r="DN511" s="399">
        <v>0</v>
      </c>
      <c r="DO511" s="399">
        <v>-0.10773100446018002</v>
      </c>
      <c r="DP511" s="399">
        <v>-6.1992062269533091E-3</v>
      </c>
      <c r="DQ511" s="399">
        <v>0</v>
      </c>
      <c r="DR511" s="399">
        <v>0</v>
      </c>
      <c r="DS511" s="399"/>
      <c r="DT511" s="399"/>
      <c r="DU511" s="399"/>
      <c r="DV511" s="399">
        <v>8.8614726247913893</v>
      </c>
      <c r="DW511" s="399">
        <v>0</v>
      </c>
      <c r="DX511" s="399">
        <v>0</v>
      </c>
      <c r="DY511" s="399">
        <v>-2.402000000000001</v>
      </c>
      <c r="DZ511" s="399">
        <v>2.2510000000000012</v>
      </c>
      <c r="EA511" s="399">
        <v>0</v>
      </c>
      <c r="EB511" s="399">
        <v>0</v>
      </c>
      <c r="EC511" s="399">
        <v>-1.915802568680939</v>
      </c>
      <c r="ED511" s="399">
        <v>0</v>
      </c>
      <c r="EE511" s="399">
        <v>0</v>
      </c>
      <c r="EF511" s="399">
        <v>0</v>
      </c>
      <c r="EG511" s="399">
        <v>0</v>
      </c>
      <c r="EH511" s="399">
        <v>0</v>
      </c>
      <c r="EI511" s="399">
        <v>0</v>
      </c>
      <c r="EJ511" s="399">
        <v>0</v>
      </c>
      <c r="EK511" s="399">
        <v>0</v>
      </c>
      <c r="EL511" s="399">
        <v>0</v>
      </c>
      <c r="EM511" s="399">
        <v>0</v>
      </c>
      <c r="EN511" s="399">
        <v>0</v>
      </c>
      <c r="EO511" s="399">
        <v>0</v>
      </c>
      <c r="EP511" s="399">
        <v>1.1528996596429</v>
      </c>
      <c r="EQ511" s="399">
        <v>0</v>
      </c>
      <c r="ER511" s="399">
        <v>0</v>
      </c>
      <c r="ES511" s="399">
        <v>0</v>
      </c>
      <c r="ET511" s="399">
        <v>0</v>
      </c>
      <c r="EU511" s="399">
        <v>0</v>
      </c>
      <c r="EV511" s="399">
        <v>215</v>
      </c>
      <c r="EW511" s="399">
        <v>0</v>
      </c>
      <c r="EX511" s="399">
        <v>0</v>
      </c>
      <c r="EY511" s="399">
        <v>0</v>
      </c>
      <c r="EZ511" s="399"/>
      <c r="FA511" s="399">
        <v>0</v>
      </c>
      <c r="FB511" s="399"/>
      <c r="FC511" s="399"/>
      <c r="FD511" s="399"/>
      <c r="FE511" s="399"/>
      <c r="FF511" s="399">
        <v>0</v>
      </c>
      <c r="FG511" s="399">
        <v>0</v>
      </c>
      <c r="FH511" s="399">
        <v>0</v>
      </c>
      <c r="FI511" s="399">
        <v>0</v>
      </c>
    </row>
    <row r="512" spans="1:165">
      <c r="A512" s="399">
        <v>516</v>
      </c>
      <c r="B512" s="399" t="s">
        <v>956</v>
      </c>
      <c r="C512" s="399" t="s">
        <v>2343</v>
      </c>
      <c r="D512" s="399" t="s">
        <v>2353</v>
      </c>
      <c r="E512" s="399" t="s">
        <v>894</v>
      </c>
      <c r="F512" s="399" t="s">
        <v>2363</v>
      </c>
      <c r="G512" s="399" t="s">
        <v>2362</v>
      </c>
      <c r="H512" s="399" t="s">
        <v>1239</v>
      </c>
      <c r="I512" s="399" t="s">
        <v>1239</v>
      </c>
      <c r="J512" s="399" t="s">
        <v>2344</v>
      </c>
      <c r="K512" s="791">
        <v>44743</v>
      </c>
      <c r="L512" s="399">
        <v>0</v>
      </c>
      <c r="M512" s="399">
        <v>0</v>
      </c>
      <c r="N512" s="399">
        <v>41.313000000000002</v>
      </c>
      <c r="O512" s="399">
        <v>16.525200000000002</v>
      </c>
      <c r="P512" s="399">
        <v>41.313000000000002</v>
      </c>
      <c r="Q512" s="399">
        <v>16.525200000000002</v>
      </c>
      <c r="R512" s="399"/>
      <c r="S512" s="399">
        <v>239.69</v>
      </c>
      <c r="T512" s="399">
        <v>171.61</v>
      </c>
      <c r="U512" s="399"/>
      <c r="V512" s="399">
        <v>16992.036900000003</v>
      </c>
      <c r="W512" s="399">
        <v>16992.036900000003</v>
      </c>
      <c r="X512" s="399">
        <v>16929.654269999999</v>
      </c>
      <c r="Y512" s="399">
        <v>0</v>
      </c>
      <c r="Z512" s="399">
        <v>2497.6724065523827</v>
      </c>
      <c r="AA512" s="399">
        <v>0</v>
      </c>
      <c r="AB512" s="399">
        <v>0</v>
      </c>
      <c r="AC512" s="399">
        <v>0</v>
      </c>
      <c r="AD512" s="399">
        <v>2203.4698799757994</v>
      </c>
      <c r="AE512" s="399">
        <v>3660.9401854800667</v>
      </c>
      <c r="AF512" s="399">
        <v>6832.1054690415722</v>
      </c>
      <c r="AG512" s="399">
        <v>257.60130153636317</v>
      </c>
      <c r="AH512" s="399">
        <v>0</v>
      </c>
      <c r="AI512" s="399">
        <v>0</v>
      </c>
      <c r="AJ512" s="399">
        <v>0</v>
      </c>
      <c r="AK512" s="399">
        <v>0</v>
      </c>
      <c r="AL512" s="399">
        <v>386.1985005471613</v>
      </c>
      <c r="AM512" s="399"/>
      <c r="AN512" s="399">
        <v>16.362081668460515</v>
      </c>
      <c r="AO512" s="399">
        <v>0</v>
      </c>
      <c r="AP512" s="399">
        <v>0</v>
      </c>
      <c r="AQ512" s="399">
        <v>0</v>
      </c>
      <c r="AR512" s="399">
        <v>0</v>
      </c>
      <c r="AS512" s="399">
        <v>0</v>
      </c>
      <c r="AT512" s="399">
        <v>0</v>
      </c>
      <c r="AU512" s="399">
        <v>0</v>
      </c>
      <c r="AV512" s="399">
        <v>0</v>
      </c>
      <c r="AW512" s="399">
        <v>0</v>
      </c>
      <c r="AX512" s="399">
        <v>0</v>
      </c>
      <c r="AY512" s="399">
        <v>0</v>
      </c>
      <c r="AZ512" s="399">
        <v>0</v>
      </c>
      <c r="BA512" s="399"/>
      <c r="BB512" s="399">
        <v>0</v>
      </c>
      <c r="BC512" s="399">
        <v>0</v>
      </c>
      <c r="BD512" s="399">
        <v>0</v>
      </c>
      <c r="BE512" s="399">
        <v>0</v>
      </c>
      <c r="BF512" s="399">
        <v>0</v>
      </c>
      <c r="BG512" s="399">
        <v>661.41753257351797</v>
      </c>
      <c r="BH512" s="399">
        <v>0</v>
      </c>
      <c r="BI512" s="399">
        <v>0</v>
      </c>
      <c r="BJ512" s="399">
        <v>0</v>
      </c>
      <c r="BK512" s="399">
        <v>0</v>
      </c>
      <c r="BL512" s="399">
        <v>0</v>
      </c>
      <c r="BM512" s="399"/>
      <c r="BN512" s="399"/>
      <c r="BO512" s="399"/>
      <c r="BP512" s="399"/>
      <c r="BQ512" s="399"/>
      <c r="BR512" s="399"/>
      <c r="BS512" s="399">
        <v>10970.336646</v>
      </c>
      <c r="BT512" s="399"/>
      <c r="BU512" s="399"/>
      <c r="BV512" s="399">
        <v>7493.5230016150899</v>
      </c>
      <c r="BW512" s="399"/>
      <c r="BX512" s="399"/>
      <c r="BY512" s="399"/>
      <c r="BZ512" s="399"/>
      <c r="CA512" s="399"/>
      <c r="CB512" s="399"/>
      <c r="CC512" s="399"/>
      <c r="CD512" s="399"/>
      <c r="CE512" s="399"/>
      <c r="CF512" s="399"/>
      <c r="CG512" s="399"/>
      <c r="CH512" s="399"/>
      <c r="CI512" s="399">
        <v>5961.0486000000001</v>
      </c>
      <c r="CJ512" s="399">
        <v>-20.277540000000954</v>
      </c>
      <c r="CK512" s="399"/>
      <c r="CL512" s="399"/>
      <c r="CM512" s="399"/>
      <c r="CN512" s="399"/>
      <c r="CO512" s="399">
        <v>-992.33826000000045</v>
      </c>
      <c r="CP512" s="399">
        <v>929.9556299999997</v>
      </c>
      <c r="CQ512" s="399">
        <v>31</v>
      </c>
      <c r="CR512" s="399">
        <v>729.32495821112752</v>
      </c>
      <c r="CS512" s="399">
        <v>0</v>
      </c>
      <c r="CT512" s="399">
        <v>0</v>
      </c>
      <c r="CU512" s="399">
        <v>0</v>
      </c>
      <c r="CV512" s="399">
        <v>0</v>
      </c>
      <c r="CW512" s="399">
        <v>0</v>
      </c>
      <c r="CX512" s="399">
        <v>0</v>
      </c>
      <c r="CY512" s="399">
        <v>0</v>
      </c>
      <c r="CZ512" s="399">
        <v>99.228032996722959</v>
      </c>
      <c r="DA512" s="399">
        <v>0</v>
      </c>
      <c r="DB512" s="399">
        <v>0</v>
      </c>
      <c r="DC512" s="399">
        <v>930.17651616987496</v>
      </c>
      <c r="DD512" s="399">
        <v>0</v>
      </c>
      <c r="DE512" s="399">
        <v>0</v>
      </c>
      <c r="DF512" s="399">
        <v>0</v>
      </c>
      <c r="DG512" s="399">
        <v>90.050579425439423</v>
      </c>
      <c r="DH512" s="399">
        <v>0</v>
      </c>
      <c r="DI512" s="399">
        <v>-343.06218243973672</v>
      </c>
      <c r="DJ512" s="399"/>
      <c r="DK512" s="399">
        <v>0</v>
      </c>
      <c r="DL512" s="399">
        <v>0</v>
      </c>
      <c r="DM512" s="399">
        <v>0</v>
      </c>
      <c r="DN512" s="399">
        <v>0</v>
      </c>
      <c r="DO512" s="399">
        <v>-44.506909872634196</v>
      </c>
      <c r="DP512" s="399">
        <v>-2.5610780685412191</v>
      </c>
      <c r="DQ512" s="399">
        <v>0</v>
      </c>
      <c r="DR512" s="399">
        <v>0</v>
      </c>
      <c r="DS512" s="399"/>
      <c r="DT512" s="399"/>
      <c r="DU512" s="399"/>
      <c r="DV512" s="399">
        <v>3660.9401854800667</v>
      </c>
      <c r="DW512" s="399">
        <v>0</v>
      </c>
      <c r="DX512" s="399">
        <v>0</v>
      </c>
      <c r="DY512" s="399">
        <v>-992.33826000000045</v>
      </c>
      <c r="DZ512" s="399">
        <v>929.95562999999947</v>
      </c>
      <c r="EA512" s="399">
        <v>0</v>
      </c>
      <c r="EB512" s="399">
        <v>0</v>
      </c>
      <c r="EC512" s="399">
        <v>-791.47551519915623</v>
      </c>
      <c r="ED512" s="399">
        <v>0</v>
      </c>
      <c r="EE512" s="399">
        <v>0</v>
      </c>
      <c r="EF512" s="399">
        <v>0</v>
      </c>
      <c r="EG512" s="399">
        <v>0</v>
      </c>
      <c r="EH512" s="399">
        <v>0</v>
      </c>
      <c r="EI512" s="399">
        <v>0</v>
      </c>
      <c r="EJ512" s="399">
        <v>0</v>
      </c>
      <c r="EK512" s="399">
        <v>0</v>
      </c>
      <c r="EL512" s="399">
        <v>0</v>
      </c>
      <c r="EM512" s="399">
        <v>0</v>
      </c>
      <c r="EN512" s="399">
        <v>0</v>
      </c>
      <c r="EO512" s="399">
        <v>0</v>
      </c>
      <c r="EP512" s="399">
        <v>476.29743638827131</v>
      </c>
      <c r="EQ512" s="399">
        <v>0</v>
      </c>
      <c r="ER512" s="399">
        <v>0</v>
      </c>
      <c r="ES512" s="399">
        <v>0</v>
      </c>
      <c r="ET512" s="399">
        <v>0</v>
      </c>
      <c r="EU512" s="399">
        <v>0</v>
      </c>
      <c r="EV512" s="399">
        <v>215</v>
      </c>
      <c r="EW512" s="399">
        <v>0</v>
      </c>
      <c r="EX512" s="399">
        <v>0</v>
      </c>
      <c r="EY512" s="399">
        <v>0</v>
      </c>
      <c r="EZ512" s="399"/>
      <c r="FA512" s="399">
        <v>0</v>
      </c>
      <c r="FB512" s="399"/>
      <c r="FC512" s="399"/>
      <c r="FD512" s="399"/>
      <c r="FE512" s="399"/>
      <c r="FF512" s="399">
        <v>0</v>
      </c>
      <c r="FG512" s="399">
        <v>0</v>
      </c>
      <c r="FH512" s="399">
        <v>0</v>
      </c>
      <c r="FI512" s="399">
        <v>0</v>
      </c>
    </row>
    <row r="513" spans="1:165">
      <c r="A513" s="399">
        <v>517</v>
      </c>
      <c r="B513" s="399" t="s">
        <v>956</v>
      </c>
      <c r="C513" s="399" t="s">
        <v>2343</v>
      </c>
      <c r="D513" s="399" t="s">
        <v>1823</v>
      </c>
      <c r="E513" s="399" t="s">
        <v>889</v>
      </c>
      <c r="F513" s="399" t="s">
        <v>889</v>
      </c>
      <c r="G513" s="399" t="s">
        <v>1239</v>
      </c>
      <c r="H513" s="399" t="s">
        <v>1239</v>
      </c>
      <c r="I513" s="399" t="s">
        <v>1239</v>
      </c>
      <c r="J513" s="399" t="s">
        <v>2344</v>
      </c>
      <c r="K513" s="791">
        <v>44774</v>
      </c>
      <c r="L513" s="399">
        <v>0</v>
      </c>
      <c r="M513" s="399">
        <v>0</v>
      </c>
      <c r="N513" s="399">
        <v>1287.624</v>
      </c>
      <c r="O513" s="399">
        <v>1287.624</v>
      </c>
      <c r="P513" s="399">
        <v>1287.624</v>
      </c>
      <c r="Q513" s="399">
        <v>1287.624</v>
      </c>
      <c r="R513" s="399"/>
      <c r="S513" s="399">
        <v>239.69</v>
      </c>
      <c r="T513" s="399">
        <v>171.61</v>
      </c>
      <c r="U513" s="399"/>
      <c r="V513" s="399">
        <v>529599.75120000006</v>
      </c>
      <c r="W513" s="399">
        <v>529599.75120000006</v>
      </c>
      <c r="X513" s="399">
        <v>527655.43895999994</v>
      </c>
      <c r="Y513" s="399">
        <v>0</v>
      </c>
      <c r="Z513" s="399">
        <v>77846.2695716749</v>
      </c>
      <c r="AA513" s="399">
        <v>0</v>
      </c>
      <c r="AB513" s="399">
        <v>0</v>
      </c>
      <c r="AC513" s="399">
        <v>0</v>
      </c>
      <c r="AD513" s="399">
        <v>68676.704686998244</v>
      </c>
      <c r="AE513" s="399">
        <v>114102.44827024388</v>
      </c>
      <c r="AF513" s="399">
        <v>212939.8245702124</v>
      </c>
      <c r="AG513" s="399">
        <v>8028.7952530549246</v>
      </c>
      <c r="AH513" s="399">
        <v>0</v>
      </c>
      <c r="AI513" s="399">
        <v>0</v>
      </c>
      <c r="AJ513" s="399">
        <v>0</v>
      </c>
      <c r="AK513" s="399">
        <v>0</v>
      </c>
      <c r="AL513" s="399">
        <v>12036.851791652458</v>
      </c>
      <c r="AM513" s="399"/>
      <c r="AN513" s="399">
        <v>509.96560516713384</v>
      </c>
      <c r="AO513" s="399">
        <v>0</v>
      </c>
      <c r="AP513" s="399">
        <v>0</v>
      </c>
      <c r="AQ513" s="399">
        <v>0</v>
      </c>
      <c r="AR513" s="399">
        <v>0</v>
      </c>
      <c r="AS513" s="399">
        <v>0</v>
      </c>
      <c r="AT513" s="399">
        <v>0</v>
      </c>
      <c r="AU513" s="399">
        <v>0</v>
      </c>
      <c r="AV513" s="399">
        <v>0</v>
      </c>
      <c r="AW513" s="399">
        <v>0</v>
      </c>
      <c r="AX513" s="399">
        <v>0</v>
      </c>
      <c r="AY513" s="399">
        <v>0</v>
      </c>
      <c r="AZ513" s="399">
        <v>0</v>
      </c>
      <c r="BA513" s="399"/>
      <c r="BB513" s="399">
        <v>0</v>
      </c>
      <c r="BC513" s="399">
        <v>0</v>
      </c>
      <c r="BD513" s="399">
        <v>0</v>
      </c>
      <c r="BE513" s="399">
        <v>0</v>
      </c>
      <c r="BF513" s="399">
        <v>0</v>
      </c>
      <c r="BG513" s="399">
        <v>20614.748117116731</v>
      </c>
      <c r="BH513" s="399">
        <v>0</v>
      </c>
      <c r="BI513" s="399">
        <v>0</v>
      </c>
      <c r="BJ513" s="399">
        <v>0</v>
      </c>
      <c r="BK513" s="399">
        <v>90499.68</v>
      </c>
      <c r="BL513" s="399">
        <v>4681</v>
      </c>
      <c r="BM513" s="399"/>
      <c r="BN513" s="399"/>
      <c r="BO513" s="399"/>
      <c r="BP513" s="399"/>
      <c r="BQ513" s="399"/>
      <c r="BR513" s="399"/>
      <c r="BS513" s="399"/>
      <c r="BT513" s="399"/>
      <c r="BU513" s="399"/>
      <c r="BV513" s="399">
        <v>233554.57268732914</v>
      </c>
      <c r="BW513" s="399"/>
      <c r="BX513" s="399"/>
      <c r="BY513" s="399"/>
      <c r="BZ513" s="399"/>
      <c r="CA513" s="399"/>
      <c r="CB513" s="399"/>
      <c r="CC513" s="399"/>
      <c r="CD513" s="399"/>
      <c r="CE513" s="399"/>
      <c r="CF513" s="399"/>
      <c r="CG513" s="399"/>
      <c r="CH513" s="399"/>
      <c r="CI513" s="399">
        <v>527653.79979999992</v>
      </c>
      <c r="CJ513" s="399">
        <v>-1945.9814000001643</v>
      </c>
      <c r="CK513" s="399"/>
      <c r="CL513" s="399"/>
      <c r="CM513" s="399"/>
      <c r="CN513" s="399"/>
      <c r="CO513" s="399">
        <v>-30928.728480000012</v>
      </c>
      <c r="CP513" s="399">
        <v>28984.416239999988</v>
      </c>
      <c r="CQ513" s="399">
        <v>31</v>
      </c>
      <c r="CR513" s="399">
        <v>22731.254568577511</v>
      </c>
      <c r="CS513" s="399">
        <v>0</v>
      </c>
      <c r="CT513" s="399">
        <v>0</v>
      </c>
      <c r="CU513" s="399">
        <v>0</v>
      </c>
      <c r="CV513" s="399">
        <v>0</v>
      </c>
      <c r="CW513" s="399">
        <v>0</v>
      </c>
      <c r="CX513" s="399">
        <v>0</v>
      </c>
      <c r="CY513" s="399">
        <v>0</v>
      </c>
      <c r="CZ513" s="399">
        <v>3092.692294419976</v>
      </c>
      <c r="DA513" s="399">
        <v>0</v>
      </c>
      <c r="DB513" s="399">
        <v>0</v>
      </c>
      <c r="DC513" s="399">
        <v>28991.30071543387</v>
      </c>
      <c r="DD513" s="399">
        <v>0</v>
      </c>
      <c r="DE513" s="399">
        <v>0</v>
      </c>
      <c r="DF513" s="399">
        <v>0</v>
      </c>
      <c r="DG513" s="399">
        <v>2806.6537719870721</v>
      </c>
      <c r="DH513" s="399">
        <v>0</v>
      </c>
      <c r="DI513" s="399">
        <v>-10692.399477205327</v>
      </c>
      <c r="DJ513" s="399"/>
      <c r="DK513" s="399">
        <v>0</v>
      </c>
      <c r="DL513" s="399">
        <v>0</v>
      </c>
      <c r="DM513" s="399">
        <v>0</v>
      </c>
      <c r="DN513" s="399">
        <v>0</v>
      </c>
      <c r="DO513" s="399">
        <v>-1387.1702688703481</v>
      </c>
      <c r="DP513" s="399">
        <v>-79.82246718774519</v>
      </c>
      <c r="DQ513" s="399">
        <v>0</v>
      </c>
      <c r="DR513" s="399">
        <v>0</v>
      </c>
      <c r="DS513" s="399"/>
      <c r="DT513" s="399"/>
      <c r="DU513" s="399"/>
      <c r="DV513" s="399">
        <v>114102.44827024388</v>
      </c>
      <c r="DW513" s="399">
        <v>0</v>
      </c>
      <c r="DX513" s="399">
        <v>0</v>
      </c>
      <c r="DY513" s="399">
        <v>-30928.728479999991</v>
      </c>
      <c r="DZ513" s="399">
        <v>28984.416239999991</v>
      </c>
      <c r="EA513" s="399">
        <v>0</v>
      </c>
      <c r="EB513" s="399">
        <v>0</v>
      </c>
      <c r="EC513" s="399">
        <v>-24668.333666952269</v>
      </c>
      <c r="ED513" s="399">
        <v>0</v>
      </c>
      <c r="EE513" s="399">
        <v>0</v>
      </c>
      <c r="EF513" s="399">
        <v>0</v>
      </c>
      <c r="EG513" s="399">
        <v>0</v>
      </c>
      <c r="EH513" s="399">
        <v>0</v>
      </c>
      <c r="EI513" s="399">
        <v>0</v>
      </c>
      <c r="EJ513" s="399">
        <v>0</v>
      </c>
      <c r="EK513" s="399">
        <v>0</v>
      </c>
      <c r="EL513" s="399">
        <v>0</v>
      </c>
      <c r="EM513" s="399">
        <v>0</v>
      </c>
      <c r="EN513" s="399">
        <v>0</v>
      </c>
      <c r="EO513" s="399">
        <v>0</v>
      </c>
      <c r="EP513" s="399">
        <v>14845.012713480295</v>
      </c>
      <c r="EQ513" s="399">
        <v>0</v>
      </c>
      <c r="ER513" s="399">
        <v>0</v>
      </c>
      <c r="ES513" s="399">
        <v>0</v>
      </c>
      <c r="ET513" s="399">
        <v>0</v>
      </c>
      <c r="EU513" s="399">
        <v>0</v>
      </c>
      <c r="EV513" s="399">
        <v>215</v>
      </c>
      <c r="EW513" s="399">
        <v>0</v>
      </c>
      <c r="EX513" s="399">
        <v>0</v>
      </c>
      <c r="EY513" s="399">
        <v>0</v>
      </c>
      <c r="EZ513" s="399"/>
      <c r="FA513" s="399">
        <v>0</v>
      </c>
      <c r="FB513" s="399"/>
      <c r="FC513" s="399"/>
      <c r="FD513" s="399"/>
      <c r="FE513" s="399"/>
      <c r="FF513" s="399">
        <v>0</v>
      </c>
      <c r="FG513" s="399">
        <v>0</v>
      </c>
      <c r="FH513" s="399">
        <v>0</v>
      </c>
      <c r="FI513" s="399">
        <v>0</v>
      </c>
    </row>
    <row r="514" spans="1:165">
      <c r="A514" s="399">
        <v>518</v>
      </c>
      <c r="B514" s="399" t="s">
        <v>2345</v>
      </c>
      <c r="C514" s="399" t="s">
        <v>2343</v>
      </c>
      <c r="D514" s="399" t="s">
        <v>1823</v>
      </c>
      <c r="E514" s="399" t="s">
        <v>889</v>
      </c>
      <c r="F514" s="399" t="s">
        <v>889</v>
      </c>
      <c r="G514" s="399" t="s">
        <v>1239</v>
      </c>
      <c r="H514" s="399" t="s">
        <v>1239</v>
      </c>
      <c r="I514" s="399" t="s">
        <v>1239</v>
      </c>
      <c r="J514" s="399" t="s">
        <v>2344</v>
      </c>
      <c r="K514" s="791">
        <v>44774</v>
      </c>
      <c r="L514" s="399">
        <v>0</v>
      </c>
      <c r="M514" s="399">
        <v>0</v>
      </c>
      <c r="N514" s="399">
        <v>-0.26200000000000001</v>
      </c>
      <c r="O514" s="399">
        <v>-0.26200000000000001</v>
      </c>
      <c r="P514" s="399">
        <v>-0.26200000000000001</v>
      </c>
      <c r="Q514" s="399">
        <v>-0.26200000000000001</v>
      </c>
      <c r="R514" s="399"/>
      <c r="S514" s="399">
        <v>239.69</v>
      </c>
      <c r="T514" s="399">
        <v>171.61</v>
      </c>
      <c r="U514" s="399"/>
      <c r="V514" s="399">
        <v>-107.76060000000001</v>
      </c>
      <c r="W514" s="399">
        <v>-107.76060000000001</v>
      </c>
      <c r="X514" s="399">
        <v>-107.36498</v>
      </c>
      <c r="Y514" s="399">
        <v>0</v>
      </c>
      <c r="Z514" s="399">
        <v>-15.839812420224247</v>
      </c>
      <c r="AA514" s="399">
        <v>0</v>
      </c>
      <c r="AB514" s="399">
        <v>0</v>
      </c>
      <c r="AC514" s="399">
        <v>0</v>
      </c>
      <c r="AD514" s="399">
        <v>-13.97403017339964</v>
      </c>
      <c r="AE514" s="399">
        <v>-23.217058276953441</v>
      </c>
      <c r="AF514" s="399">
        <v>-43.328047657853261</v>
      </c>
      <c r="AG514" s="399">
        <v>-1.6336635200185692</v>
      </c>
      <c r="AH514" s="399">
        <v>0</v>
      </c>
      <c r="AI514" s="399">
        <v>0</v>
      </c>
      <c r="AJ514" s="399">
        <v>0</v>
      </c>
      <c r="AK514" s="399">
        <v>0</v>
      </c>
      <c r="AL514" s="399">
        <v>-2.449205023681559</v>
      </c>
      <c r="AM514" s="399"/>
      <c r="AN514" s="399">
        <v>-0.10376553136147593</v>
      </c>
      <c r="AO514" s="399">
        <v>0</v>
      </c>
      <c r="AP514" s="399">
        <v>0</v>
      </c>
      <c r="AQ514" s="399">
        <v>0</v>
      </c>
      <c r="AR514" s="399">
        <v>0</v>
      </c>
      <c r="AS514" s="399">
        <v>0</v>
      </c>
      <c r="AT514" s="399">
        <v>0</v>
      </c>
      <c r="AU514" s="399">
        <v>0</v>
      </c>
      <c r="AV514" s="399">
        <v>0</v>
      </c>
      <c r="AW514" s="399">
        <v>0</v>
      </c>
      <c r="AX514" s="399">
        <v>0</v>
      </c>
      <c r="AY514" s="399">
        <v>0</v>
      </c>
      <c r="AZ514" s="399">
        <v>0</v>
      </c>
      <c r="BA514" s="399"/>
      <c r="BB514" s="399">
        <v>0</v>
      </c>
      <c r="BC514" s="399">
        <v>0</v>
      </c>
      <c r="BD514" s="399">
        <v>0</v>
      </c>
      <c r="BE514" s="399">
        <v>0</v>
      </c>
      <c r="BF514" s="399">
        <v>0</v>
      </c>
      <c r="BG514" s="399">
        <v>-4.1945971857347981</v>
      </c>
      <c r="BH514" s="399">
        <v>0</v>
      </c>
      <c r="BI514" s="399">
        <v>0</v>
      </c>
      <c r="BJ514" s="399">
        <v>0</v>
      </c>
      <c r="BK514" s="399">
        <v>-20.329999999999998</v>
      </c>
      <c r="BL514" s="399">
        <v>0</v>
      </c>
      <c r="BM514" s="399"/>
      <c r="BN514" s="399"/>
      <c r="BO514" s="399"/>
      <c r="BP514" s="399"/>
      <c r="BQ514" s="399"/>
      <c r="BR514" s="399"/>
      <c r="BS514" s="399"/>
      <c r="BT514" s="399"/>
      <c r="BU514" s="399"/>
      <c r="BV514" s="399">
        <v>-47.522644843588061</v>
      </c>
      <c r="BW514" s="399"/>
      <c r="BX514" s="399"/>
      <c r="BY514" s="399"/>
      <c r="BZ514" s="399"/>
      <c r="CA514" s="399"/>
      <c r="CB514" s="399"/>
      <c r="CC514" s="399"/>
      <c r="CD514" s="399"/>
      <c r="CE514" s="399"/>
      <c r="CF514" s="399"/>
      <c r="CG514" s="399"/>
      <c r="CH514" s="399"/>
      <c r="CI514" s="399">
        <v>-106.5454</v>
      </c>
      <c r="CJ514" s="399">
        <v>1.1851999999999947</v>
      </c>
      <c r="CK514" s="399"/>
      <c r="CL514" s="399"/>
      <c r="CM514" s="399"/>
      <c r="CN514" s="399"/>
      <c r="CO514" s="399">
        <v>6.2932400000000026</v>
      </c>
      <c r="CP514" s="399">
        <v>-5.8976199999999981</v>
      </c>
      <c r="CQ514" s="399">
        <v>31</v>
      </c>
      <c r="CR514" s="399">
        <v>-4.6252544974055354</v>
      </c>
      <c r="CS514" s="399">
        <v>0</v>
      </c>
      <c r="CT514" s="399">
        <v>0</v>
      </c>
      <c r="CU514" s="399">
        <v>0</v>
      </c>
      <c r="CV514" s="399">
        <v>0</v>
      </c>
      <c r="CW514" s="399">
        <v>0</v>
      </c>
      <c r="CX514" s="399">
        <v>0</v>
      </c>
      <c r="CY514" s="399">
        <v>0</v>
      </c>
      <c r="CZ514" s="399">
        <v>-0.62928726176122574</v>
      </c>
      <c r="DA514" s="399">
        <v>0</v>
      </c>
      <c r="DB514" s="399">
        <v>0</v>
      </c>
      <c r="DC514" s="399">
        <v>-5.8990208224168512</v>
      </c>
      <c r="DD514" s="399">
        <v>0</v>
      </c>
      <c r="DE514" s="399">
        <v>0</v>
      </c>
      <c r="DF514" s="399">
        <v>0</v>
      </c>
      <c r="DG514" s="399">
        <v>-0.5710854164419219</v>
      </c>
      <c r="DH514" s="399">
        <v>0</v>
      </c>
      <c r="DI514" s="399">
        <v>2.1756418512141718</v>
      </c>
      <c r="DJ514" s="399"/>
      <c r="DK514" s="399">
        <v>0</v>
      </c>
      <c r="DL514" s="399">
        <v>0</v>
      </c>
      <c r="DM514" s="399">
        <v>0</v>
      </c>
      <c r="DN514" s="399">
        <v>0</v>
      </c>
      <c r="DO514" s="399">
        <v>0.28225523168567168</v>
      </c>
      <c r="DP514" s="399">
        <v>1.6241920314617658E-2</v>
      </c>
      <c r="DQ514" s="399">
        <v>0</v>
      </c>
      <c r="DR514" s="399">
        <v>0</v>
      </c>
      <c r="DS514" s="399"/>
      <c r="DT514" s="399"/>
      <c r="DU514" s="399"/>
      <c r="DV514" s="399">
        <v>-23.217058276953441</v>
      </c>
      <c r="DW514" s="399">
        <v>0</v>
      </c>
      <c r="DX514" s="399">
        <v>0</v>
      </c>
      <c r="DY514" s="399">
        <v>6.2932400000000044</v>
      </c>
      <c r="DZ514" s="399">
        <v>-5.8976200000000034</v>
      </c>
      <c r="EA514" s="399">
        <v>0</v>
      </c>
      <c r="EB514" s="399">
        <v>0</v>
      </c>
      <c r="EC514" s="399">
        <v>5.019402729944062</v>
      </c>
      <c r="ED514" s="399">
        <v>0</v>
      </c>
      <c r="EE514" s="399">
        <v>0</v>
      </c>
      <c r="EF514" s="399">
        <v>0</v>
      </c>
      <c r="EG514" s="399">
        <v>0</v>
      </c>
      <c r="EH514" s="399">
        <v>0</v>
      </c>
      <c r="EI514" s="399">
        <v>0</v>
      </c>
      <c r="EJ514" s="399">
        <v>0</v>
      </c>
      <c r="EK514" s="399">
        <v>0</v>
      </c>
      <c r="EL514" s="399">
        <v>0</v>
      </c>
      <c r="EM514" s="399">
        <v>0</v>
      </c>
      <c r="EN514" s="399">
        <v>0</v>
      </c>
      <c r="EO514" s="399">
        <v>0</v>
      </c>
      <c r="EP514" s="399">
        <v>-3.0205971082643979</v>
      </c>
      <c r="EQ514" s="399">
        <v>0</v>
      </c>
      <c r="ER514" s="399">
        <v>0</v>
      </c>
      <c r="ES514" s="399">
        <v>0</v>
      </c>
      <c r="ET514" s="399">
        <v>0</v>
      </c>
      <c r="EU514" s="399">
        <v>0</v>
      </c>
      <c r="EV514" s="399">
        <v>215</v>
      </c>
      <c r="EW514" s="399">
        <v>0</v>
      </c>
      <c r="EX514" s="399">
        <v>0</v>
      </c>
      <c r="EY514" s="399">
        <v>0</v>
      </c>
      <c r="EZ514" s="399"/>
      <c r="FA514" s="399">
        <v>0</v>
      </c>
      <c r="FB514" s="399"/>
      <c r="FC514" s="399"/>
      <c r="FD514" s="399"/>
      <c r="FE514" s="399"/>
      <c r="FF514" s="399">
        <v>0</v>
      </c>
      <c r="FG514" s="399">
        <v>0</v>
      </c>
      <c r="FH514" s="399">
        <v>0</v>
      </c>
      <c r="FI514" s="399">
        <v>0</v>
      </c>
    </row>
    <row r="515" spans="1:165">
      <c r="A515" s="399">
        <v>519</v>
      </c>
      <c r="B515" s="399" t="s">
        <v>2346</v>
      </c>
      <c r="C515" s="399" t="s">
        <v>2343</v>
      </c>
      <c r="D515" s="399" t="s">
        <v>1823</v>
      </c>
      <c r="E515" s="399" t="s">
        <v>889</v>
      </c>
      <c r="F515" s="399" t="s">
        <v>889</v>
      </c>
      <c r="G515" s="399" t="s">
        <v>1239</v>
      </c>
      <c r="H515" s="399" t="s">
        <v>1239</v>
      </c>
      <c r="I515" s="399" t="s">
        <v>1239</v>
      </c>
      <c r="J515" s="399" t="s">
        <v>2344</v>
      </c>
      <c r="K515" s="791">
        <v>44774</v>
      </c>
      <c r="L515" s="399">
        <v>0</v>
      </c>
      <c r="M515" s="399">
        <v>0</v>
      </c>
      <c r="N515" s="399">
        <v>4.6950000000000003</v>
      </c>
      <c r="O515" s="399">
        <v>4.6950000000000003</v>
      </c>
      <c r="P515" s="399">
        <v>4.6950000000000003</v>
      </c>
      <c r="Q515" s="399">
        <v>4.6950000000000003</v>
      </c>
      <c r="R515" s="399"/>
      <c r="S515" s="399">
        <v>239.69</v>
      </c>
      <c r="T515" s="399">
        <v>171.61</v>
      </c>
      <c r="U515" s="399"/>
      <c r="V515" s="399">
        <v>1931.0535</v>
      </c>
      <c r="W515" s="399">
        <v>1931.0535</v>
      </c>
      <c r="X515" s="399">
        <v>1923.96405</v>
      </c>
      <c r="Y515" s="399">
        <v>0</v>
      </c>
      <c r="Z515" s="399">
        <v>283.84702027844594</v>
      </c>
      <c r="AA515" s="399">
        <v>0</v>
      </c>
      <c r="AB515" s="399">
        <v>0</v>
      </c>
      <c r="AC515" s="399">
        <v>0</v>
      </c>
      <c r="AD515" s="399">
        <v>250.41248726760045</v>
      </c>
      <c r="AE515" s="399">
        <v>416.04613973395573</v>
      </c>
      <c r="AF515" s="399">
        <v>776.4319990596224</v>
      </c>
      <c r="AG515" s="399">
        <v>29.275000864454896</v>
      </c>
      <c r="AH515" s="399">
        <v>0</v>
      </c>
      <c r="AI515" s="399">
        <v>0</v>
      </c>
      <c r="AJ515" s="399">
        <v>0</v>
      </c>
      <c r="AK515" s="399">
        <v>0</v>
      </c>
      <c r="AL515" s="399">
        <v>43.889380099942443</v>
      </c>
      <c r="AM515" s="399"/>
      <c r="AN515" s="399">
        <v>1.8594624799317918</v>
      </c>
      <c r="AO515" s="399">
        <v>0</v>
      </c>
      <c r="AP515" s="399">
        <v>0</v>
      </c>
      <c r="AQ515" s="399">
        <v>0</v>
      </c>
      <c r="AR515" s="399">
        <v>0</v>
      </c>
      <c r="AS515" s="399">
        <v>0</v>
      </c>
      <c r="AT515" s="399">
        <v>0</v>
      </c>
      <c r="AU515" s="399">
        <v>0</v>
      </c>
      <c r="AV515" s="399">
        <v>0</v>
      </c>
      <c r="AW515" s="399">
        <v>0</v>
      </c>
      <c r="AX515" s="399">
        <v>0</v>
      </c>
      <c r="AY515" s="399">
        <v>0</v>
      </c>
      <c r="AZ515" s="399">
        <v>0</v>
      </c>
      <c r="BA515" s="399"/>
      <c r="BB515" s="399">
        <v>0</v>
      </c>
      <c r="BC515" s="399">
        <v>0</v>
      </c>
      <c r="BD515" s="399">
        <v>0</v>
      </c>
      <c r="BE515" s="399">
        <v>0</v>
      </c>
      <c r="BF515" s="399">
        <v>0</v>
      </c>
      <c r="BG515" s="399">
        <v>75.166541171850668</v>
      </c>
      <c r="BH515" s="399">
        <v>0</v>
      </c>
      <c r="BI515" s="399">
        <v>0</v>
      </c>
      <c r="BJ515" s="399">
        <v>0</v>
      </c>
      <c r="BK515" s="399">
        <v>913.43</v>
      </c>
      <c r="BL515" s="399">
        <v>25</v>
      </c>
      <c r="BM515" s="399"/>
      <c r="BN515" s="399"/>
      <c r="BO515" s="399"/>
      <c r="BP515" s="399"/>
      <c r="BQ515" s="399"/>
      <c r="BR515" s="399"/>
      <c r="BS515" s="399"/>
      <c r="BT515" s="399"/>
      <c r="BU515" s="399"/>
      <c r="BV515" s="399">
        <v>851.59854023147307</v>
      </c>
      <c r="BW515" s="399"/>
      <c r="BX515" s="399"/>
      <c r="BY515" s="399"/>
      <c r="BZ515" s="399"/>
      <c r="CA515" s="399"/>
      <c r="CB515" s="399"/>
      <c r="CC515" s="399"/>
      <c r="CD515" s="399"/>
      <c r="CE515" s="399"/>
      <c r="CF515" s="399"/>
      <c r="CG515" s="399"/>
      <c r="CH515" s="399"/>
      <c r="CI515" s="399">
        <v>1926.0129999999999</v>
      </c>
      <c r="CJ515" s="399">
        <v>-5.0705000000000382</v>
      </c>
      <c r="CK515" s="399"/>
      <c r="CL515" s="399"/>
      <c r="CM515" s="399"/>
      <c r="CN515" s="399"/>
      <c r="CO515" s="399">
        <v>-112.77390000000005</v>
      </c>
      <c r="CP515" s="399">
        <v>105.68444999999997</v>
      </c>
      <c r="CQ515" s="399">
        <v>31</v>
      </c>
      <c r="CR515" s="399">
        <v>82.883854447782596</v>
      </c>
      <c r="CS515" s="399">
        <v>0</v>
      </c>
      <c r="CT515" s="399">
        <v>0</v>
      </c>
      <c r="CU515" s="399">
        <v>0</v>
      </c>
      <c r="CV515" s="399">
        <v>0</v>
      </c>
      <c r="CW515" s="399">
        <v>0</v>
      </c>
      <c r="CX515" s="399">
        <v>0</v>
      </c>
      <c r="CY515" s="399">
        <v>0</v>
      </c>
      <c r="CZ515" s="399">
        <v>11.276731656370032</v>
      </c>
      <c r="DA515" s="399">
        <v>0</v>
      </c>
      <c r="DB515" s="399">
        <v>0</v>
      </c>
      <c r="DC515" s="399">
        <v>105.70955252384397</v>
      </c>
      <c r="DD515" s="399">
        <v>0</v>
      </c>
      <c r="DE515" s="399">
        <v>0</v>
      </c>
      <c r="DF515" s="399">
        <v>0</v>
      </c>
      <c r="DG515" s="399">
        <v>10.233763474026048</v>
      </c>
      <c r="DH515" s="399">
        <v>0</v>
      </c>
      <c r="DI515" s="399">
        <v>-38.987169814696699</v>
      </c>
      <c r="DJ515" s="399"/>
      <c r="DK515" s="399">
        <v>0</v>
      </c>
      <c r="DL515" s="399">
        <v>0</v>
      </c>
      <c r="DM515" s="399">
        <v>0</v>
      </c>
      <c r="DN515" s="399">
        <v>0</v>
      </c>
      <c r="DO515" s="399">
        <v>-5.0579706594054485</v>
      </c>
      <c r="DP515" s="399">
        <v>-0.29105273235545748</v>
      </c>
      <c r="DQ515" s="399">
        <v>0</v>
      </c>
      <c r="DR515" s="399">
        <v>0</v>
      </c>
      <c r="DS515" s="399"/>
      <c r="DT515" s="399"/>
      <c r="DU515" s="399"/>
      <c r="DV515" s="399">
        <v>416.04613973395573</v>
      </c>
      <c r="DW515" s="399">
        <v>0</v>
      </c>
      <c r="DX515" s="399">
        <v>0</v>
      </c>
      <c r="DY515" s="399">
        <v>-112.77390000000003</v>
      </c>
      <c r="DZ515" s="399">
        <v>105.68444999999997</v>
      </c>
      <c r="EA515" s="399">
        <v>0</v>
      </c>
      <c r="EB515" s="399">
        <v>0</v>
      </c>
      <c r="EC515" s="399">
        <v>-89.946930599570067</v>
      </c>
      <c r="ED515" s="399">
        <v>0</v>
      </c>
      <c r="EE515" s="399">
        <v>0</v>
      </c>
      <c r="EF515" s="399">
        <v>0</v>
      </c>
      <c r="EG515" s="399">
        <v>0</v>
      </c>
      <c r="EH515" s="399">
        <v>0</v>
      </c>
      <c r="EI515" s="399">
        <v>0</v>
      </c>
      <c r="EJ515" s="399">
        <v>0</v>
      </c>
      <c r="EK515" s="399">
        <v>0</v>
      </c>
      <c r="EL515" s="399">
        <v>0</v>
      </c>
      <c r="EM515" s="399">
        <v>0</v>
      </c>
      <c r="EN515" s="399">
        <v>0</v>
      </c>
      <c r="EO515" s="399">
        <v>0</v>
      </c>
      <c r="EP515" s="399">
        <v>54.128639020234154</v>
      </c>
      <c r="EQ515" s="399">
        <v>0</v>
      </c>
      <c r="ER515" s="399">
        <v>0</v>
      </c>
      <c r="ES515" s="399">
        <v>0</v>
      </c>
      <c r="ET515" s="399">
        <v>0</v>
      </c>
      <c r="EU515" s="399">
        <v>0</v>
      </c>
      <c r="EV515" s="399">
        <v>215</v>
      </c>
      <c r="EW515" s="399">
        <v>0</v>
      </c>
      <c r="EX515" s="399">
        <v>0</v>
      </c>
      <c r="EY515" s="399">
        <v>0</v>
      </c>
      <c r="EZ515" s="399"/>
      <c r="FA515" s="399">
        <v>0</v>
      </c>
      <c r="FB515" s="399"/>
      <c r="FC515" s="399"/>
      <c r="FD515" s="399"/>
      <c r="FE515" s="399"/>
      <c r="FF515" s="399">
        <v>0</v>
      </c>
      <c r="FG515" s="399">
        <v>0</v>
      </c>
      <c r="FH515" s="399">
        <v>0</v>
      </c>
      <c r="FI515" s="399">
        <v>0</v>
      </c>
    </row>
    <row r="516" spans="1:165">
      <c r="A516" s="399">
        <v>520</v>
      </c>
      <c r="B516" s="399" t="s">
        <v>2346</v>
      </c>
      <c r="C516" s="399" t="s">
        <v>2343</v>
      </c>
      <c r="D516" s="399" t="s">
        <v>1823</v>
      </c>
      <c r="E516" s="399" t="s">
        <v>889</v>
      </c>
      <c r="F516" s="399" t="s">
        <v>889</v>
      </c>
      <c r="G516" s="399" t="s">
        <v>1239</v>
      </c>
      <c r="H516" s="399" t="s">
        <v>1239</v>
      </c>
      <c r="I516" s="399" t="s">
        <v>1239</v>
      </c>
      <c r="J516" s="399" t="s">
        <v>2344</v>
      </c>
      <c r="K516" s="791">
        <v>44774</v>
      </c>
      <c r="L516" s="399">
        <v>0</v>
      </c>
      <c r="M516" s="399">
        <v>0</v>
      </c>
      <c r="N516" s="399">
        <v>-0.38700000000000001</v>
      </c>
      <c r="O516" s="399">
        <v>-0.38700000000000001</v>
      </c>
      <c r="P516" s="399">
        <v>-0.38700000000000001</v>
      </c>
      <c r="Q516" s="399">
        <v>-0.38700000000000001</v>
      </c>
      <c r="R516" s="399"/>
      <c r="S516" s="399">
        <v>239.69</v>
      </c>
      <c r="T516" s="399">
        <v>171.61</v>
      </c>
      <c r="U516" s="399"/>
      <c r="V516" s="399">
        <v>-159.17310000000001</v>
      </c>
      <c r="W516" s="399">
        <v>-159.17310000000001</v>
      </c>
      <c r="X516" s="399">
        <v>-158.58873</v>
      </c>
      <c r="Y516" s="399">
        <v>0</v>
      </c>
      <c r="Z516" s="399">
        <v>-23.396974834453371</v>
      </c>
      <c r="AA516" s="399">
        <v>0</v>
      </c>
      <c r="AB516" s="399">
        <v>0</v>
      </c>
      <c r="AC516" s="399">
        <v>0</v>
      </c>
      <c r="AD516" s="399">
        <v>-20.641029301930004</v>
      </c>
      <c r="AE516" s="399">
        <v>-34.293899057942674</v>
      </c>
      <c r="AF516" s="399">
        <v>-63.999826120569516</v>
      </c>
      <c r="AG516" s="399">
        <v>-2.4130831383480391</v>
      </c>
      <c r="AH516" s="399">
        <v>0</v>
      </c>
      <c r="AI516" s="399">
        <v>0</v>
      </c>
      <c r="AJ516" s="399">
        <v>0</v>
      </c>
      <c r="AK516" s="399">
        <v>0</v>
      </c>
      <c r="AL516" s="399">
        <v>-3.6177188708578756</v>
      </c>
      <c r="AM516" s="399"/>
      <c r="AN516" s="399">
        <v>-0.1532719871637068</v>
      </c>
      <c r="AO516" s="399">
        <v>0</v>
      </c>
      <c r="AP516" s="399">
        <v>0</v>
      </c>
      <c r="AQ516" s="399">
        <v>0</v>
      </c>
      <c r="AR516" s="399">
        <v>0</v>
      </c>
      <c r="AS516" s="399">
        <v>0</v>
      </c>
      <c r="AT516" s="399">
        <v>0</v>
      </c>
      <c r="AU516" s="399">
        <v>0</v>
      </c>
      <c r="AV516" s="399">
        <v>0</v>
      </c>
      <c r="AW516" s="399">
        <v>0</v>
      </c>
      <c r="AX516" s="399">
        <v>0</v>
      </c>
      <c r="AY516" s="399">
        <v>0</v>
      </c>
      <c r="AZ516" s="399">
        <v>0</v>
      </c>
      <c r="BA516" s="399"/>
      <c r="BB516" s="399">
        <v>0</v>
      </c>
      <c r="BC516" s="399">
        <v>0</v>
      </c>
      <c r="BD516" s="399">
        <v>0</v>
      </c>
      <c r="BE516" s="399">
        <v>0</v>
      </c>
      <c r="BF516" s="399">
        <v>0</v>
      </c>
      <c r="BG516" s="399">
        <v>-6.1958363010662856</v>
      </c>
      <c r="BH516" s="399">
        <v>0</v>
      </c>
      <c r="BI516" s="399">
        <v>0</v>
      </c>
      <c r="BJ516" s="399">
        <v>0</v>
      </c>
      <c r="BK516" s="399">
        <v>-41.45</v>
      </c>
      <c r="BL516" s="399">
        <v>2</v>
      </c>
      <c r="BM516" s="399"/>
      <c r="BN516" s="399"/>
      <c r="BO516" s="399"/>
      <c r="BP516" s="399"/>
      <c r="BQ516" s="399"/>
      <c r="BR516" s="399"/>
      <c r="BS516" s="399"/>
      <c r="BT516" s="399"/>
      <c r="BU516" s="399"/>
      <c r="BV516" s="399">
        <v>-70.195662421635802</v>
      </c>
      <c r="BW516" s="399"/>
      <c r="BX516" s="399"/>
      <c r="BY516" s="399"/>
      <c r="BZ516" s="399"/>
      <c r="CA516" s="399"/>
      <c r="CB516" s="399"/>
      <c r="CC516" s="399"/>
      <c r="CD516" s="399"/>
      <c r="CE516" s="399"/>
      <c r="CF516" s="399"/>
      <c r="CG516" s="399"/>
      <c r="CH516" s="399"/>
      <c r="CI516" s="399">
        <v>-159.81810000000002</v>
      </c>
      <c r="CJ516" s="399">
        <v>-0.67500000000001137</v>
      </c>
      <c r="CK516" s="399"/>
      <c r="CL516" s="399"/>
      <c r="CM516" s="399"/>
      <c r="CN516" s="399"/>
      <c r="CO516" s="399">
        <v>9.2957400000000039</v>
      </c>
      <c r="CP516" s="399">
        <v>-8.7113699999999969</v>
      </c>
      <c r="CQ516" s="399">
        <v>31</v>
      </c>
      <c r="CR516" s="399">
        <v>-6.8319598873891039</v>
      </c>
      <c r="CS516" s="399">
        <v>0</v>
      </c>
      <c r="CT516" s="399">
        <v>0</v>
      </c>
      <c r="CU516" s="399">
        <v>0</v>
      </c>
      <c r="CV516" s="399">
        <v>0</v>
      </c>
      <c r="CW516" s="399">
        <v>0</v>
      </c>
      <c r="CX516" s="399">
        <v>0</v>
      </c>
      <c r="CY516" s="399">
        <v>0</v>
      </c>
      <c r="CZ516" s="399">
        <v>-0.92951973397554966</v>
      </c>
      <c r="DA516" s="399">
        <v>0</v>
      </c>
      <c r="DB516" s="399">
        <v>0</v>
      </c>
      <c r="DC516" s="399">
        <v>-8.7134391537225966</v>
      </c>
      <c r="DD516" s="399">
        <v>0</v>
      </c>
      <c r="DE516" s="399">
        <v>0</v>
      </c>
      <c r="DF516" s="399">
        <v>0</v>
      </c>
      <c r="DG516" s="399">
        <v>-0.84354983268329686</v>
      </c>
      <c r="DH516" s="399">
        <v>0</v>
      </c>
      <c r="DI516" s="399">
        <v>3.2136389176331477</v>
      </c>
      <c r="DJ516" s="399"/>
      <c r="DK516" s="399">
        <v>0</v>
      </c>
      <c r="DL516" s="399">
        <v>0</v>
      </c>
      <c r="DM516" s="399">
        <v>0</v>
      </c>
      <c r="DN516" s="399">
        <v>0</v>
      </c>
      <c r="DO516" s="399">
        <v>0.41691898726089693</v>
      </c>
      <c r="DP516" s="399">
        <v>2.3990928098309272E-2</v>
      </c>
      <c r="DQ516" s="399">
        <v>0</v>
      </c>
      <c r="DR516" s="399">
        <v>0</v>
      </c>
      <c r="DS516" s="399"/>
      <c r="DT516" s="399"/>
      <c r="DU516" s="399"/>
      <c r="DV516" s="399">
        <v>-34.293899057942674</v>
      </c>
      <c r="DW516" s="399">
        <v>0</v>
      </c>
      <c r="DX516" s="399">
        <v>0</v>
      </c>
      <c r="DY516" s="399">
        <v>9.2957400000000092</v>
      </c>
      <c r="DZ516" s="399">
        <v>-8.7113700000000023</v>
      </c>
      <c r="EA516" s="399">
        <v>0</v>
      </c>
      <c r="EB516" s="399">
        <v>0</v>
      </c>
      <c r="EC516" s="399">
        <v>7.4141559407952329</v>
      </c>
      <c r="ED516" s="399">
        <v>0</v>
      </c>
      <c r="EE516" s="399">
        <v>0</v>
      </c>
      <c r="EF516" s="399">
        <v>0</v>
      </c>
      <c r="EG516" s="399">
        <v>0</v>
      </c>
      <c r="EH516" s="399">
        <v>0</v>
      </c>
      <c r="EI516" s="399">
        <v>0</v>
      </c>
      <c r="EJ516" s="399">
        <v>0</v>
      </c>
      <c r="EK516" s="399">
        <v>0</v>
      </c>
      <c r="EL516" s="399">
        <v>0</v>
      </c>
      <c r="EM516" s="399">
        <v>0</v>
      </c>
      <c r="EN516" s="399">
        <v>0</v>
      </c>
      <c r="EO516" s="399">
        <v>0</v>
      </c>
      <c r="EP516" s="399">
        <v>-4.4617216828180233</v>
      </c>
      <c r="EQ516" s="399">
        <v>0</v>
      </c>
      <c r="ER516" s="399">
        <v>0</v>
      </c>
      <c r="ES516" s="399">
        <v>0</v>
      </c>
      <c r="ET516" s="399">
        <v>0</v>
      </c>
      <c r="EU516" s="399">
        <v>0</v>
      </c>
      <c r="EV516" s="399">
        <v>215</v>
      </c>
      <c r="EW516" s="399">
        <v>0</v>
      </c>
      <c r="EX516" s="399">
        <v>0</v>
      </c>
      <c r="EY516" s="399">
        <v>0</v>
      </c>
      <c r="EZ516" s="399"/>
      <c r="FA516" s="399">
        <v>0</v>
      </c>
      <c r="FB516" s="399"/>
      <c r="FC516" s="399"/>
      <c r="FD516" s="399"/>
      <c r="FE516" s="399"/>
      <c r="FF516" s="399">
        <v>0</v>
      </c>
      <c r="FG516" s="399">
        <v>0</v>
      </c>
      <c r="FH516" s="399">
        <v>0</v>
      </c>
      <c r="FI516" s="399">
        <v>0</v>
      </c>
    </row>
    <row r="517" spans="1:165">
      <c r="A517" s="399">
        <v>521</v>
      </c>
      <c r="B517" s="399" t="s">
        <v>956</v>
      </c>
      <c r="C517" s="399" t="s">
        <v>2343</v>
      </c>
      <c r="D517" s="399" t="s">
        <v>1823</v>
      </c>
      <c r="E517" s="399" t="s">
        <v>889</v>
      </c>
      <c r="F517" s="399" t="s">
        <v>2347</v>
      </c>
      <c r="G517" s="399" t="s">
        <v>1239</v>
      </c>
      <c r="H517" s="399" t="s">
        <v>1239</v>
      </c>
      <c r="I517" s="399" t="s">
        <v>1239</v>
      </c>
      <c r="J517" s="399" t="s">
        <v>2344</v>
      </c>
      <c r="K517" s="791">
        <v>44774</v>
      </c>
      <c r="L517" s="399">
        <v>0</v>
      </c>
      <c r="M517" s="399">
        <v>0</v>
      </c>
      <c r="N517" s="399">
        <v>11.73</v>
      </c>
      <c r="O517" s="399">
        <v>11.73</v>
      </c>
      <c r="P517" s="399">
        <v>11.73</v>
      </c>
      <c r="Q517" s="399">
        <v>11.73</v>
      </c>
      <c r="R517" s="399"/>
      <c r="S517" s="399">
        <v>158.36000000000001</v>
      </c>
      <c r="T517" s="399">
        <v>171.61</v>
      </c>
      <c r="U517" s="399"/>
      <c r="V517" s="399">
        <v>3870.5481000000004</v>
      </c>
      <c r="W517" s="399">
        <v>3870.5481000000004</v>
      </c>
      <c r="X517" s="399">
        <v>3962.8632000000007</v>
      </c>
      <c r="Y517" s="399">
        <v>0</v>
      </c>
      <c r="Z517" s="399">
        <v>0</v>
      </c>
      <c r="AA517" s="399">
        <v>0</v>
      </c>
      <c r="AB517" s="399">
        <v>0</v>
      </c>
      <c r="AC517" s="399">
        <v>0</v>
      </c>
      <c r="AD517" s="399">
        <v>625.63119822128931</v>
      </c>
      <c r="AE517" s="399">
        <v>1039.4507388880299</v>
      </c>
      <c r="AF517" s="399">
        <v>1939.8396909412932</v>
      </c>
      <c r="AG517" s="399">
        <v>73.140736984037474</v>
      </c>
      <c r="AH517" s="399">
        <v>0</v>
      </c>
      <c r="AI517" s="399">
        <v>0</v>
      </c>
      <c r="AJ517" s="399">
        <v>0</v>
      </c>
      <c r="AK517" s="399">
        <v>0</v>
      </c>
      <c r="AL517" s="399">
        <v>0</v>
      </c>
      <c r="AM517" s="399"/>
      <c r="AN517" s="399">
        <v>4.6456858124813456</v>
      </c>
      <c r="AO517" s="399">
        <v>0</v>
      </c>
      <c r="AP517" s="399">
        <v>0</v>
      </c>
      <c r="AQ517" s="399">
        <v>0</v>
      </c>
      <c r="AR517" s="399">
        <v>0</v>
      </c>
      <c r="AS517" s="399">
        <v>0</v>
      </c>
      <c r="AT517" s="399">
        <v>0</v>
      </c>
      <c r="AU517" s="399">
        <v>0</v>
      </c>
      <c r="AV517" s="399">
        <v>0</v>
      </c>
      <c r="AW517" s="399">
        <v>0</v>
      </c>
      <c r="AX517" s="399">
        <v>0</v>
      </c>
      <c r="AY517" s="399">
        <v>0</v>
      </c>
      <c r="AZ517" s="399">
        <v>0</v>
      </c>
      <c r="BA517" s="399"/>
      <c r="BB517" s="399">
        <v>0</v>
      </c>
      <c r="BC517" s="399">
        <v>0</v>
      </c>
      <c r="BD517" s="399">
        <v>0</v>
      </c>
      <c r="BE517" s="399">
        <v>0</v>
      </c>
      <c r="BF517" s="399">
        <v>0</v>
      </c>
      <c r="BG517" s="399">
        <v>187.79627858270678</v>
      </c>
      <c r="BH517" s="399">
        <v>0</v>
      </c>
      <c r="BI517" s="399">
        <v>0</v>
      </c>
      <c r="BJ517" s="399">
        <v>0</v>
      </c>
      <c r="BK517" s="399">
        <v>187.86</v>
      </c>
      <c r="BL517" s="399">
        <v>5</v>
      </c>
      <c r="BM517" s="399"/>
      <c r="BN517" s="399"/>
      <c r="BO517" s="399"/>
      <c r="BP517" s="399"/>
      <c r="BQ517" s="399"/>
      <c r="BR517" s="399"/>
      <c r="BS517" s="399"/>
      <c r="BT517" s="399">
        <v>2575.9080000000004</v>
      </c>
      <c r="BU517" s="399"/>
      <c r="BV517" s="399">
        <v>2127.6359695239998</v>
      </c>
      <c r="BW517" s="399"/>
      <c r="BX517" s="399"/>
      <c r="BY517" s="399"/>
      <c r="BZ517" s="399"/>
      <c r="CA517" s="399"/>
      <c r="CB517" s="399"/>
      <c r="CC517" s="399"/>
      <c r="CD517" s="399"/>
      <c r="CE517" s="399"/>
      <c r="CF517" s="399"/>
      <c r="CG517" s="399"/>
      <c r="CH517" s="399"/>
      <c r="CI517" s="399">
        <v>1386.9551999999999</v>
      </c>
      <c r="CJ517" s="399">
        <v>32.344799999999623</v>
      </c>
      <c r="CK517" s="399"/>
      <c r="CL517" s="399"/>
      <c r="CM517" s="399"/>
      <c r="CN517" s="399"/>
      <c r="CO517" s="399">
        <v>-171.72720000000018</v>
      </c>
      <c r="CP517" s="399">
        <v>264.0422999999999</v>
      </c>
      <c r="CQ517" s="399">
        <v>31</v>
      </c>
      <c r="CR517" s="399">
        <v>317.11972533199287</v>
      </c>
      <c r="CS517" s="399">
        <v>0</v>
      </c>
      <c r="CT517" s="399">
        <v>0</v>
      </c>
      <c r="CU517" s="399">
        <v>0</v>
      </c>
      <c r="CV517" s="399">
        <v>0</v>
      </c>
      <c r="CW517" s="399">
        <v>0</v>
      </c>
      <c r="CX517" s="399">
        <v>0</v>
      </c>
      <c r="CY517" s="399">
        <v>0</v>
      </c>
      <c r="CZ517" s="399">
        <v>28.173815192592201</v>
      </c>
      <c r="DA517" s="399">
        <v>0</v>
      </c>
      <c r="DB517" s="399">
        <v>0</v>
      </c>
      <c r="DC517" s="399">
        <v>264.10501620973128</v>
      </c>
      <c r="DD517" s="399">
        <v>0</v>
      </c>
      <c r="DE517" s="399">
        <v>0</v>
      </c>
      <c r="DF517" s="399">
        <v>0</v>
      </c>
      <c r="DG517" s="399">
        <v>25.568060820090636</v>
      </c>
      <c r="DH517" s="399">
        <v>0</v>
      </c>
      <c r="DI517" s="399">
        <v>0</v>
      </c>
      <c r="DJ517" s="399"/>
      <c r="DK517" s="399">
        <v>0</v>
      </c>
      <c r="DL517" s="399">
        <v>0</v>
      </c>
      <c r="DM517" s="399">
        <v>0</v>
      </c>
      <c r="DN517" s="399">
        <v>0</v>
      </c>
      <c r="DO517" s="399">
        <v>0</v>
      </c>
      <c r="DP517" s="399">
        <v>-0.72716689042162219</v>
      </c>
      <c r="DQ517" s="399">
        <v>0</v>
      </c>
      <c r="DR517" s="399">
        <v>0</v>
      </c>
      <c r="DS517" s="399"/>
      <c r="DT517" s="399"/>
      <c r="DU517" s="399"/>
      <c r="DV517" s="399">
        <v>1039.4507388880299</v>
      </c>
      <c r="DW517" s="399">
        <v>0</v>
      </c>
      <c r="DX517" s="399">
        <v>0</v>
      </c>
      <c r="DY517" s="399">
        <v>-171.72720000000004</v>
      </c>
      <c r="DZ517" s="399">
        <v>264.04230000000007</v>
      </c>
      <c r="EA517" s="399">
        <v>0</v>
      </c>
      <c r="EB517" s="399">
        <v>0</v>
      </c>
      <c r="EC517" s="399">
        <v>-224.7236413062742</v>
      </c>
      <c r="ED517" s="399">
        <v>0</v>
      </c>
      <c r="EE517" s="399">
        <v>0</v>
      </c>
      <c r="EF517" s="399">
        <v>0</v>
      </c>
      <c r="EG517" s="399">
        <v>0</v>
      </c>
      <c r="EH517" s="399">
        <v>0</v>
      </c>
      <c r="EI517" s="399">
        <v>0</v>
      </c>
      <c r="EJ517" s="399">
        <v>0</v>
      </c>
      <c r="EK517" s="399">
        <v>0</v>
      </c>
      <c r="EL517" s="399">
        <v>0</v>
      </c>
      <c r="EM517" s="399">
        <v>0</v>
      </c>
      <c r="EN517" s="399">
        <v>0</v>
      </c>
      <c r="EO517" s="399">
        <v>0</v>
      </c>
      <c r="EP517" s="399">
        <v>0</v>
      </c>
      <c r="EQ517" s="399">
        <v>0</v>
      </c>
      <c r="ER517" s="399">
        <v>0</v>
      </c>
      <c r="ES517" s="399">
        <v>0</v>
      </c>
      <c r="ET517" s="399">
        <v>0</v>
      </c>
      <c r="EU517" s="399">
        <v>0</v>
      </c>
      <c r="EV517" s="399">
        <v>215</v>
      </c>
      <c r="EW517" s="399">
        <v>0</v>
      </c>
      <c r="EX517" s="399">
        <v>0</v>
      </c>
      <c r="EY517" s="399">
        <v>0</v>
      </c>
      <c r="EZ517" s="399"/>
      <c r="FA517" s="399">
        <v>0</v>
      </c>
      <c r="FB517" s="399"/>
      <c r="FC517" s="399"/>
      <c r="FD517" s="399"/>
      <c r="FE517" s="399"/>
      <c r="FF517" s="399">
        <v>0</v>
      </c>
      <c r="FG517" s="399">
        <v>0</v>
      </c>
      <c r="FH517" s="399">
        <v>0</v>
      </c>
      <c r="FI517" s="399">
        <v>0</v>
      </c>
    </row>
    <row r="518" spans="1:165">
      <c r="A518" s="399">
        <v>522</v>
      </c>
      <c r="B518" s="399" t="s">
        <v>956</v>
      </c>
      <c r="C518" s="399" t="s">
        <v>2343</v>
      </c>
      <c r="D518" s="399" t="s">
        <v>1823</v>
      </c>
      <c r="E518" s="399" t="s">
        <v>889</v>
      </c>
      <c r="F518" s="399" t="s">
        <v>2348</v>
      </c>
      <c r="G518" s="399" t="s">
        <v>1239</v>
      </c>
      <c r="H518" s="399" t="s">
        <v>1239</v>
      </c>
      <c r="I518" s="399" t="s">
        <v>1239</v>
      </c>
      <c r="J518" s="399" t="s">
        <v>2344</v>
      </c>
      <c r="K518" s="791">
        <v>44774</v>
      </c>
      <c r="L518" s="399">
        <v>0</v>
      </c>
      <c r="M518" s="399">
        <v>0</v>
      </c>
      <c r="N518" s="399">
        <v>25.701000000000001</v>
      </c>
      <c r="O518" s="399">
        <v>25.701000000000001</v>
      </c>
      <c r="P518" s="399">
        <v>25.701000000000001</v>
      </c>
      <c r="Q518" s="399">
        <v>25.701000000000001</v>
      </c>
      <c r="R518" s="399"/>
      <c r="S518" s="399">
        <v>158.36000000000001</v>
      </c>
      <c r="T518" s="399">
        <v>171.61</v>
      </c>
      <c r="U518" s="399"/>
      <c r="V518" s="399">
        <v>8480.5589700000019</v>
      </c>
      <c r="W518" s="399">
        <v>8480.5589700000019</v>
      </c>
      <c r="X518" s="399">
        <v>8682.8258399999995</v>
      </c>
      <c r="Y518" s="399">
        <v>0</v>
      </c>
      <c r="Z518" s="399">
        <v>0</v>
      </c>
      <c r="AA518" s="399">
        <v>0</v>
      </c>
      <c r="AB518" s="399">
        <v>0</v>
      </c>
      <c r="AC518" s="399">
        <v>0</v>
      </c>
      <c r="AD518" s="399">
        <v>1370.7883568188709</v>
      </c>
      <c r="AE518" s="399">
        <v>2277.4870792976349</v>
      </c>
      <c r="AF518" s="399">
        <v>4250.283026162163</v>
      </c>
      <c r="AG518" s="399">
        <v>160.25490888548569</v>
      </c>
      <c r="AH518" s="399">
        <v>0</v>
      </c>
      <c r="AI518" s="399">
        <v>0</v>
      </c>
      <c r="AJ518" s="399">
        <v>0</v>
      </c>
      <c r="AK518" s="399">
        <v>0</v>
      </c>
      <c r="AL518" s="399">
        <v>0</v>
      </c>
      <c r="AM518" s="399"/>
      <c r="AN518" s="399">
        <v>10.178923364585087</v>
      </c>
      <c r="AO518" s="399">
        <v>0</v>
      </c>
      <c r="AP518" s="399">
        <v>0</v>
      </c>
      <c r="AQ518" s="399">
        <v>0</v>
      </c>
      <c r="AR518" s="399">
        <v>0</v>
      </c>
      <c r="AS518" s="399">
        <v>0</v>
      </c>
      <c r="AT518" s="399">
        <v>0</v>
      </c>
      <c r="AU518" s="399">
        <v>0</v>
      </c>
      <c r="AV518" s="399">
        <v>0</v>
      </c>
      <c r="AW518" s="399">
        <v>0</v>
      </c>
      <c r="AX518" s="399">
        <v>0</v>
      </c>
      <c r="AY518" s="399">
        <v>0</v>
      </c>
      <c r="AZ518" s="399">
        <v>0</v>
      </c>
      <c r="BA518" s="399"/>
      <c r="BB518" s="399">
        <v>0</v>
      </c>
      <c r="BC518" s="399">
        <v>0</v>
      </c>
      <c r="BD518" s="399">
        <v>0</v>
      </c>
      <c r="BE518" s="399">
        <v>0</v>
      </c>
      <c r="BF518" s="399">
        <v>0</v>
      </c>
      <c r="BG518" s="399">
        <v>411.47077202507649</v>
      </c>
      <c r="BH518" s="399">
        <v>0</v>
      </c>
      <c r="BI518" s="399">
        <v>0</v>
      </c>
      <c r="BJ518" s="399">
        <v>0</v>
      </c>
      <c r="BK518" s="399">
        <v>703.32</v>
      </c>
      <c r="BL518" s="399">
        <v>42</v>
      </c>
      <c r="BM518" s="399"/>
      <c r="BN518" s="399"/>
      <c r="BO518" s="399"/>
      <c r="BP518" s="399"/>
      <c r="BQ518" s="399"/>
      <c r="BR518" s="399"/>
      <c r="BS518" s="399"/>
      <c r="BT518" s="399">
        <v>3473.2331400000003</v>
      </c>
      <c r="BU518" s="399"/>
      <c r="BV518" s="399">
        <v>4661.7537981872392</v>
      </c>
      <c r="BW518" s="399"/>
      <c r="BX518" s="399"/>
      <c r="BY518" s="399"/>
      <c r="BZ518" s="399"/>
      <c r="CA518" s="399"/>
      <c r="CB518" s="399"/>
      <c r="CC518" s="399"/>
      <c r="CD518" s="399"/>
      <c r="CE518" s="399"/>
      <c r="CF518" s="399"/>
      <c r="CG518" s="399"/>
      <c r="CH518" s="399"/>
      <c r="CI518" s="399">
        <v>5209.3899999999994</v>
      </c>
      <c r="CJ518" s="399">
        <v>121.07601999999861</v>
      </c>
      <c r="CK518" s="399"/>
      <c r="CL518" s="399"/>
      <c r="CM518" s="399"/>
      <c r="CN518" s="399"/>
      <c r="CO518" s="399">
        <v>-376.26264000000037</v>
      </c>
      <c r="CP518" s="399">
        <v>578.52950999999973</v>
      </c>
      <c r="CQ518" s="399">
        <v>31</v>
      </c>
      <c r="CR518" s="399">
        <v>694.8247281123231</v>
      </c>
      <c r="CS518" s="399">
        <v>0</v>
      </c>
      <c r="CT518" s="399">
        <v>0</v>
      </c>
      <c r="CU518" s="399">
        <v>0</v>
      </c>
      <c r="CV518" s="399">
        <v>0</v>
      </c>
      <c r="CW518" s="399">
        <v>0</v>
      </c>
      <c r="CX518" s="399">
        <v>0</v>
      </c>
      <c r="CY518" s="399">
        <v>0</v>
      </c>
      <c r="CZ518" s="399">
        <v>61.730198147042984</v>
      </c>
      <c r="DA518" s="399">
        <v>0</v>
      </c>
      <c r="DB518" s="399">
        <v>0</v>
      </c>
      <c r="DC518" s="399">
        <v>578.66692426311238</v>
      </c>
      <c r="DD518" s="399">
        <v>0</v>
      </c>
      <c r="DE518" s="399">
        <v>0</v>
      </c>
      <c r="DF518" s="399">
        <v>0</v>
      </c>
      <c r="DG518" s="399">
        <v>56.020863694556624</v>
      </c>
      <c r="DH518" s="399">
        <v>0</v>
      </c>
      <c r="DI518" s="399">
        <v>0</v>
      </c>
      <c r="DJ518" s="399"/>
      <c r="DK518" s="399">
        <v>0</v>
      </c>
      <c r="DL518" s="399">
        <v>0</v>
      </c>
      <c r="DM518" s="399">
        <v>0</v>
      </c>
      <c r="DN518" s="399">
        <v>0</v>
      </c>
      <c r="DO518" s="399">
        <v>0</v>
      </c>
      <c r="DP518" s="399">
        <v>-1.5932579923892689</v>
      </c>
      <c r="DQ518" s="399">
        <v>0</v>
      </c>
      <c r="DR518" s="399">
        <v>0</v>
      </c>
      <c r="DS518" s="399"/>
      <c r="DT518" s="399"/>
      <c r="DU518" s="399"/>
      <c r="DV518" s="399">
        <v>2277.4870792976349</v>
      </c>
      <c r="DW518" s="399">
        <v>0</v>
      </c>
      <c r="DX518" s="399">
        <v>0</v>
      </c>
      <c r="DY518" s="399">
        <v>-376.26264000000037</v>
      </c>
      <c r="DZ518" s="399">
        <v>578.52950999999939</v>
      </c>
      <c r="EA518" s="399">
        <v>0</v>
      </c>
      <c r="EB518" s="399">
        <v>0</v>
      </c>
      <c r="EC518" s="399">
        <v>-492.38041817668818</v>
      </c>
      <c r="ED518" s="399">
        <v>0</v>
      </c>
      <c r="EE518" s="399">
        <v>0</v>
      </c>
      <c r="EF518" s="399">
        <v>0</v>
      </c>
      <c r="EG518" s="399">
        <v>0</v>
      </c>
      <c r="EH518" s="399">
        <v>0</v>
      </c>
      <c r="EI518" s="399">
        <v>0</v>
      </c>
      <c r="EJ518" s="399">
        <v>0</v>
      </c>
      <c r="EK518" s="399">
        <v>0</v>
      </c>
      <c r="EL518" s="399">
        <v>0</v>
      </c>
      <c r="EM518" s="399">
        <v>0</v>
      </c>
      <c r="EN518" s="399">
        <v>0</v>
      </c>
      <c r="EO518" s="399">
        <v>0</v>
      </c>
      <c r="EP518" s="399">
        <v>0</v>
      </c>
      <c r="EQ518" s="399">
        <v>0</v>
      </c>
      <c r="ER518" s="399">
        <v>0</v>
      </c>
      <c r="ES518" s="399">
        <v>0</v>
      </c>
      <c r="ET518" s="399">
        <v>0</v>
      </c>
      <c r="EU518" s="399">
        <v>0</v>
      </c>
      <c r="EV518" s="399">
        <v>215</v>
      </c>
      <c r="EW518" s="399">
        <v>0</v>
      </c>
      <c r="EX518" s="399">
        <v>0</v>
      </c>
      <c r="EY518" s="399">
        <v>0</v>
      </c>
      <c r="EZ518" s="399"/>
      <c r="FA518" s="399">
        <v>0</v>
      </c>
      <c r="FB518" s="399"/>
      <c r="FC518" s="399"/>
      <c r="FD518" s="399"/>
      <c r="FE518" s="399"/>
      <c r="FF518" s="399">
        <v>0</v>
      </c>
      <c r="FG518" s="399">
        <v>0</v>
      </c>
      <c r="FH518" s="399">
        <v>0</v>
      </c>
      <c r="FI518" s="399">
        <v>0</v>
      </c>
    </row>
    <row r="519" spans="1:165">
      <c r="A519" s="399">
        <v>523</v>
      </c>
      <c r="B519" s="399" t="s">
        <v>956</v>
      </c>
      <c r="C519" s="399" t="s">
        <v>2343</v>
      </c>
      <c r="D519" s="399" t="s">
        <v>1823</v>
      </c>
      <c r="E519" s="399" t="s">
        <v>889</v>
      </c>
      <c r="F519" s="399" t="s">
        <v>2349</v>
      </c>
      <c r="G519" s="399" t="s">
        <v>1239</v>
      </c>
      <c r="H519" s="399" t="s">
        <v>1239</v>
      </c>
      <c r="I519" s="399" t="s">
        <v>1239</v>
      </c>
      <c r="J519" s="399" t="s">
        <v>2344</v>
      </c>
      <c r="K519" s="791">
        <v>44774</v>
      </c>
      <c r="L519" s="399">
        <v>0</v>
      </c>
      <c r="M519" s="399">
        <v>0</v>
      </c>
      <c r="N519" s="399">
        <v>32.505000000000003</v>
      </c>
      <c r="O519" s="399">
        <v>32.505000000000003</v>
      </c>
      <c r="P519" s="399">
        <v>32.505000000000003</v>
      </c>
      <c r="Q519" s="399">
        <v>32.505000000000003</v>
      </c>
      <c r="R519" s="399"/>
      <c r="S519" s="399">
        <v>158.36000000000001</v>
      </c>
      <c r="T519" s="399">
        <v>171.61</v>
      </c>
      <c r="U519" s="399"/>
      <c r="V519" s="399">
        <v>10725.674850000001</v>
      </c>
      <c r="W519" s="399">
        <v>10725.674850000001</v>
      </c>
      <c r="X519" s="399">
        <v>10981.4892</v>
      </c>
      <c r="Y519" s="399">
        <v>0</v>
      </c>
      <c r="Z519" s="399">
        <v>0</v>
      </c>
      <c r="AA519" s="399">
        <v>0</v>
      </c>
      <c r="AB519" s="399">
        <v>0</v>
      </c>
      <c r="AC519" s="399">
        <v>0</v>
      </c>
      <c r="AD519" s="399">
        <v>1733.6864533830358</v>
      </c>
      <c r="AE519" s="399">
        <v>2880.4216766884415</v>
      </c>
      <c r="AF519" s="399">
        <v>5375.4892714447342</v>
      </c>
      <c r="AG519" s="399">
        <v>202.6802775503954</v>
      </c>
      <c r="AH519" s="399">
        <v>0</v>
      </c>
      <c r="AI519" s="399">
        <v>0</v>
      </c>
      <c r="AJ519" s="399">
        <v>0</v>
      </c>
      <c r="AK519" s="399">
        <v>0</v>
      </c>
      <c r="AL519" s="399">
        <v>0</v>
      </c>
      <c r="AM519" s="399"/>
      <c r="AN519" s="399">
        <v>12.873658766812119</v>
      </c>
      <c r="AO519" s="399">
        <v>0</v>
      </c>
      <c r="AP519" s="399">
        <v>0</v>
      </c>
      <c r="AQ519" s="399">
        <v>0</v>
      </c>
      <c r="AR519" s="399">
        <v>0</v>
      </c>
      <c r="AS519" s="399">
        <v>0</v>
      </c>
      <c r="AT519" s="399">
        <v>0</v>
      </c>
      <c r="AU519" s="399">
        <v>0</v>
      </c>
      <c r="AV519" s="399">
        <v>0</v>
      </c>
      <c r="AW519" s="399">
        <v>0</v>
      </c>
      <c r="AX519" s="399">
        <v>0</v>
      </c>
      <c r="AY519" s="399">
        <v>0</v>
      </c>
      <c r="AZ519" s="399">
        <v>0</v>
      </c>
      <c r="BA519" s="399"/>
      <c r="BB519" s="399">
        <v>0</v>
      </c>
      <c r="BC519" s="399">
        <v>0</v>
      </c>
      <c r="BD519" s="399">
        <v>0</v>
      </c>
      <c r="BE519" s="399">
        <v>0</v>
      </c>
      <c r="BF519" s="399">
        <v>0</v>
      </c>
      <c r="BG519" s="399">
        <v>520.40221955080006</v>
      </c>
      <c r="BH519" s="399">
        <v>0</v>
      </c>
      <c r="BI519" s="399">
        <v>0</v>
      </c>
      <c r="BJ519" s="399">
        <v>0</v>
      </c>
      <c r="BK519" s="399">
        <v>1750.02</v>
      </c>
      <c r="BL519" s="399">
        <v>124</v>
      </c>
      <c r="BM519" s="399"/>
      <c r="BN519" s="399"/>
      <c r="BO519" s="399"/>
      <c r="BP519" s="399"/>
      <c r="BQ519" s="399"/>
      <c r="BR519" s="399"/>
      <c r="BS519" s="399"/>
      <c r="BT519" s="399">
        <v>1098.0189</v>
      </c>
      <c r="BU519" s="399"/>
      <c r="BV519" s="399">
        <v>5895.8914909955347</v>
      </c>
      <c r="BW519" s="399"/>
      <c r="BX519" s="399"/>
      <c r="BY519" s="399"/>
      <c r="BZ519" s="399"/>
      <c r="CA519" s="399"/>
      <c r="CB519" s="399"/>
      <c r="CC519" s="399"/>
      <c r="CD519" s="399"/>
      <c r="CE519" s="399"/>
      <c r="CF519" s="399"/>
      <c r="CG519" s="399"/>
      <c r="CH519" s="399"/>
      <c r="CI519" s="399">
        <v>9884.990600000001</v>
      </c>
      <c r="CJ519" s="399">
        <v>231.95074999999997</v>
      </c>
      <c r="CK519" s="399"/>
      <c r="CL519" s="399"/>
      <c r="CM519" s="399"/>
      <c r="CN519" s="399"/>
      <c r="CO519" s="399">
        <v>-475.87320000000051</v>
      </c>
      <c r="CP519" s="399">
        <v>731.68754999999976</v>
      </c>
      <c r="CQ519" s="399">
        <v>31</v>
      </c>
      <c r="CR519" s="399">
        <v>878.77038976269523</v>
      </c>
      <c r="CS519" s="399">
        <v>0</v>
      </c>
      <c r="CT519" s="399">
        <v>0</v>
      </c>
      <c r="CU519" s="399">
        <v>0</v>
      </c>
      <c r="CV519" s="399">
        <v>0</v>
      </c>
      <c r="CW519" s="399">
        <v>0</v>
      </c>
      <c r="CX519" s="399">
        <v>0</v>
      </c>
      <c r="CY519" s="399">
        <v>0</v>
      </c>
      <c r="CZ519" s="399">
        <v>78.072452074613011</v>
      </c>
      <c r="DA519" s="399">
        <v>0</v>
      </c>
      <c r="DB519" s="399">
        <v>0</v>
      </c>
      <c r="DC519" s="399">
        <v>731.86134287274672</v>
      </c>
      <c r="DD519" s="399">
        <v>0</v>
      </c>
      <c r="DE519" s="399">
        <v>0</v>
      </c>
      <c r="DF519" s="399">
        <v>0</v>
      </c>
      <c r="DG519" s="399">
        <v>70.851646799407149</v>
      </c>
      <c r="DH519" s="399">
        <v>0</v>
      </c>
      <c r="DI519" s="399">
        <v>0</v>
      </c>
      <c r="DJ519" s="399"/>
      <c r="DK519" s="399">
        <v>0</v>
      </c>
      <c r="DL519" s="399">
        <v>0</v>
      </c>
      <c r="DM519" s="399">
        <v>0</v>
      </c>
      <c r="DN519" s="399">
        <v>0</v>
      </c>
      <c r="DO519" s="399">
        <v>0</v>
      </c>
      <c r="DP519" s="399">
        <v>-2.0150519840711709</v>
      </c>
      <c r="DQ519" s="399">
        <v>0</v>
      </c>
      <c r="DR519" s="399">
        <v>0</v>
      </c>
      <c r="DS519" s="399"/>
      <c r="DT519" s="399"/>
      <c r="DU519" s="399"/>
      <c r="DV519" s="399">
        <v>2880.4216766884415</v>
      </c>
      <c r="DW519" s="399">
        <v>0</v>
      </c>
      <c r="DX519" s="399">
        <v>0</v>
      </c>
      <c r="DY519" s="399">
        <v>-475.8732</v>
      </c>
      <c r="DZ519" s="399">
        <v>731.68754999999965</v>
      </c>
      <c r="EA519" s="399">
        <v>0</v>
      </c>
      <c r="EB519" s="399">
        <v>0</v>
      </c>
      <c r="EC519" s="399">
        <v>-622.7316249497394</v>
      </c>
      <c r="ED519" s="399">
        <v>0</v>
      </c>
      <c r="EE519" s="399">
        <v>0</v>
      </c>
      <c r="EF519" s="399">
        <v>0</v>
      </c>
      <c r="EG519" s="399">
        <v>0</v>
      </c>
      <c r="EH519" s="399">
        <v>0</v>
      </c>
      <c r="EI519" s="399">
        <v>0</v>
      </c>
      <c r="EJ519" s="399">
        <v>0</v>
      </c>
      <c r="EK519" s="399">
        <v>0</v>
      </c>
      <c r="EL519" s="399">
        <v>0</v>
      </c>
      <c r="EM519" s="399">
        <v>0</v>
      </c>
      <c r="EN519" s="399">
        <v>0</v>
      </c>
      <c r="EO519" s="399">
        <v>0</v>
      </c>
      <c r="EP519" s="399">
        <v>0</v>
      </c>
      <c r="EQ519" s="399">
        <v>0</v>
      </c>
      <c r="ER519" s="399">
        <v>0</v>
      </c>
      <c r="ES519" s="399">
        <v>0</v>
      </c>
      <c r="ET519" s="399">
        <v>0</v>
      </c>
      <c r="EU519" s="399">
        <v>0</v>
      </c>
      <c r="EV519" s="399">
        <v>215</v>
      </c>
      <c r="EW519" s="399">
        <v>0</v>
      </c>
      <c r="EX519" s="399">
        <v>0</v>
      </c>
      <c r="EY519" s="399">
        <v>0</v>
      </c>
      <c r="EZ519" s="399"/>
      <c r="FA519" s="399">
        <v>0</v>
      </c>
      <c r="FB519" s="399"/>
      <c r="FC519" s="399"/>
      <c r="FD519" s="399"/>
      <c r="FE519" s="399"/>
      <c r="FF519" s="399">
        <v>0</v>
      </c>
      <c r="FG519" s="399">
        <v>0</v>
      </c>
      <c r="FH519" s="399">
        <v>0</v>
      </c>
      <c r="FI519" s="399">
        <v>0</v>
      </c>
    </row>
    <row r="520" spans="1:165">
      <c r="A520" s="399">
        <v>524</v>
      </c>
      <c r="B520" s="399" t="s">
        <v>956</v>
      </c>
      <c r="C520" s="399" t="s">
        <v>2343</v>
      </c>
      <c r="D520" s="399" t="s">
        <v>1823</v>
      </c>
      <c r="E520" s="399" t="s">
        <v>889</v>
      </c>
      <c r="F520" s="399" t="s">
        <v>2350</v>
      </c>
      <c r="G520" s="399" t="s">
        <v>1239</v>
      </c>
      <c r="H520" s="399" t="s">
        <v>1239</v>
      </c>
      <c r="I520" s="399" t="s">
        <v>1239</v>
      </c>
      <c r="J520" s="399" t="s">
        <v>2344</v>
      </c>
      <c r="K520" s="791">
        <v>44774</v>
      </c>
      <c r="L520" s="399">
        <v>0</v>
      </c>
      <c r="M520" s="399">
        <v>0</v>
      </c>
      <c r="N520" s="399">
        <v>31.167000000000002</v>
      </c>
      <c r="O520" s="399">
        <v>31.167000000000002</v>
      </c>
      <c r="P520" s="399">
        <v>31.167000000000002</v>
      </c>
      <c r="Q520" s="399">
        <v>31.167000000000002</v>
      </c>
      <c r="R520" s="399"/>
      <c r="S520" s="399">
        <v>158.36000000000001</v>
      </c>
      <c r="T520" s="399">
        <v>171.61</v>
      </c>
      <c r="U520" s="399"/>
      <c r="V520" s="399">
        <v>10284.174990000001</v>
      </c>
      <c r="W520" s="399">
        <v>10284.174990000001</v>
      </c>
      <c r="X520" s="399">
        <v>10529.459280000001</v>
      </c>
      <c r="Y520" s="399">
        <v>0</v>
      </c>
      <c r="Z520" s="399">
        <v>0</v>
      </c>
      <c r="AA520" s="399">
        <v>0</v>
      </c>
      <c r="AB520" s="399">
        <v>0</v>
      </c>
      <c r="AC520" s="399">
        <v>0</v>
      </c>
      <c r="AD520" s="399">
        <v>1662.3228947112466</v>
      </c>
      <c r="AE520" s="399">
        <v>2761.8551729687324</v>
      </c>
      <c r="AF520" s="399">
        <v>5154.218554779819</v>
      </c>
      <c r="AG520" s="399">
        <v>194.33736995579676</v>
      </c>
      <c r="AH520" s="399">
        <v>0</v>
      </c>
      <c r="AI520" s="399">
        <v>0</v>
      </c>
      <c r="AJ520" s="399">
        <v>0</v>
      </c>
      <c r="AK520" s="399">
        <v>0</v>
      </c>
      <c r="AL520" s="399">
        <v>0</v>
      </c>
      <c r="AM520" s="399"/>
      <c r="AN520" s="399">
        <v>12.343741663905039</v>
      </c>
      <c r="AO520" s="399">
        <v>0</v>
      </c>
      <c r="AP520" s="399">
        <v>0</v>
      </c>
      <c r="AQ520" s="399">
        <v>0</v>
      </c>
      <c r="AR520" s="399">
        <v>0</v>
      </c>
      <c r="AS520" s="399">
        <v>0</v>
      </c>
      <c r="AT520" s="399">
        <v>0</v>
      </c>
      <c r="AU520" s="399">
        <v>0</v>
      </c>
      <c r="AV520" s="399">
        <v>0</v>
      </c>
      <c r="AW520" s="399">
        <v>0</v>
      </c>
      <c r="AX520" s="399">
        <v>0</v>
      </c>
      <c r="AY520" s="399">
        <v>0</v>
      </c>
      <c r="AZ520" s="399">
        <v>0</v>
      </c>
      <c r="BA520" s="399"/>
      <c r="BB520" s="399">
        <v>0</v>
      </c>
      <c r="BC520" s="399">
        <v>0</v>
      </c>
      <c r="BD520" s="399">
        <v>0</v>
      </c>
      <c r="BE520" s="399">
        <v>0</v>
      </c>
      <c r="BF520" s="399">
        <v>0</v>
      </c>
      <c r="BG520" s="399">
        <v>498.98095606029176</v>
      </c>
      <c r="BH520" s="399">
        <v>0</v>
      </c>
      <c r="BI520" s="399">
        <v>0</v>
      </c>
      <c r="BJ520" s="399">
        <v>0</v>
      </c>
      <c r="BK520" s="399">
        <v>2156.61</v>
      </c>
      <c r="BL520" s="399">
        <v>198</v>
      </c>
      <c r="BM520" s="399"/>
      <c r="BN520" s="399"/>
      <c r="BO520" s="399"/>
      <c r="BP520" s="399"/>
      <c r="BQ520" s="399"/>
      <c r="BR520" s="399"/>
      <c r="BS520" s="399"/>
      <c r="BT520" s="399"/>
      <c r="BU520" s="399"/>
      <c r="BV520" s="399">
        <v>5653.1995108401106</v>
      </c>
      <c r="BW520" s="399"/>
      <c r="BX520" s="399"/>
      <c r="BY520" s="399"/>
      <c r="BZ520" s="399"/>
      <c r="CA520" s="399"/>
      <c r="CB520" s="399"/>
      <c r="CC520" s="399"/>
      <c r="CD520" s="399"/>
      <c r="CE520" s="399"/>
      <c r="CF520" s="399"/>
      <c r="CG520" s="399"/>
      <c r="CH520" s="399"/>
      <c r="CI520" s="399">
        <v>10530.4728</v>
      </c>
      <c r="CJ520" s="399">
        <v>246.26780999999755</v>
      </c>
      <c r="CK520" s="399"/>
      <c r="CL520" s="399"/>
      <c r="CM520" s="399"/>
      <c r="CN520" s="399"/>
      <c r="CO520" s="399">
        <v>-456.2848800000005</v>
      </c>
      <c r="CP520" s="399">
        <v>701.56916999999976</v>
      </c>
      <c r="CQ520" s="399">
        <v>31</v>
      </c>
      <c r="CR520" s="399">
        <v>842.59765382968544</v>
      </c>
      <c r="CS520" s="399">
        <v>0</v>
      </c>
      <c r="CT520" s="399">
        <v>0</v>
      </c>
      <c r="CU520" s="399">
        <v>0</v>
      </c>
      <c r="CV520" s="399">
        <v>0</v>
      </c>
      <c r="CW520" s="399">
        <v>0</v>
      </c>
      <c r="CX520" s="399">
        <v>0</v>
      </c>
      <c r="CY520" s="399">
        <v>0</v>
      </c>
      <c r="CZ520" s="399">
        <v>74.858763692031062</v>
      </c>
      <c r="DA520" s="399">
        <v>0</v>
      </c>
      <c r="DB520" s="399">
        <v>0</v>
      </c>
      <c r="DC520" s="399">
        <v>701.73580905445033</v>
      </c>
      <c r="DD520" s="399">
        <v>0</v>
      </c>
      <c r="DE520" s="399">
        <v>0</v>
      </c>
      <c r="DF520" s="399">
        <v>0</v>
      </c>
      <c r="DG520" s="399">
        <v>67.935187687959456</v>
      </c>
      <c r="DH520" s="399">
        <v>0</v>
      </c>
      <c r="DI520" s="399">
        <v>0</v>
      </c>
      <c r="DJ520" s="399"/>
      <c r="DK520" s="399">
        <v>0</v>
      </c>
      <c r="DL520" s="399">
        <v>0</v>
      </c>
      <c r="DM520" s="399">
        <v>0</v>
      </c>
      <c r="DN520" s="399">
        <v>0</v>
      </c>
      <c r="DO520" s="399">
        <v>0</v>
      </c>
      <c r="DP520" s="399">
        <v>-1.9321066047545354</v>
      </c>
      <c r="DQ520" s="399">
        <v>0</v>
      </c>
      <c r="DR520" s="399">
        <v>0</v>
      </c>
      <c r="DS520" s="399"/>
      <c r="DT520" s="399"/>
      <c r="DU520" s="399"/>
      <c r="DV520" s="399">
        <v>2761.8551729687324</v>
      </c>
      <c r="DW520" s="399">
        <v>0</v>
      </c>
      <c r="DX520" s="399">
        <v>0</v>
      </c>
      <c r="DY520" s="399">
        <v>-456.28488000000016</v>
      </c>
      <c r="DZ520" s="399">
        <v>701.56916999999976</v>
      </c>
      <c r="EA520" s="399">
        <v>0</v>
      </c>
      <c r="EB520" s="399">
        <v>0</v>
      </c>
      <c r="EC520" s="399">
        <v>-597.09818658078848</v>
      </c>
      <c r="ED520" s="399">
        <v>0</v>
      </c>
      <c r="EE520" s="399">
        <v>0</v>
      </c>
      <c r="EF520" s="399">
        <v>0</v>
      </c>
      <c r="EG520" s="399">
        <v>0</v>
      </c>
      <c r="EH520" s="399">
        <v>0</v>
      </c>
      <c r="EI520" s="399">
        <v>0</v>
      </c>
      <c r="EJ520" s="399">
        <v>0</v>
      </c>
      <c r="EK520" s="399">
        <v>0</v>
      </c>
      <c r="EL520" s="399">
        <v>0</v>
      </c>
      <c r="EM520" s="399">
        <v>0</v>
      </c>
      <c r="EN520" s="399">
        <v>0</v>
      </c>
      <c r="EO520" s="399">
        <v>0</v>
      </c>
      <c r="EP520" s="399">
        <v>0</v>
      </c>
      <c r="EQ520" s="399">
        <v>0</v>
      </c>
      <c r="ER520" s="399">
        <v>0</v>
      </c>
      <c r="ES520" s="399">
        <v>0</v>
      </c>
      <c r="ET520" s="399">
        <v>0</v>
      </c>
      <c r="EU520" s="399">
        <v>0</v>
      </c>
      <c r="EV520" s="399">
        <v>215</v>
      </c>
      <c r="EW520" s="399">
        <v>0</v>
      </c>
      <c r="EX520" s="399">
        <v>0</v>
      </c>
      <c r="EY520" s="399">
        <v>0</v>
      </c>
      <c r="EZ520" s="399"/>
      <c r="FA520" s="399">
        <v>0</v>
      </c>
      <c r="FB520" s="399"/>
      <c r="FC520" s="399"/>
      <c r="FD520" s="399"/>
      <c r="FE520" s="399"/>
      <c r="FF520" s="399">
        <v>0</v>
      </c>
      <c r="FG520" s="399">
        <v>0</v>
      </c>
      <c r="FH520" s="399">
        <v>0</v>
      </c>
      <c r="FI520" s="399">
        <v>0</v>
      </c>
    </row>
    <row r="521" spans="1:165">
      <c r="A521" s="399">
        <v>525</v>
      </c>
      <c r="B521" s="399" t="s">
        <v>956</v>
      </c>
      <c r="C521" s="399" t="s">
        <v>2343</v>
      </c>
      <c r="D521" s="399" t="s">
        <v>1826</v>
      </c>
      <c r="E521" s="399" t="s">
        <v>890</v>
      </c>
      <c r="F521" s="399" t="s">
        <v>1239</v>
      </c>
      <c r="G521" s="399" t="s">
        <v>1239</v>
      </c>
      <c r="H521" s="399" t="s">
        <v>1239</v>
      </c>
      <c r="I521" s="399" t="s">
        <v>1239</v>
      </c>
      <c r="J521" s="399" t="s">
        <v>2344</v>
      </c>
      <c r="K521" s="791">
        <v>44774</v>
      </c>
      <c r="L521" s="399">
        <v>0</v>
      </c>
      <c r="M521" s="399">
        <v>0</v>
      </c>
      <c r="N521" s="399">
        <v>215.86</v>
      </c>
      <c r="O521" s="399">
        <v>215.86</v>
      </c>
      <c r="P521" s="399">
        <v>215.86</v>
      </c>
      <c r="Q521" s="399">
        <v>215.86</v>
      </c>
      <c r="R521" s="399"/>
      <c r="S521" s="399">
        <v>239.69</v>
      </c>
      <c r="T521" s="399">
        <v>171.61</v>
      </c>
      <c r="U521" s="399"/>
      <c r="V521" s="399">
        <v>88783.218000000008</v>
      </c>
      <c r="W521" s="399">
        <v>88783.218000000008</v>
      </c>
      <c r="X521" s="399">
        <v>88457.269400000005</v>
      </c>
      <c r="Y521" s="399">
        <v>0</v>
      </c>
      <c r="Z521" s="399">
        <v>13050.312629883992</v>
      </c>
      <c r="AA521" s="399">
        <v>0</v>
      </c>
      <c r="AB521" s="399">
        <v>0</v>
      </c>
      <c r="AC521" s="399">
        <v>0</v>
      </c>
      <c r="AD521" s="399">
        <v>11513.107455076513</v>
      </c>
      <c r="AE521" s="399">
        <v>19128.374807874694</v>
      </c>
      <c r="AF521" s="399">
        <v>35697.680791695442</v>
      </c>
      <c r="AG521" s="399">
        <v>1345.9641505007953</v>
      </c>
      <c r="AH521" s="399">
        <v>0</v>
      </c>
      <c r="AI521" s="399">
        <v>0</v>
      </c>
      <c r="AJ521" s="399">
        <v>0</v>
      </c>
      <c r="AK521" s="399">
        <v>0</v>
      </c>
      <c r="AL521" s="399">
        <v>2017.8831924118374</v>
      </c>
      <c r="AM521" s="399"/>
      <c r="AN521" s="399">
        <v>85.491708395756461</v>
      </c>
      <c r="AO521" s="399">
        <v>0</v>
      </c>
      <c r="AP521" s="399">
        <v>0</v>
      </c>
      <c r="AQ521" s="399">
        <v>0</v>
      </c>
      <c r="AR521" s="399">
        <v>0</v>
      </c>
      <c r="AS521" s="399">
        <v>0</v>
      </c>
      <c r="AT521" s="399">
        <v>0</v>
      </c>
      <c r="AU521" s="399">
        <v>0</v>
      </c>
      <c r="AV521" s="399">
        <v>0</v>
      </c>
      <c r="AW521" s="399">
        <v>0</v>
      </c>
      <c r="AX521" s="399">
        <v>0</v>
      </c>
      <c r="AY521" s="399">
        <v>0</v>
      </c>
      <c r="AZ521" s="399">
        <v>0</v>
      </c>
      <c r="BA521" s="399"/>
      <c r="BB521" s="399">
        <v>0</v>
      </c>
      <c r="BC521" s="399">
        <v>0</v>
      </c>
      <c r="BD521" s="399">
        <v>0</v>
      </c>
      <c r="BE521" s="399">
        <v>0</v>
      </c>
      <c r="BF521" s="399">
        <v>0</v>
      </c>
      <c r="BG521" s="399">
        <v>3455.8998034836391</v>
      </c>
      <c r="BH521" s="399">
        <v>0</v>
      </c>
      <c r="BI521" s="399">
        <v>0</v>
      </c>
      <c r="BJ521" s="399">
        <v>0</v>
      </c>
      <c r="BK521" s="399">
        <v>18117.72</v>
      </c>
      <c r="BL521" s="399">
        <v>76</v>
      </c>
      <c r="BM521" s="399"/>
      <c r="BN521" s="399"/>
      <c r="BO521" s="399"/>
      <c r="BP521" s="399"/>
      <c r="BQ521" s="399"/>
      <c r="BR521" s="399"/>
      <c r="BS521" s="399"/>
      <c r="BT521" s="399"/>
      <c r="BU521" s="399"/>
      <c r="BV521" s="399">
        <v>39153.580595179083</v>
      </c>
      <c r="BW521" s="399"/>
      <c r="BX521" s="399"/>
      <c r="BY521" s="399"/>
      <c r="BZ521" s="399"/>
      <c r="CA521" s="399"/>
      <c r="CB521" s="399"/>
      <c r="CC521" s="399"/>
      <c r="CD521" s="399"/>
      <c r="CE521" s="399"/>
      <c r="CF521" s="399"/>
      <c r="CG521" s="399"/>
      <c r="CH521" s="399"/>
      <c r="CI521" s="399">
        <v>88457.269400000005</v>
      </c>
      <c r="CJ521" s="399">
        <v>-325.97860000000219</v>
      </c>
      <c r="CK521" s="399"/>
      <c r="CL521" s="399"/>
      <c r="CM521" s="399"/>
      <c r="CN521" s="399"/>
      <c r="CO521" s="399">
        <v>-5184.9572000000026</v>
      </c>
      <c r="CP521" s="399">
        <v>4859.0085999999983</v>
      </c>
      <c r="CQ521" s="399">
        <v>31</v>
      </c>
      <c r="CR521" s="399">
        <v>3810.7154038548033</v>
      </c>
      <c r="CS521" s="399">
        <v>0</v>
      </c>
      <c r="CT521" s="399">
        <v>0</v>
      </c>
      <c r="CU521" s="399">
        <v>0</v>
      </c>
      <c r="CV521" s="399">
        <v>0</v>
      </c>
      <c r="CW521" s="399">
        <v>0</v>
      </c>
      <c r="CX521" s="399">
        <v>0</v>
      </c>
      <c r="CY521" s="399">
        <v>0</v>
      </c>
      <c r="CZ521" s="399">
        <v>518.46545161747417</v>
      </c>
      <c r="DA521" s="399">
        <v>0</v>
      </c>
      <c r="DB521" s="399">
        <v>0</v>
      </c>
      <c r="DC521" s="399">
        <v>4860.1627279652748</v>
      </c>
      <c r="DD521" s="399">
        <v>0</v>
      </c>
      <c r="DE521" s="399">
        <v>0</v>
      </c>
      <c r="DF521" s="399">
        <v>0</v>
      </c>
      <c r="DG521" s="399">
        <v>470.51335111890603</v>
      </c>
      <c r="DH521" s="399">
        <v>0</v>
      </c>
      <c r="DI521" s="399">
        <v>-1792.4963740576004</v>
      </c>
      <c r="DJ521" s="399"/>
      <c r="DK521" s="399">
        <v>0</v>
      </c>
      <c r="DL521" s="399">
        <v>0</v>
      </c>
      <c r="DM521" s="399">
        <v>0</v>
      </c>
      <c r="DN521" s="399">
        <v>0</v>
      </c>
      <c r="DO521" s="399">
        <v>-232.54814622774461</v>
      </c>
      <c r="DP521" s="399">
        <v>-13.3816065615014</v>
      </c>
      <c r="DQ521" s="399">
        <v>0</v>
      </c>
      <c r="DR521" s="399">
        <v>0</v>
      </c>
      <c r="DS521" s="399"/>
      <c r="DT521" s="399"/>
      <c r="DU521" s="399"/>
      <c r="DV521" s="399">
        <v>19128.374807874694</v>
      </c>
      <c r="DW521" s="399">
        <v>0</v>
      </c>
      <c r="DX521" s="399">
        <v>0</v>
      </c>
      <c r="DY521" s="399">
        <v>-5184.9572000000044</v>
      </c>
      <c r="DZ521" s="399">
        <v>4859.008600000001</v>
      </c>
      <c r="EA521" s="399">
        <v>0</v>
      </c>
      <c r="EB521" s="399">
        <v>0</v>
      </c>
      <c r="EC521" s="399">
        <v>-4135.4514247546758</v>
      </c>
      <c r="ED521" s="399">
        <v>0</v>
      </c>
      <c r="EE521" s="399">
        <v>0</v>
      </c>
      <c r="EF521" s="399">
        <v>0</v>
      </c>
      <c r="EG521" s="399">
        <v>0</v>
      </c>
      <c r="EH521" s="399">
        <v>0</v>
      </c>
      <c r="EI521" s="399">
        <v>0</v>
      </c>
      <c r="EJ521" s="399">
        <v>0</v>
      </c>
      <c r="EK521" s="399">
        <v>0</v>
      </c>
      <c r="EL521" s="399">
        <v>0</v>
      </c>
      <c r="EM521" s="399">
        <v>0</v>
      </c>
      <c r="EN521" s="399">
        <v>0</v>
      </c>
      <c r="EO521" s="399">
        <v>0</v>
      </c>
      <c r="EP521" s="399">
        <v>2488.6492053051638</v>
      </c>
      <c r="EQ521" s="399">
        <v>0</v>
      </c>
      <c r="ER521" s="399">
        <v>0</v>
      </c>
      <c r="ES521" s="399">
        <v>0</v>
      </c>
      <c r="ET521" s="399">
        <v>0</v>
      </c>
      <c r="EU521" s="399">
        <v>0</v>
      </c>
      <c r="EV521" s="399">
        <v>215</v>
      </c>
      <c r="EW521" s="399">
        <v>0</v>
      </c>
      <c r="EX521" s="399">
        <v>0</v>
      </c>
      <c r="EY521" s="399">
        <v>0</v>
      </c>
      <c r="EZ521" s="399"/>
      <c r="FA521" s="399">
        <v>0</v>
      </c>
      <c r="FB521" s="399"/>
      <c r="FC521" s="399"/>
      <c r="FD521" s="399"/>
      <c r="FE521" s="399"/>
      <c r="FF521" s="399">
        <v>0</v>
      </c>
      <c r="FG521" s="399">
        <v>0</v>
      </c>
      <c r="FH521" s="399">
        <v>0</v>
      </c>
      <c r="FI521" s="399">
        <v>0</v>
      </c>
    </row>
    <row r="522" spans="1:165">
      <c r="A522" s="399">
        <v>526</v>
      </c>
      <c r="B522" s="399" t="s">
        <v>2346</v>
      </c>
      <c r="C522" s="399" t="s">
        <v>2343</v>
      </c>
      <c r="D522" s="399" t="s">
        <v>1826</v>
      </c>
      <c r="E522" s="399" t="s">
        <v>890</v>
      </c>
      <c r="F522" s="399" t="s">
        <v>1239</v>
      </c>
      <c r="G522" s="399" t="s">
        <v>1239</v>
      </c>
      <c r="H522" s="399" t="s">
        <v>1239</v>
      </c>
      <c r="I522" s="399" t="s">
        <v>1239</v>
      </c>
      <c r="J522" s="399" t="s">
        <v>2344</v>
      </c>
      <c r="K522" s="791">
        <v>44774</v>
      </c>
      <c r="L522" s="399">
        <v>0</v>
      </c>
      <c r="M522" s="399">
        <v>0</v>
      </c>
      <c r="N522" s="399">
        <v>8.7349999999999994</v>
      </c>
      <c r="O522" s="399">
        <v>8.7349999999999994</v>
      </c>
      <c r="P522" s="399">
        <v>8.7349999999999994</v>
      </c>
      <c r="Q522" s="399">
        <v>8.7349999999999994</v>
      </c>
      <c r="R522" s="399"/>
      <c r="S522" s="399">
        <v>239.69</v>
      </c>
      <c r="T522" s="399">
        <v>171.61</v>
      </c>
      <c r="U522" s="399"/>
      <c r="V522" s="399">
        <v>3592.7055</v>
      </c>
      <c r="W522" s="399">
        <v>3592.7055</v>
      </c>
      <c r="X522" s="399">
        <v>3579.5156499999994</v>
      </c>
      <c r="Y522" s="399">
        <v>0</v>
      </c>
      <c r="Z522" s="399">
        <v>528.09450950633118</v>
      </c>
      <c r="AA522" s="399">
        <v>0</v>
      </c>
      <c r="AB522" s="399">
        <v>0</v>
      </c>
      <c r="AC522" s="399">
        <v>0</v>
      </c>
      <c r="AD522" s="399">
        <v>465.88989910170176</v>
      </c>
      <c r="AE522" s="399">
        <v>774.04963377552781</v>
      </c>
      <c r="AF522" s="399">
        <v>1444.5438789746115</v>
      </c>
      <c r="AG522" s="399">
        <v>54.46584292886336</v>
      </c>
      <c r="AH522" s="399">
        <v>0</v>
      </c>
      <c r="AI522" s="399">
        <v>0</v>
      </c>
      <c r="AJ522" s="399">
        <v>0</v>
      </c>
      <c r="AK522" s="399">
        <v>0</v>
      </c>
      <c r="AL522" s="399">
        <v>81.655747640680985</v>
      </c>
      <c r="AM522" s="399"/>
      <c r="AN522" s="399">
        <v>3.4595111314598936</v>
      </c>
      <c r="AO522" s="399">
        <v>0</v>
      </c>
      <c r="AP522" s="399">
        <v>0</v>
      </c>
      <c r="AQ522" s="399">
        <v>0</v>
      </c>
      <c r="AR522" s="399">
        <v>0</v>
      </c>
      <c r="AS522" s="399">
        <v>0</v>
      </c>
      <c r="AT522" s="399">
        <v>0</v>
      </c>
      <c r="AU522" s="399">
        <v>0</v>
      </c>
      <c r="AV522" s="399">
        <v>0</v>
      </c>
      <c r="AW522" s="399">
        <v>0</v>
      </c>
      <c r="AX522" s="399">
        <v>0</v>
      </c>
      <c r="AY522" s="399">
        <v>0</v>
      </c>
      <c r="AZ522" s="399">
        <v>0</v>
      </c>
      <c r="BA522" s="399"/>
      <c r="BB522" s="399">
        <v>0</v>
      </c>
      <c r="BC522" s="399">
        <v>0</v>
      </c>
      <c r="BD522" s="399">
        <v>0</v>
      </c>
      <c r="BE522" s="399">
        <v>0</v>
      </c>
      <c r="BF522" s="399">
        <v>0</v>
      </c>
      <c r="BG522" s="399">
        <v>139.84658937936433</v>
      </c>
      <c r="BH522" s="399">
        <v>0</v>
      </c>
      <c r="BI522" s="399">
        <v>0</v>
      </c>
      <c r="BJ522" s="399">
        <v>0</v>
      </c>
      <c r="BK522" s="399">
        <v>1589.53</v>
      </c>
      <c r="BL522" s="399">
        <v>7</v>
      </c>
      <c r="BM522" s="399"/>
      <c r="BN522" s="399"/>
      <c r="BO522" s="399"/>
      <c r="BP522" s="399"/>
      <c r="BQ522" s="399"/>
      <c r="BR522" s="399"/>
      <c r="BS522" s="399"/>
      <c r="BT522" s="399"/>
      <c r="BU522" s="399"/>
      <c r="BV522" s="399">
        <v>1584.3904683539758</v>
      </c>
      <c r="BW522" s="399"/>
      <c r="BX522" s="399"/>
      <c r="BY522" s="399"/>
      <c r="BZ522" s="399"/>
      <c r="CA522" s="399"/>
      <c r="CB522" s="399"/>
      <c r="CC522" s="399"/>
      <c r="CD522" s="399"/>
      <c r="CE522" s="399"/>
      <c r="CF522" s="399"/>
      <c r="CG522" s="399"/>
      <c r="CH522" s="399"/>
      <c r="CI522" s="399">
        <v>3581.5645999999997</v>
      </c>
      <c r="CJ522" s="399">
        <v>-11.170900000000984</v>
      </c>
      <c r="CK522" s="399"/>
      <c r="CL522" s="399"/>
      <c r="CM522" s="399"/>
      <c r="CN522" s="399"/>
      <c r="CO522" s="399">
        <v>-209.81470000000007</v>
      </c>
      <c r="CP522" s="399">
        <v>196.6248499999999</v>
      </c>
      <c r="CQ522" s="399">
        <v>31</v>
      </c>
      <c r="CR522" s="399">
        <v>154.2045726520505</v>
      </c>
      <c r="CS522" s="399">
        <v>0</v>
      </c>
      <c r="CT522" s="399">
        <v>0</v>
      </c>
      <c r="CU522" s="399">
        <v>0</v>
      </c>
      <c r="CV522" s="399">
        <v>0</v>
      </c>
      <c r="CW522" s="399">
        <v>0</v>
      </c>
      <c r="CX522" s="399">
        <v>0</v>
      </c>
      <c r="CY522" s="399">
        <v>0</v>
      </c>
      <c r="CZ522" s="399">
        <v>20.98024515833697</v>
      </c>
      <c r="DA522" s="399">
        <v>0</v>
      </c>
      <c r="DB522" s="399">
        <v>0</v>
      </c>
      <c r="DC522" s="399">
        <v>196.67155299164574</v>
      </c>
      <c r="DD522" s="399">
        <v>0</v>
      </c>
      <c r="DE522" s="399">
        <v>0</v>
      </c>
      <c r="DF522" s="399">
        <v>0</v>
      </c>
      <c r="DG522" s="399">
        <v>19.039813406947275</v>
      </c>
      <c r="DH522" s="399">
        <v>0</v>
      </c>
      <c r="DI522" s="399">
        <v>-72.535235001357933</v>
      </c>
      <c r="DJ522" s="399"/>
      <c r="DK522" s="399">
        <v>0</v>
      </c>
      <c r="DL522" s="399">
        <v>0</v>
      </c>
      <c r="DM522" s="399">
        <v>0</v>
      </c>
      <c r="DN522" s="399">
        <v>0</v>
      </c>
      <c r="DO522" s="399">
        <v>-9.410303239596729</v>
      </c>
      <c r="DP522" s="399">
        <v>-0.54150066392437113</v>
      </c>
      <c r="DQ522" s="399">
        <v>0</v>
      </c>
      <c r="DR522" s="399">
        <v>0</v>
      </c>
      <c r="DS522" s="399"/>
      <c r="DT522" s="399"/>
      <c r="DU522" s="399"/>
      <c r="DV522" s="399">
        <v>774.04963377552781</v>
      </c>
      <c r="DW522" s="399">
        <v>0</v>
      </c>
      <c r="DX522" s="399">
        <v>0</v>
      </c>
      <c r="DY522" s="399">
        <v>-209.81470000000013</v>
      </c>
      <c r="DZ522" s="399">
        <v>196.62484999999992</v>
      </c>
      <c r="EA522" s="399">
        <v>0</v>
      </c>
      <c r="EB522" s="399">
        <v>0</v>
      </c>
      <c r="EC522" s="399">
        <v>-167.34535437428008</v>
      </c>
      <c r="ED522" s="399">
        <v>0</v>
      </c>
      <c r="EE522" s="399">
        <v>0</v>
      </c>
      <c r="EF522" s="399">
        <v>0</v>
      </c>
      <c r="EG522" s="399">
        <v>0</v>
      </c>
      <c r="EH522" s="399">
        <v>0</v>
      </c>
      <c r="EI522" s="399">
        <v>0</v>
      </c>
      <c r="EJ522" s="399">
        <v>0</v>
      </c>
      <c r="EK522" s="399">
        <v>0</v>
      </c>
      <c r="EL522" s="399">
        <v>0</v>
      </c>
      <c r="EM522" s="399">
        <v>0</v>
      </c>
      <c r="EN522" s="399">
        <v>0</v>
      </c>
      <c r="EO522" s="399">
        <v>0</v>
      </c>
      <c r="EP522" s="399">
        <v>100.70578526980731</v>
      </c>
      <c r="EQ522" s="399">
        <v>0</v>
      </c>
      <c r="ER522" s="399">
        <v>0</v>
      </c>
      <c r="ES522" s="399">
        <v>0</v>
      </c>
      <c r="ET522" s="399">
        <v>0</v>
      </c>
      <c r="EU522" s="399">
        <v>0</v>
      </c>
      <c r="EV522" s="399">
        <v>215</v>
      </c>
      <c r="EW522" s="399">
        <v>0</v>
      </c>
      <c r="EX522" s="399">
        <v>0</v>
      </c>
      <c r="EY522" s="399">
        <v>0</v>
      </c>
      <c r="EZ522" s="399"/>
      <c r="FA522" s="399">
        <v>0</v>
      </c>
      <c r="FB522" s="399"/>
      <c r="FC522" s="399"/>
      <c r="FD522" s="399"/>
      <c r="FE522" s="399"/>
      <c r="FF522" s="399">
        <v>0</v>
      </c>
      <c r="FG522" s="399">
        <v>0</v>
      </c>
      <c r="FH522" s="399">
        <v>0</v>
      </c>
      <c r="FI522" s="399">
        <v>0</v>
      </c>
    </row>
    <row r="523" spans="1:165">
      <c r="A523" s="399">
        <v>527</v>
      </c>
      <c r="B523" s="399" t="s">
        <v>956</v>
      </c>
      <c r="C523" s="399" t="s">
        <v>2351</v>
      </c>
      <c r="D523" s="399" t="s">
        <v>533</v>
      </c>
      <c r="E523" s="399" t="s">
        <v>890</v>
      </c>
      <c r="F523" s="399" t="s">
        <v>1239</v>
      </c>
      <c r="G523" s="399" t="s">
        <v>1239</v>
      </c>
      <c r="H523" s="399" t="s">
        <v>1239</v>
      </c>
      <c r="I523" s="399" t="s">
        <v>893</v>
      </c>
      <c r="J523" s="399" t="s">
        <v>2344</v>
      </c>
      <c r="K523" s="791">
        <v>44774</v>
      </c>
      <c r="L523" s="399">
        <v>19231</v>
      </c>
      <c r="M523" s="399">
        <v>19231</v>
      </c>
      <c r="N523" s="399">
        <v>1008.914</v>
      </c>
      <c r="O523" s="399">
        <v>1008.914</v>
      </c>
      <c r="P523" s="399">
        <v>1008.914</v>
      </c>
      <c r="Q523" s="399">
        <v>1008.914</v>
      </c>
      <c r="R523" s="399">
        <v>37.64</v>
      </c>
      <c r="S523" s="399">
        <v>78.42</v>
      </c>
      <c r="T523" s="399">
        <v>171.61</v>
      </c>
      <c r="U523" s="399">
        <v>723854.84</v>
      </c>
      <c r="V523" s="399">
        <v>252258.76741999999</v>
      </c>
      <c r="W523" s="399">
        <v>976113.60742000001</v>
      </c>
      <c r="X523" s="399">
        <v>916833.43656000006</v>
      </c>
      <c r="Y523" s="399">
        <v>0</v>
      </c>
      <c r="Z523" s="399">
        <v>53066.707641527348</v>
      </c>
      <c r="AA523" s="399">
        <v>0</v>
      </c>
      <c r="AB523" s="399">
        <v>0</v>
      </c>
      <c r="AC523" s="399">
        <v>0</v>
      </c>
      <c r="AD523" s="399">
        <v>314313.68046331266</v>
      </c>
      <c r="AE523" s="399">
        <v>409475.67194124951</v>
      </c>
      <c r="AF523" s="399">
        <v>166848.37356746322</v>
      </c>
      <c r="AG523" s="399">
        <v>6290.9389184580714</v>
      </c>
      <c r="AH523" s="399">
        <v>0</v>
      </c>
      <c r="AI523" s="399">
        <v>0</v>
      </c>
      <c r="AJ523" s="399">
        <v>0</v>
      </c>
      <c r="AK523" s="399">
        <v>0</v>
      </c>
      <c r="AL523" s="399">
        <v>9431.4398368803686</v>
      </c>
      <c r="AM523" s="399"/>
      <c r="AN523" s="399">
        <v>266.41430994061517</v>
      </c>
      <c r="AO523" s="399">
        <v>0</v>
      </c>
      <c r="AP523" s="399">
        <v>0</v>
      </c>
      <c r="AQ523" s="399">
        <v>0</v>
      </c>
      <c r="AR523" s="399">
        <v>0</v>
      </c>
      <c r="AS523" s="399">
        <v>0</v>
      </c>
      <c r="AT523" s="399">
        <v>0</v>
      </c>
      <c r="AU523" s="399">
        <v>0</v>
      </c>
      <c r="AV523" s="399">
        <v>0</v>
      </c>
      <c r="AW523" s="399">
        <v>0</v>
      </c>
      <c r="AX523" s="399">
        <v>0</v>
      </c>
      <c r="AY523" s="399">
        <v>0</v>
      </c>
      <c r="AZ523" s="399">
        <v>0</v>
      </c>
      <c r="BA523" s="399"/>
      <c r="BB523" s="399">
        <v>0</v>
      </c>
      <c r="BC523" s="399">
        <v>0</v>
      </c>
      <c r="BD523" s="399">
        <v>0</v>
      </c>
      <c r="BE523" s="399">
        <v>0</v>
      </c>
      <c r="BF523" s="399">
        <v>0</v>
      </c>
      <c r="BG523" s="399">
        <v>6236.3887731685872</v>
      </c>
      <c r="BH523" s="399">
        <v>0</v>
      </c>
      <c r="BI523" s="399">
        <v>0</v>
      </c>
      <c r="BJ523" s="399">
        <v>0</v>
      </c>
      <c r="BK523" s="399">
        <v>0</v>
      </c>
      <c r="BL523" s="399">
        <v>0</v>
      </c>
      <c r="BM523" s="399"/>
      <c r="BN523" s="399"/>
      <c r="BO523" s="399"/>
      <c r="BP523" s="399"/>
      <c r="BQ523" s="399"/>
      <c r="BR523" s="399"/>
      <c r="BS523" s="399"/>
      <c r="BT523" s="399"/>
      <c r="BU523" s="399"/>
      <c r="BV523" s="399">
        <v>173084.7623406318</v>
      </c>
      <c r="BW523" s="399"/>
      <c r="BX523" s="399"/>
      <c r="BY523" s="399"/>
      <c r="BZ523" s="399"/>
      <c r="CA523" s="399"/>
      <c r="CB523" s="399"/>
      <c r="CC523" s="399"/>
      <c r="CD523" s="399"/>
      <c r="CE523" s="399"/>
      <c r="CF523" s="399"/>
      <c r="CG523" s="399"/>
      <c r="CH523" s="399"/>
      <c r="CI523" s="399">
        <v>916832.37640000018</v>
      </c>
      <c r="CJ523" s="399">
        <v>-59281.26101999986</v>
      </c>
      <c r="CK523" s="399"/>
      <c r="CL523" s="399"/>
      <c r="CM523" s="399"/>
      <c r="CN523" s="399"/>
      <c r="CO523" s="399">
        <v>-81990.824999999953</v>
      </c>
      <c r="CP523" s="399">
        <v>22710.654139999991</v>
      </c>
      <c r="CQ523" s="399">
        <v>31</v>
      </c>
      <c r="CR523" s="399">
        <v>29302.017393657123</v>
      </c>
      <c r="CS523" s="399">
        <v>0</v>
      </c>
      <c r="CT523" s="399">
        <v>0</v>
      </c>
      <c r="CU523" s="399">
        <v>0</v>
      </c>
      <c r="CV523" s="399">
        <v>0</v>
      </c>
      <c r="CW523" s="399">
        <v>0</v>
      </c>
      <c r="CX523" s="399">
        <v>0</v>
      </c>
      <c r="CY523" s="399">
        <v>0</v>
      </c>
      <c r="CZ523" s="399">
        <v>14154.370132201409</v>
      </c>
      <c r="DA523" s="399">
        <v>0</v>
      </c>
      <c r="DB523" s="399">
        <v>0</v>
      </c>
      <c r="DC523" s="399">
        <v>22716.048450488073</v>
      </c>
      <c r="DD523" s="399">
        <v>0</v>
      </c>
      <c r="DE523" s="399">
        <v>0</v>
      </c>
      <c r="DF523" s="399">
        <v>0</v>
      </c>
      <c r="DG523" s="399">
        <v>849.07096484277554</v>
      </c>
      <c r="DH523" s="399">
        <v>0</v>
      </c>
      <c r="DI523" s="399">
        <v>-7288.8584149924063</v>
      </c>
      <c r="DJ523" s="399"/>
      <c r="DK523" s="399">
        <v>0</v>
      </c>
      <c r="DL523" s="399">
        <v>0</v>
      </c>
      <c r="DM523" s="399">
        <v>0</v>
      </c>
      <c r="DN523" s="399">
        <v>0</v>
      </c>
      <c r="DO523" s="399">
        <v>-1086.9131863393814</v>
      </c>
      <c r="DP523" s="399">
        <v>-41.700552543364438</v>
      </c>
      <c r="DQ523" s="399">
        <v>0</v>
      </c>
      <c r="DR523" s="399">
        <v>0</v>
      </c>
      <c r="DS523" s="399"/>
      <c r="DT523" s="399"/>
      <c r="DU523" s="399">
        <v>409475.67194124951</v>
      </c>
      <c r="DV523" s="399">
        <v>0</v>
      </c>
      <c r="DW523" s="399">
        <v>0</v>
      </c>
      <c r="DX523" s="399">
        <v>0</v>
      </c>
      <c r="DY523" s="399">
        <v>-81990.824999999837</v>
      </c>
      <c r="DZ523" s="399">
        <v>22710.654139999999</v>
      </c>
      <c r="EA523" s="399">
        <v>0</v>
      </c>
      <c r="EB523" s="399">
        <v>0</v>
      </c>
      <c r="EC523" s="399">
        <v>-88526.430914281053</v>
      </c>
      <c r="ED523" s="399">
        <v>0</v>
      </c>
      <c r="EE523" s="399">
        <v>0</v>
      </c>
      <c r="EF523" s="399">
        <v>0</v>
      </c>
      <c r="EG523" s="399">
        <v>0</v>
      </c>
      <c r="EH523" s="399">
        <v>0</v>
      </c>
      <c r="EI523" s="399">
        <v>0</v>
      </c>
      <c r="EJ523" s="399">
        <v>0</v>
      </c>
      <c r="EK523" s="399">
        <v>0</v>
      </c>
      <c r="EL523" s="399">
        <v>0</v>
      </c>
      <c r="EM523" s="399">
        <v>0</v>
      </c>
      <c r="EN523" s="399">
        <v>0</v>
      </c>
      <c r="EO523" s="399">
        <v>0</v>
      </c>
      <c r="EP523" s="399">
        <v>10119.636482717893</v>
      </c>
      <c r="EQ523" s="399">
        <v>0</v>
      </c>
      <c r="ER523" s="399">
        <v>0</v>
      </c>
      <c r="ES523" s="399">
        <v>0</v>
      </c>
      <c r="ET523" s="399">
        <v>0</v>
      </c>
      <c r="EU523" s="399">
        <v>0</v>
      </c>
      <c r="EV523" s="399">
        <v>215</v>
      </c>
      <c r="EW523" s="399">
        <v>0</v>
      </c>
      <c r="EX523" s="399">
        <v>0</v>
      </c>
      <c r="EY523" s="399">
        <v>0</v>
      </c>
      <c r="EZ523" s="399"/>
      <c r="FA523" s="399">
        <v>0</v>
      </c>
      <c r="FB523" s="399"/>
      <c r="FC523" s="399"/>
      <c r="FD523" s="399"/>
      <c r="FE523" s="399"/>
      <c r="FF523" s="399">
        <v>0</v>
      </c>
      <c r="FG523" s="399">
        <v>0</v>
      </c>
      <c r="FH523" s="399">
        <v>0</v>
      </c>
      <c r="FI523" s="399">
        <v>0</v>
      </c>
    </row>
    <row r="524" spans="1:165">
      <c r="A524" s="399">
        <v>528</v>
      </c>
      <c r="B524" s="399" t="s">
        <v>2346</v>
      </c>
      <c r="C524" s="399" t="s">
        <v>2351</v>
      </c>
      <c r="D524" s="399" t="s">
        <v>533</v>
      </c>
      <c r="E524" s="399" t="s">
        <v>890</v>
      </c>
      <c r="F524" s="399" t="s">
        <v>1239</v>
      </c>
      <c r="G524" s="399" t="s">
        <v>1239</v>
      </c>
      <c r="H524" s="399" t="s">
        <v>1239</v>
      </c>
      <c r="I524" s="399" t="s">
        <v>893</v>
      </c>
      <c r="J524" s="399" t="s">
        <v>2344</v>
      </c>
      <c r="K524" s="791">
        <v>44774</v>
      </c>
      <c r="L524" s="399">
        <v>1601</v>
      </c>
      <c r="M524" s="399">
        <v>1601</v>
      </c>
      <c r="N524" s="399">
        <v>93.638000000000005</v>
      </c>
      <c r="O524" s="399">
        <v>93.638000000000005</v>
      </c>
      <c r="P524" s="399">
        <v>93.638000000000005</v>
      </c>
      <c r="Q524" s="399">
        <v>93.638000000000005</v>
      </c>
      <c r="R524" s="399">
        <v>37.64</v>
      </c>
      <c r="S524" s="399">
        <v>78.42</v>
      </c>
      <c r="T524" s="399">
        <v>171.61</v>
      </c>
      <c r="U524" s="399">
        <v>60261.64</v>
      </c>
      <c r="V524" s="399">
        <v>23412.309140000001</v>
      </c>
      <c r="W524" s="399">
        <v>83673.949140000012</v>
      </c>
      <c r="X524" s="399">
        <v>78883.585520000008</v>
      </c>
      <c r="Y524" s="399">
        <v>0</v>
      </c>
      <c r="Z524" s="399">
        <v>4925.1575160393631</v>
      </c>
      <c r="AA524" s="399">
        <v>0</v>
      </c>
      <c r="AB524" s="399">
        <v>0</v>
      </c>
      <c r="AC524" s="399">
        <v>0</v>
      </c>
      <c r="AD524" s="399">
        <v>26166.928522789432</v>
      </c>
      <c r="AE524" s="399">
        <v>34089.259569338072</v>
      </c>
      <c r="AF524" s="399">
        <v>15485.311933534595</v>
      </c>
      <c r="AG524" s="399">
        <v>583.86635376907941</v>
      </c>
      <c r="AH524" s="399">
        <v>0</v>
      </c>
      <c r="AI524" s="399">
        <v>0</v>
      </c>
      <c r="AJ524" s="399">
        <v>0</v>
      </c>
      <c r="AK524" s="399">
        <v>0</v>
      </c>
      <c r="AL524" s="399">
        <v>875.33839697516737</v>
      </c>
      <c r="AM524" s="399"/>
      <c r="AN524" s="399">
        <v>24.726094745656543</v>
      </c>
      <c r="AO524" s="399">
        <v>0</v>
      </c>
      <c r="AP524" s="399">
        <v>0</v>
      </c>
      <c r="AQ524" s="399">
        <v>0</v>
      </c>
      <c r="AR524" s="399">
        <v>0</v>
      </c>
      <c r="AS524" s="399">
        <v>0</v>
      </c>
      <c r="AT524" s="399">
        <v>0</v>
      </c>
      <c r="AU524" s="399">
        <v>0</v>
      </c>
      <c r="AV524" s="399">
        <v>0</v>
      </c>
      <c r="AW524" s="399">
        <v>0</v>
      </c>
      <c r="AX524" s="399">
        <v>0</v>
      </c>
      <c r="AY524" s="399">
        <v>0</v>
      </c>
      <c r="AZ524" s="399">
        <v>0</v>
      </c>
      <c r="BA524" s="399"/>
      <c r="BB524" s="399">
        <v>0</v>
      </c>
      <c r="BC524" s="399">
        <v>0</v>
      </c>
      <c r="BD524" s="399">
        <v>0</v>
      </c>
      <c r="BE524" s="399">
        <v>0</v>
      </c>
      <c r="BF524" s="399">
        <v>0</v>
      </c>
      <c r="BG524" s="399">
        <v>578.80351738796389</v>
      </c>
      <c r="BH524" s="399">
        <v>0</v>
      </c>
      <c r="BI524" s="399">
        <v>0</v>
      </c>
      <c r="BJ524" s="399">
        <v>0</v>
      </c>
      <c r="BK524" s="399">
        <v>0</v>
      </c>
      <c r="BL524" s="399">
        <v>0</v>
      </c>
      <c r="BM524" s="399"/>
      <c r="BN524" s="399"/>
      <c r="BO524" s="399"/>
      <c r="BP524" s="399"/>
      <c r="BQ524" s="399"/>
      <c r="BR524" s="399"/>
      <c r="BS524" s="399"/>
      <c r="BT524" s="399"/>
      <c r="BU524" s="399"/>
      <c r="BV524" s="399">
        <v>16064.115450922558</v>
      </c>
      <c r="BW524" s="399"/>
      <c r="BX524" s="399"/>
      <c r="BY524" s="399"/>
      <c r="BZ524" s="399"/>
      <c r="CA524" s="399"/>
      <c r="CB524" s="399"/>
      <c r="CC524" s="399"/>
      <c r="CD524" s="399"/>
      <c r="CE524" s="399"/>
      <c r="CF524" s="399"/>
      <c r="CG524" s="399"/>
      <c r="CH524" s="399"/>
      <c r="CI524" s="399">
        <v>78884.115600000005</v>
      </c>
      <c r="CJ524" s="399">
        <v>-4789.8635399999912</v>
      </c>
      <c r="CK524" s="399"/>
      <c r="CL524" s="399"/>
      <c r="CM524" s="399"/>
      <c r="CN524" s="399"/>
      <c r="CO524" s="399">
        <v>-6898.1549999999961</v>
      </c>
      <c r="CP524" s="399">
        <v>2107.7913799999992</v>
      </c>
      <c r="CQ524" s="399">
        <v>31</v>
      </c>
      <c r="CR524" s="399">
        <v>2584.2290086506255</v>
      </c>
      <c r="CS524" s="399">
        <v>0</v>
      </c>
      <c r="CT524" s="399">
        <v>0</v>
      </c>
      <c r="CU524" s="399">
        <v>0</v>
      </c>
      <c r="CV524" s="399">
        <v>0</v>
      </c>
      <c r="CW524" s="399">
        <v>0</v>
      </c>
      <c r="CX524" s="399">
        <v>0</v>
      </c>
      <c r="CY524" s="399">
        <v>0</v>
      </c>
      <c r="CZ524" s="399">
        <v>1178.3654818602481</v>
      </c>
      <c r="DA524" s="399">
        <v>0</v>
      </c>
      <c r="DB524" s="399">
        <v>0</v>
      </c>
      <c r="DC524" s="399">
        <v>2108.2920296544617</v>
      </c>
      <c r="DD524" s="399">
        <v>0</v>
      </c>
      <c r="DE524" s="399">
        <v>0</v>
      </c>
      <c r="DF524" s="399">
        <v>0</v>
      </c>
      <c r="DG524" s="399">
        <v>78.802858326822616</v>
      </c>
      <c r="DH524" s="399">
        <v>0</v>
      </c>
      <c r="DI524" s="399">
        <v>-676.48394636515968</v>
      </c>
      <c r="DJ524" s="399"/>
      <c r="DK524" s="399">
        <v>0</v>
      </c>
      <c r="DL524" s="399">
        <v>0</v>
      </c>
      <c r="DM524" s="399">
        <v>0</v>
      </c>
      <c r="DN524" s="399">
        <v>0</v>
      </c>
      <c r="DO524" s="399">
        <v>-100.87715795642339</v>
      </c>
      <c r="DP524" s="399">
        <v>-3.870256869322418</v>
      </c>
      <c r="DQ524" s="399">
        <v>0</v>
      </c>
      <c r="DR524" s="399">
        <v>0</v>
      </c>
      <c r="DS524" s="399"/>
      <c r="DT524" s="399"/>
      <c r="DU524" s="399">
        <v>34089.259569338072</v>
      </c>
      <c r="DV524" s="399">
        <v>0</v>
      </c>
      <c r="DW524" s="399">
        <v>0</v>
      </c>
      <c r="DX524" s="399">
        <v>0</v>
      </c>
      <c r="DY524" s="399">
        <v>-6898.1549999999988</v>
      </c>
      <c r="DZ524" s="399">
        <v>2107.7913800000006</v>
      </c>
      <c r="EA524" s="399">
        <v>0</v>
      </c>
      <c r="EB524" s="399">
        <v>0</v>
      </c>
      <c r="EC524" s="399">
        <v>-7369.9139875078763</v>
      </c>
      <c r="ED524" s="399">
        <v>0</v>
      </c>
      <c r="EE524" s="399">
        <v>0</v>
      </c>
      <c r="EF524" s="399">
        <v>0</v>
      </c>
      <c r="EG524" s="399">
        <v>0</v>
      </c>
      <c r="EH524" s="399">
        <v>0</v>
      </c>
      <c r="EI524" s="399">
        <v>0</v>
      </c>
      <c r="EJ524" s="399">
        <v>0</v>
      </c>
      <c r="EK524" s="399">
        <v>0</v>
      </c>
      <c r="EL524" s="399">
        <v>0</v>
      </c>
      <c r="EM524" s="399">
        <v>0</v>
      </c>
      <c r="EN524" s="399">
        <v>0</v>
      </c>
      <c r="EO524" s="399">
        <v>0</v>
      </c>
      <c r="EP524" s="399">
        <v>939.21039946788153</v>
      </c>
      <c r="EQ524" s="399">
        <v>0</v>
      </c>
      <c r="ER524" s="399">
        <v>0</v>
      </c>
      <c r="ES524" s="399">
        <v>0</v>
      </c>
      <c r="ET524" s="399">
        <v>0</v>
      </c>
      <c r="EU524" s="399">
        <v>0</v>
      </c>
      <c r="EV524" s="399">
        <v>215</v>
      </c>
      <c r="EW524" s="399">
        <v>0</v>
      </c>
      <c r="EX524" s="399">
        <v>0</v>
      </c>
      <c r="EY524" s="399">
        <v>0</v>
      </c>
      <c r="EZ524" s="399"/>
      <c r="FA524" s="399">
        <v>0</v>
      </c>
      <c r="FB524" s="399"/>
      <c r="FC524" s="399"/>
      <c r="FD524" s="399"/>
      <c r="FE524" s="399"/>
      <c r="FF524" s="399">
        <v>0</v>
      </c>
      <c r="FG524" s="399">
        <v>0</v>
      </c>
      <c r="FH524" s="399">
        <v>0</v>
      </c>
      <c r="FI524" s="399">
        <v>0</v>
      </c>
    </row>
    <row r="525" spans="1:165">
      <c r="A525" s="399">
        <v>529</v>
      </c>
      <c r="B525" s="399" t="s">
        <v>956</v>
      </c>
      <c r="C525" s="399" t="s">
        <v>2351</v>
      </c>
      <c r="D525" s="399" t="s">
        <v>533</v>
      </c>
      <c r="E525" s="399" t="s">
        <v>890</v>
      </c>
      <c r="F525" s="399" t="s">
        <v>1239</v>
      </c>
      <c r="G525" s="399" t="s">
        <v>1239</v>
      </c>
      <c r="H525" s="399" t="s">
        <v>1239</v>
      </c>
      <c r="I525" s="399" t="s">
        <v>2326</v>
      </c>
      <c r="J525" s="399" t="s">
        <v>2344</v>
      </c>
      <c r="K525" s="791">
        <v>44774</v>
      </c>
      <c r="L525" s="399">
        <v>22031</v>
      </c>
      <c r="M525" s="399">
        <v>22031</v>
      </c>
      <c r="N525" s="399">
        <v>8467.32</v>
      </c>
      <c r="O525" s="399">
        <v>8467.32</v>
      </c>
      <c r="P525" s="399">
        <v>8467.32</v>
      </c>
      <c r="Q525" s="399">
        <v>8467.32</v>
      </c>
      <c r="R525" s="399">
        <v>12.58</v>
      </c>
      <c r="S525" s="399">
        <v>78.42</v>
      </c>
      <c r="T525" s="399">
        <v>171.61</v>
      </c>
      <c r="U525" s="399">
        <v>277149.98</v>
      </c>
      <c r="V525" s="399">
        <v>2117084.0196000002</v>
      </c>
      <c r="W525" s="399">
        <v>2394233.9995999997</v>
      </c>
      <c r="X525" s="399">
        <v>2499517.7828000002</v>
      </c>
      <c r="Y525" s="399">
        <v>0</v>
      </c>
      <c r="Z525" s="399">
        <v>445362.83067462372</v>
      </c>
      <c r="AA525" s="399">
        <v>0</v>
      </c>
      <c r="AB525" s="399">
        <v>0</v>
      </c>
      <c r="AC525" s="399">
        <v>0</v>
      </c>
      <c r="AD525" s="399">
        <v>146009.11791691068</v>
      </c>
      <c r="AE525" s="399">
        <v>131078.03953876827</v>
      </c>
      <c r="AF525" s="399">
        <v>1400276.5057034125</v>
      </c>
      <c r="AG525" s="399">
        <v>52796.762581387906</v>
      </c>
      <c r="AH525" s="399">
        <v>0</v>
      </c>
      <c r="AI525" s="399">
        <v>0</v>
      </c>
      <c r="AJ525" s="399">
        <v>0</v>
      </c>
      <c r="AK525" s="399">
        <v>0</v>
      </c>
      <c r="AL525" s="399">
        <v>79153.445347783738</v>
      </c>
      <c r="AM525" s="399"/>
      <c r="AN525" s="399">
        <v>2235.8845400563077</v>
      </c>
      <c r="AO525" s="399">
        <v>0</v>
      </c>
      <c r="AP525" s="399">
        <v>0</v>
      </c>
      <c r="AQ525" s="399">
        <v>0</v>
      </c>
      <c r="AR525" s="399">
        <v>0</v>
      </c>
      <c r="AS525" s="399">
        <v>0</v>
      </c>
      <c r="AT525" s="399">
        <v>0</v>
      </c>
      <c r="AU525" s="399">
        <v>0</v>
      </c>
      <c r="AV525" s="399">
        <v>0</v>
      </c>
      <c r="AW525" s="399">
        <v>0</v>
      </c>
      <c r="AX525" s="399">
        <v>0</v>
      </c>
      <c r="AY525" s="399">
        <v>0</v>
      </c>
      <c r="AZ525" s="399">
        <v>0</v>
      </c>
      <c r="BA525" s="399"/>
      <c r="BB525" s="399">
        <v>0</v>
      </c>
      <c r="BC525" s="399">
        <v>0</v>
      </c>
      <c r="BD525" s="399">
        <v>0</v>
      </c>
      <c r="BE525" s="399">
        <v>0</v>
      </c>
      <c r="BF525" s="399">
        <v>0</v>
      </c>
      <c r="BG525" s="399">
        <v>52338.94998664489</v>
      </c>
      <c r="BH525" s="399">
        <v>0</v>
      </c>
      <c r="BI525" s="399">
        <v>0</v>
      </c>
      <c r="BJ525" s="399">
        <v>0</v>
      </c>
      <c r="BK525" s="399">
        <v>0</v>
      </c>
      <c r="BL525" s="399">
        <v>0</v>
      </c>
      <c r="BM525" s="399"/>
      <c r="BN525" s="399"/>
      <c r="BO525" s="399"/>
      <c r="BP525" s="399"/>
      <c r="BQ525" s="399"/>
      <c r="BR525" s="399"/>
      <c r="BS525" s="399"/>
      <c r="BT525" s="399"/>
      <c r="BU525" s="399"/>
      <c r="BV525" s="399">
        <v>1452615.4556900572</v>
      </c>
      <c r="BW525" s="399"/>
      <c r="BX525" s="399"/>
      <c r="BY525" s="399"/>
      <c r="BZ525" s="399"/>
      <c r="CA525" s="399"/>
      <c r="CB525" s="399"/>
      <c r="CC525" s="399"/>
      <c r="CD525" s="399"/>
      <c r="CE525" s="399"/>
      <c r="CF525" s="399"/>
      <c r="CG525" s="399"/>
      <c r="CH525" s="399"/>
      <c r="CI525" s="399">
        <v>2499517.7828000002</v>
      </c>
      <c r="CJ525" s="399">
        <v>105283.75320000015</v>
      </c>
      <c r="CK525" s="399"/>
      <c r="CL525" s="399"/>
      <c r="CM525" s="399"/>
      <c r="CN525" s="399"/>
      <c r="CO525" s="399">
        <v>-85315.59</v>
      </c>
      <c r="CP525" s="399">
        <v>190599.37319999991</v>
      </c>
      <c r="CQ525" s="399">
        <v>31</v>
      </c>
      <c r="CR525" s="399">
        <v>133701.94246113719</v>
      </c>
      <c r="CS525" s="399">
        <v>0</v>
      </c>
      <c r="CT525" s="399">
        <v>0</v>
      </c>
      <c r="CU525" s="399">
        <v>0</v>
      </c>
      <c r="CV525" s="399">
        <v>0</v>
      </c>
      <c r="CW525" s="399">
        <v>0</v>
      </c>
      <c r="CX525" s="399">
        <v>0</v>
      </c>
      <c r="CY525" s="399">
        <v>0</v>
      </c>
      <c r="CZ525" s="399">
        <v>6575.1738665203156</v>
      </c>
      <c r="DA525" s="399">
        <v>0</v>
      </c>
      <c r="DB525" s="399">
        <v>0</v>
      </c>
      <c r="DC525" s="399">
        <v>190644.64500025427</v>
      </c>
      <c r="DD525" s="399">
        <v>0</v>
      </c>
      <c r="DE525" s="399">
        <v>0</v>
      </c>
      <c r="DF525" s="399">
        <v>0</v>
      </c>
      <c r="DG525" s="399">
        <v>7125.8358611660951</v>
      </c>
      <c r="DH525" s="399">
        <v>0</v>
      </c>
      <c r="DI525" s="399">
        <v>-61171.811110197159</v>
      </c>
      <c r="DJ525" s="399"/>
      <c r="DK525" s="399">
        <v>0</v>
      </c>
      <c r="DL525" s="399">
        <v>0</v>
      </c>
      <c r="DM525" s="399">
        <v>0</v>
      </c>
      <c r="DN525" s="399">
        <v>0</v>
      </c>
      <c r="DO525" s="399">
        <v>-9121.9288868577132</v>
      </c>
      <c r="DP525" s="399">
        <v>-349.97226974893852</v>
      </c>
      <c r="DQ525" s="399">
        <v>0</v>
      </c>
      <c r="DR525" s="399">
        <v>0</v>
      </c>
      <c r="DS525" s="399"/>
      <c r="DT525" s="399"/>
      <c r="DU525" s="399">
        <v>131078.03953876827</v>
      </c>
      <c r="DV525" s="399">
        <v>0</v>
      </c>
      <c r="DW525" s="399">
        <v>0</v>
      </c>
      <c r="DX525" s="399">
        <v>0</v>
      </c>
      <c r="DY525" s="399">
        <v>-85315.589999999851</v>
      </c>
      <c r="DZ525" s="399">
        <v>190599.37320000003</v>
      </c>
      <c r="EA525" s="399">
        <v>0</v>
      </c>
      <c r="EB525" s="399">
        <v>0</v>
      </c>
      <c r="EC525" s="399">
        <v>-28338.364906018716</v>
      </c>
      <c r="ED525" s="399">
        <v>0</v>
      </c>
      <c r="EE525" s="399">
        <v>0</v>
      </c>
      <c r="EF525" s="399">
        <v>0</v>
      </c>
      <c r="EG525" s="399">
        <v>0</v>
      </c>
      <c r="EH525" s="399">
        <v>0</v>
      </c>
      <c r="EI525" s="399">
        <v>0</v>
      </c>
      <c r="EJ525" s="399">
        <v>0</v>
      </c>
      <c r="EK525" s="399">
        <v>0</v>
      </c>
      <c r="EL525" s="399">
        <v>0</v>
      </c>
      <c r="EM525" s="399">
        <v>0</v>
      </c>
      <c r="EN525" s="399">
        <v>0</v>
      </c>
      <c r="EO525" s="399">
        <v>0</v>
      </c>
      <c r="EP525" s="399">
        <v>84929.142010961164</v>
      </c>
      <c r="EQ525" s="399">
        <v>0</v>
      </c>
      <c r="ER525" s="399">
        <v>0</v>
      </c>
      <c r="ES525" s="399">
        <v>0</v>
      </c>
      <c r="ET525" s="399">
        <v>0</v>
      </c>
      <c r="EU525" s="399">
        <v>0</v>
      </c>
      <c r="EV525" s="399">
        <v>215</v>
      </c>
      <c r="EW525" s="399">
        <v>0</v>
      </c>
      <c r="EX525" s="399">
        <v>0</v>
      </c>
      <c r="EY525" s="399">
        <v>0</v>
      </c>
      <c r="EZ525" s="399"/>
      <c r="FA525" s="399">
        <v>0</v>
      </c>
      <c r="FB525" s="399"/>
      <c r="FC525" s="399"/>
      <c r="FD525" s="399"/>
      <c r="FE525" s="399"/>
      <c r="FF525" s="399">
        <v>0</v>
      </c>
      <c r="FG525" s="399">
        <v>0</v>
      </c>
      <c r="FH525" s="399">
        <v>0</v>
      </c>
      <c r="FI525" s="399">
        <v>0</v>
      </c>
    </row>
    <row r="526" spans="1:165">
      <c r="A526" s="399">
        <v>530</v>
      </c>
      <c r="B526" s="399" t="s">
        <v>2346</v>
      </c>
      <c r="C526" s="399" t="s">
        <v>2351</v>
      </c>
      <c r="D526" s="399" t="s">
        <v>533</v>
      </c>
      <c r="E526" s="399" t="s">
        <v>890</v>
      </c>
      <c r="F526" s="399" t="s">
        <v>1239</v>
      </c>
      <c r="G526" s="399" t="s">
        <v>1239</v>
      </c>
      <c r="H526" s="399" t="s">
        <v>1239</v>
      </c>
      <c r="I526" s="399" t="s">
        <v>2326</v>
      </c>
      <c r="J526" s="399" t="s">
        <v>2344</v>
      </c>
      <c r="K526" s="791">
        <v>44774</v>
      </c>
      <c r="L526" s="399">
        <v>2000</v>
      </c>
      <c r="M526" s="399">
        <v>2000</v>
      </c>
      <c r="N526" s="399">
        <v>758.21100000000001</v>
      </c>
      <c r="O526" s="399">
        <v>758.21100000000001</v>
      </c>
      <c r="P526" s="399">
        <v>758.21100000000001</v>
      </c>
      <c r="Q526" s="399">
        <v>758.21100000000001</v>
      </c>
      <c r="R526" s="399">
        <v>12.58</v>
      </c>
      <c r="S526" s="399">
        <v>78.42</v>
      </c>
      <c r="T526" s="399">
        <v>171.61</v>
      </c>
      <c r="U526" s="399">
        <v>25160</v>
      </c>
      <c r="V526" s="399">
        <v>189575.49633000002</v>
      </c>
      <c r="W526" s="399">
        <v>214735.49632999999</v>
      </c>
      <c r="X526" s="399">
        <v>224136.24344000002</v>
      </c>
      <c r="Y526" s="399">
        <v>0</v>
      </c>
      <c r="Z526" s="399">
        <v>39880.268751935342</v>
      </c>
      <c r="AA526" s="399">
        <v>0</v>
      </c>
      <c r="AB526" s="399">
        <v>0</v>
      </c>
      <c r="AC526" s="399">
        <v>0</v>
      </c>
      <c r="AD526" s="399">
        <v>13254.878844983039</v>
      </c>
      <c r="AE526" s="399">
        <v>11899.418050816421</v>
      </c>
      <c r="AF526" s="399">
        <v>125388.55855995641</v>
      </c>
      <c r="AG526" s="399">
        <v>4727.7162258656463</v>
      </c>
      <c r="AH526" s="399">
        <v>0</v>
      </c>
      <c r="AI526" s="399">
        <v>0</v>
      </c>
      <c r="AJ526" s="399">
        <v>0</v>
      </c>
      <c r="AK526" s="399">
        <v>0</v>
      </c>
      <c r="AL526" s="399">
        <v>7087.8404206512159</v>
      </c>
      <c r="AM526" s="399"/>
      <c r="AN526" s="399">
        <v>200.21355670987199</v>
      </c>
      <c r="AO526" s="399">
        <v>0</v>
      </c>
      <c r="AP526" s="399">
        <v>0</v>
      </c>
      <c r="AQ526" s="399">
        <v>0</v>
      </c>
      <c r="AR526" s="399">
        <v>0</v>
      </c>
      <c r="AS526" s="399">
        <v>0</v>
      </c>
      <c r="AT526" s="399">
        <v>0</v>
      </c>
      <c r="AU526" s="399">
        <v>0</v>
      </c>
      <c r="AV526" s="399">
        <v>0</v>
      </c>
      <c r="AW526" s="399">
        <v>0</v>
      </c>
      <c r="AX526" s="399">
        <v>0</v>
      </c>
      <c r="AY526" s="399">
        <v>0</v>
      </c>
      <c r="AZ526" s="399">
        <v>0</v>
      </c>
      <c r="BA526" s="399"/>
      <c r="BB526" s="399">
        <v>0</v>
      </c>
      <c r="BC526" s="399">
        <v>0</v>
      </c>
      <c r="BD526" s="399">
        <v>0</v>
      </c>
      <c r="BE526" s="399">
        <v>0</v>
      </c>
      <c r="BF526" s="399">
        <v>0</v>
      </c>
      <c r="BG526" s="399">
        <v>4686.7211358876257</v>
      </c>
      <c r="BH526" s="399">
        <v>0</v>
      </c>
      <c r="BI526" s="399">
        <v>0</v>
      </c>
      <c r="BJ526" s="399">
        <v>0</v>
      </c>
      <c r="BK526" s="399">
        <v>0</v>
      </c>
      <c r="BL526" s="399">
        <v>0</v>
      </c>
      <c r="BM526" s="399"/>
      <c r="BN526" s="399"/>
      <c r="BO526" s="399"/>
      <c r="BP526" s="399"/>
      <c r="BQ526" s="399"/>
      <c r="BR526" s="399"/>
      <c r="BS526" s="399"/>
      <c r="BT526" s="399"/>
      <c r="BU526" s="399"/>
      <c r="BV526" s="399">
        <v>130075.27969584403</v>
      </c>
      <c r="BW526" s="399"/>
      <c r="BX526" s="399"/>
      <c r="BY526" s="399"/>
      <c r="BZ526" s="399"/>
      <c r="CA526" s="399"/>
      <c r="CB526" s="399"/>
      <c r="CC526" s="399"/>
      <c r="CD526" s="399"/>
      <c r="CE526" s="399"/>
      <c r="CF526" s="399"/>
      <c r="CG526" s="399"/>
      <c r="CH526" s="399"/>
      <c r="CI526" s="399">
        <v>224135.97840000002</v>
      </c>
      <c r="CJ526" s="399">
        <v>9400.4520699999994</v>
      </c>
      <c r="CK526" s="399"/>
      <c r="CL526" s="399"/>
      <c r="CM526" s="399"/>
      <c r="CN526" s="399"/>
      <c r="CO526" s="399">
        <v>-7666.5825000000004</v>
      </c>
      <c r="CP526" s="399">
        <v>17067.329609999993</v>
      </c>
      <c r="CQ526" s="399">
        <v>31</v>
      </c>
      <c r="CR526" s="399">
        <v>11980.541009142849</v>
      </c>
      <c r="CS526" s="399">
        <v>0</v>
      </c>
      <c r="CT526" s="399">
        <v>0</v>
      </c>
      <c r="CU526" s="399">
        <v>0</v>
      </c>
      <c r="CV526" s="399">
        <v>0</v>
      </c>
      <c r="CW526" s="399">
        <v>0</v>
      </c>
      <c r="CX526" s="399">
        <v>0</v>
      </c>
      <c r="CY526" s="399">
        <v>0</v>
      </c>
      <c r="CZ526" s="399">
        <v>596.90198960740054</v>
      </c>
      <c r="DA526" s="399">
        <v>0</v>
      </c>
      <c r="DB526" s="399">
        <v>0</v>
      </c>
      <c r="DC526" s="399">
        <v>17071.383499181306</v>
      </c>
      <c r="DD526" s="399">
        <v>0</v>
      </c>
      <c r="DE526" s="399">
        <v>0</v>
      </c>
      <c r="DF526" s="399">
        <v>0</v>
      </c>
      <c r="DG526" s="399">
        <v>638.08703747237723</v>
      </c>
      <c r="DH526" s="399">
        <v>0</v>
      </c>
      <c r="DI526" s="399">
        <v>-5477.664724337068</v>
      </c>
      <c r="DJ526" s="399"/>
      <c r="DK526" s="399">
        <v>0</v>
      </c>
      <c r="DL526" s="399">
        <v>0</v>
      </c>
      <c r="DM526" s="399">
        <v>0</v>
      </c>
      <c r="DN526" s="399">
        <v>0</v>
      </c>
      <c r="DO526" s="399">
        <v>-816.82832622757542</v>
      </c>
      <c r="DP526" s="399">
        <v>-31.338466553598124</v>
      </c>
      <c r="DQ526" s="399">
        <v>0</v>
      </c>
      <c r="DR526" s="399">
        <v>0</v>
      </c>
      <c r="DS526" s="399"/>
      <c r="DT526" s="399"/>
      <c r="DU526" s="399">
        <v>11899.418050816421</v>
      </c>
      <c r="DV526" s="399">
        <v>0</v>
      </c>
      <c r="DW526" s="399">
        <v>0</v>
      </c>
      <c r="DX526" s="399">
        <v>0</v>
      </c>
      <c r="DY526" s="399">
        <v>-7666.5824999999895</v>
      </c>
      <c r="DZ526" s="399">
        <v>17067.329610000001</v>
      </c>
      <c r="EA526" s="399">
        <v>0</v>
      </c>
      <c r="EB526" s="399">
        <v>0</v>
      </c>
      <c r="EC526" s="399">
        <v>-2572.5899783050008</v>
      </c>
      <c r="ED526" s="399">
        <v>0</v>
      </c>
      <c r="EE526" s="399">
        <v>0</v>
      </c>
      <c r="EF526" s="399">
        <v>0</v>
      </c>
      <c r="EG526" s="399">
        <v>0</v>
      </c>
      <c r="EH526" s="399">
        <v>0</v>
      </c>
      <c r="EI526" s="399">
        <v>0</v>
      </c>
      <c r="EJ526" s="399">
        <v>0</v>
      </c>
      <c r="EK526" s="399">
        <v>0</v>
      </c>
      <c r="EL526" s="399">
        <v>0</v>
      </c>
      <c r="EM526" s="399">
        <v>0</v>
      </c>
      <c r="EN526" s="399">
        <v>0</v>
      </c>
      <c r="EO526" s="399">
        <v>0</v>
      </c>
      <c r="EP526" s="399">
        <v>7605.0284733862518</v>
      </c>
      <c r="EQ526" s="399">
        <v>0</v>
      </c>
      <c r="ER526" s="399">
        <v>0</v>
      </c>
      <c r="ES526" s="399">
        <v>0</v>
      </c>
      <c r="ET526" s="399">
        <v>0</v>
      </c>
      <c r="EU526" s="399">
        <v>0</v>
      </c>
      <c r="EV526" s="399">
        <v>215</v>
      </c>
      <c r="EW526" s="399">
        <v>0</v>
      </c>
      <c r="EX526" s="399">
        <v>0</v>
      </c>
      <c r="EY526" s="399">
        <v>0</v>
      </c>
      <c r="EZ526" s="399"/>
      <c r="FA526" s="399">
        <v>0</v>
      </c>
      <c r="FB526" s="399"/>
      <c r="FC526" s="399"/>
      <c r="FD526" s="399"/>
      <c r="FE526" s="399"/>
      <c r="FF526" s="399">
        <v>0</v>
      </c>
      <c r="FG526" s="399">
        <v>0</v>
      </c>
      <c r="FH526" s="399">
        <v>0</v>
      </c>
      <c r="FI526" s="399">
        <v>0</v>
      </c>
    </row>
    <row r="527" spans="1:165">
      <c r="A527" s="399">
        <v>531</v>
      </c>
      <c r="B527" s="399" t="s">
        <v>956</v>
      </c>
      <c r="C527" s="399" t="s">
        <v>2351</v>
      </c>
      <c r="D527" s="399" t="s">
        <v>533</v>
      </c>
      <c r="E527" s="399" t="s">
        <v>890</v>
      </c>
      <c r="F527" s="399" t="s">
        <v>1239</v>
      </c>
      <c r="G527" s="399" t="s">
        <v>1239</v>
      </c>
      <c r="H527" s="399" t="s">
        <v>1239</v>
      </c>
      <c r="I527" s="399" t="s">
        <v>1239</v>
      </c>
      <c r="J527" s="399" t="s">
        <v>2344</v>
      </c>
      <c r="K527" s="791">
        <v>44774</v>
      </c>
      <c r="L527" s="399">
        <v>0</v>
      </c>
      <c r="M527" s="399">
        <v>0</v>
      </c>
      <c r="N527" s="399">
        <v>0</v>
      </c>
      <c r="O527" s="399">
        <v>0</v>
      </c>
      <c r="P527" s="399">
        <v>0</v>
      </c>
      <c r="Q527" s="399">
        <v>0</v>
      </c>
      <c r="R527" s="399"/>
      <c r="S527" s="399"/>
      <c r="T527" s="399"/>
      <c r="U527" s="399"/>
      <c r="V527" s="399"/>
      <c r="W527" s="399"/>
      <c r="X527" s="399"/>
      <c r="Y527" s="399"/>
      <c r="Z527" s="399"/>
      <c r="AA527" s="399">
        <v>0</v>
      </c>
      <c r="AB527" s="399"/>
      <c r="AC527" s="399"/>
      <c r="AD527" s="399"/>
      <c r="AE527" s="399"/>
      <c r="AF527" s="399"/>
      <c r="AG527" s="399"/>
      <c r="AH527" s="399"/>
      <c r="AI527" s="399"/>
      <c r="AJ527" s="399"/>
      <c r="AK527" s="399"/>
      <c r="AL527" s="399"/>
      <c r="AM527" s="399"/>
      <c r="AN527" s="399"/>
      <c r="AO527" s="399"/>
      <c r="AP527" s="399"/>
      <c r="AQ527" s="399"/>
      <c r="AR527" s="399"/>
      <c r="AS527" s="399"/>
      <c r="AT527" s="399"/>
      <c r="AU527" s="399"/>
      <c r="AV527" s="399"/>
      <c r="AW527" s="399"/>
      <c r="AX527" s="399"/>
      <c r="AY527" s="399"/>
      <c r="AZ527" s="399">
        <v>0</v>
      </c>
      <c r="BA527" s="399"/>
      <c r="BB527" s="399"/>
      <c r="BC527" s="399"/>
      <c r="BD527" s="399"/>
      <c r="BE527" s="399"/>
      <c r="BF527" s="399"/>
      <c r="BG527" s="399"/>
      <c r="BH527" s="399"/>
      <c r="BI527" s="399">
        <v>0</v>
      </c>
      <c r="BJ527" s="399">
        <v>0</v>
      </c>
      <c r="BK527" s="399">
        <v>697694.27</v>
      </c>
      <c r="BL527" s="399">
        <v>22</v>
      </c>
      <c r="BM527" s="399"/>
      <c r="BN527" s="399"/>
      <c r="BO527" s="399"/>
      <c r="BP527" s="399"/>
      <c r="BQ527" s="399"/>
      <c r="BR527" s="399"/>
      <c r="BS527" s="399"/>
      <c r="BT527" s="399"/>
      <c r="BU527" s="399"/>
      <c r="BV527" s="399"/>
      <c r="BW527" s="399"/>
      <c r="BX527" s="399"/>
      <c r="BY527" s="399"/>
      <c r="BZ527" s="399"/>
      <c r="CA527" s="399"/>
      <c r="CB527" s="399"/>
      <c r="CC527" s="399"/>
      <c r="CD527" s="399"/>
      <c r="CE527" s="399"/>
      <c r="CF527" s="399"/>
      <c r="CG527" s="399"/>
      <c r="CH527" s="399"/>
      <c r="CI527" s="399"/>
      <c r="CJ527" s="399">
        <v>-0.03</v>
      </c>
      <c r="CK527" s="399"/>
      <c r="CL527" s="399"/>
      <c r="CM527" s="399"/>
      <c r="CN527" s="399"/>
      <c r="CO527" s="399">
        <v>0</v>
      </c>
      <c r="CP527" s="399">
        <v>0</v>
      </c>
      <c r="CQ527" s="399">
        <v>31</v>
      </c>
      <c r="CR527" s="399"/>
      <c r="CS527" s="399"/>
      <c r="CT527" s="399"/>
      <c r="CU527" s="399"/>
      <c r="CV527" s="399"/>
      <c r="CW527" s="399"/>
      <c r="CX527" s="399"/>
      <c r="CY527" s="399"/>
      <c r="CZ527" s="399"/>
      <c r="DA527" s="399"/>
      <c r="DB527" s="399"/>
      <c r="DC527" s="399"/>
      <c r="DD527" s="399"/>
      <c r="DE527" s="399"/>
      <c r="DF527" s="399"/>
      <c r="DG527" s="399"/>
      <c r="DH527" s="399"/>
      <c r="DI527" s="399"/>
      <c r="DJ527" s="399"/>
      <c r="DK527" s="399">
        <v>0</v>
      </c>
      <c r="DL527" s="399"/>
      <c r="DM527" s="399"/>
      <c r="DN527" s="399"/>
      <c r="DO527" s="399"/>
      <c r="DP527" s="399"/>
      <c r="DQ527" s="399"/>
      <c r="DR527" s="399"/>
      <c r="DS527" s="399"/>
      <c r="DT527" s="399"/>
      <c r="DU527" s="399"/>
      <c r="DV527" s="399"/>
      <c r="DW527" s="399"/>
      <c r="DX527" s="399"/>
      <c r="DY527" s="399"/>
      <c r="DZ527" s="399"/>
      <c r="EA527" s="399"/>
      <c r="EB527" s="399"/>
      <c r="EC527" s="399"/>
      <c r="ED527" s="399"/>
      <c r="EE527" s="399"/>
      <c r="EF527" s="399"/>
      <c r="EG527" s="399"/>
      <c r="EH527" s="399"/>
      <c r="EI527" s="399"/>
      <c r="EJ527" s="399"/>
      <c r="EK527" s="399"/>
      <c r="EL527" s="399"/>
      <c r="EM527" s="399"/>
      <c r="EN527" s="399"/>
      <c r="EO527" s="399"/>
      <c r="EP527" s="399"/>
      <c r="EQ527" s="399"/>
      <c r="ER527" s="399"/>
      <c r="ES527" s="399"/>
      <c r="ET527" s="399"/>
      <c r="EU527" s="399"/>
      <c r="EV527" s="399">
        <v>215</v>
      </c>
      <c r="EW527" s="399"/>
      <c r="EX527" s="399"/>
      <c r="EY527" s="399"/>
      <c r="EZ527" s="399"/>
      <c r="FA527" s="399">
        <v>0</v>
      </c>
      <c r="FB527" s="399"/>
      <c r="FC527" s="399"/>
      <c r="FD527" s="399"/>
      <c r="FE527" s="399"/>
      <c r="FF527" s="399">
        <v>0</v>
      </c>
      <c r="FG527" s="399">
        <v>0</v>
      </c>
      <c r="FH527" s="399">
        <v>0</v>
      </c>
      <c r="FI527" s="399">
        <v>0</v>
      </c>
    </row>
    <row r="528" spans="1:165">
      <c r="A528" s="399">
        <v>532</v>
      </c>
      <c r="B528" s="399" t="s">
        <v>2346</v>
      </c>
      <c r="C528" s="399" t="s">
        <v>2351</v>
      </c>
      <c r="D528" s="399" t="s">
        <v>533</v>
      </c>
      <c r="E528" s="399" t="s">
        <v>890</v>
      </c>
      <c r="F528" s="399" t="s">
        <v>1239</v>
      </c>
      <c r="G528" s="399" t="s">
        <v>1239</v>
      </c>
      <c r="H528" s="399" t="s">
        <v>1239</v>
      </c>
      <c r="I528" s="399" t="s">
        <v>1239</v>
      </c>
      <c r="J528" s="399" t="s">
        <v>2344</v>
      </c>
      <c r="K528" s="791">
        <v>44774</v>
      </c>
      <c r="L528" s="399">
        <v>0</v>
      </c>
      <c r="M528" s="399">
        <v>0</v>
      </c>
      <c r="N528" s="399">
        <v>0</v>
      </c>
      <c r="O528" s="399">
        <v>0</v>
      </c>
      <c r="P528" s="399">
        <v>0</v>
      </c>
      <c r="Q528" s="399">
        <v>0</v>
      </c>
      <c r="R528" s="399"/>
      <c r="S528" s="399"/>
      <c r="T528" s="399"/>
      <c r="U528" s="399"/>
      <c r="V528" s="399"/>
      <c r="W528" s="399"/>
      <c r="X528" s="399"/>
      <c r="Y528" s="399"/>
      <c r="Z528" s="399"/>
      <c r="AA528" s="399">
        <v>0</v>
      </c>
      <c r="AB528" s="399"/>
      <c r="AC528" s="399"/>
      <c r="AD528" s="399"/>
      <c r="AE528" s="399"/>
      <c r="AF528" s="399"/>
      <c r="AG528" s="399"/>
      <c r="AH528" s="399"/>
      <c r="AI528" s="399"/>
      <c r="AJ528" s="399"/>
      <c r="AK528" s="399"/>
      <c r="AL528" s="399"/>
      <c r="AM528" s="399"/>
      <c r="AN528" s="399"/>
      <c r="AO528" s="399"/>
      <c r="AP528" s="399"/>
      <c r="AQ528" s="399"/>
      <c r="AR528" s="399"/>
      <c r="AS528" s="399"/>
      <c r="AT528" s="399"/>
      <c r="AU528" s="399"/>
      <c r="AV528" s="399"/>
      <c r="AW528" s="399"/>
      <c r="AX528" s="399"/>
      <c r="AY528" s="399"/>
      <c r="AZ528" s="399">
        <v>0</v>
      </c>
      <c r="BA528" s="399"/>
      <c r="BB528" s="399"/>
      <c r="BC528" s="399"/>
      <c r="BD528" s="399"/>
      <c r="BE528" s="399"/>
      <c r="BF528" s="399"/>
      <c r="BG528" s="399"/>
      <c r="BH528" s="399"/>
      <c r="BI528" s="399">
        <v>0</v>
      </c>
      <c r="BJ528" s="399">
        <v>0</v>
      </c>
      <c r="BK528" s="399">
        <v>34253.82</v>
      </c>
      <c r="BL528" s="399">
        <v>3</v>
      </c>
      <c r="BM528" s="399"/>
      <c r="BN528" s="399"/>
      <c r="BO528" s="399"/>
      <c r="BP528" s="399"/>
      <c r="BQ528" s="399"/>
      <c r="BR528" s="399"/>
      <c r="BS528" s="399"/>
      <c r="BT528" s="399"/>
      <c r="BU528" s="399"/>
      <c r="BV528" s="399"/>
      <c r="BW528" s="399"/>
      <c r="BX528" s="399"/>
      <c r="BY528" s="399"/>
      <c r="BZ528" s="399"/>
      <c r="CA528" s="399"/>
      <c r="CB528" s="399"/>
      <c r="CC528" s="399"/>
      <c r="CD528" s="399"/>
      <c r="CE528" s="399"/>
      <c r="CF528" s="399"/>
      <c r="CG528" s="399"/>
      <c r="CH528" s="399"/>
      <c r="CI528" s="399"/>
      <c r="CJ528" s="399">
        <v>-0.03</v>
      </c>
      <c r="CK528" s="399"/>
      <c r="CL528" s="399"/>
      <c r="CM528" s="399"/>
      <c r="CN528" s="399"/>
      <c r="CO528" s="399">
        <v>0</v>
      </c>
      <c r="CP528" s="399">
        <v>0</v>
      </c>
      <c r="CQ528" s="399">
        <v>31</v>
      </c>
      <c r="CR528" s="399"/>
      <c r="CS528" s="399"/>
      <c r="CT528" s="399"/>
      <c r="CU528" s="399"/>
      <c r="CV528" s="399"/>
      <c r="CW528" s="399"/>
      <c r="CX528" s="399"/>
      <c r="CY528" s="399"/>
      <c r="CZ528" s="399"/>
      <c r="DA528" s="399"/>
      <c r="DB528" s="399"/>
      <c r="DC528" s="399"/>
      <c r="DD528" s="399"/>
      <c r="DE528" s="399"/>
      <c r="DF528" s="399"/>
      <c r="DG528" s="399"/>
      <c r="DH528" s="399"/>
      <c r="DI528" s="399"/>
      <c r="DJ528" s="399"/>
      <c r="DK528" s="399">
        <v>0</v>
      </c>
      <c r="DL528" s="399"/>
      <c r="DM528" s="399"/>
      <c r="DN528" s="399"/>
      <c r="DO528" s="399"/>
      <c r="DP528" s="399"/>
      <c r="DQ528" s="399"/>
      <c r="DR528" s="399"/>
      <c r="DS528" s="399"/>
      <c r="DT528" s="399"/>
      <c r="DU528" s="399"/>
      <c r="DV528" s="399"/>
      <c r="DW528" s="399"/>
      <c r="DX528" s="399"/>
      <c r="DY528" s="399"/>
      <c r="DZ528" s="399"/>
      <c r="EA528" s="399"/>
      <c r="EB528" s="399"/>
      <c r="EC528" s="399"/>
      <c r="ED528" s="399"/>
      <c r="EE528" s="399"/>
      <c r="EF528" s="399"/>
      <c r="EG528" s="399"/>
      <c r="EH528" s="399"/>
      <c r="EI528" s="399"/>
      <c r="EJ528" s="399"/>
      <c r="EK528" s="399"/>
      <c r="EL528" s="399"/>
      <c r="EM528" s="399"/>
      <c r="EN528" s="399"/>
      <c r="EO528" s="399"/>
      <c r="EP528" s="399"/>
      <c r="EQ528" s="399"/>
      <c r="ER528" s="399"/>
      <c r="ES528" s="399"/>
      <c r="ET528" s="399"/>
      <c r="EU528" s="399"/>
      <c r="EV528" s="399">
        <v>215</v>
      </c>
      <c r="EW528" s="399"/>
      <c r="EX528" s="399"/>
      <c r="EY528" s="399"/>
      <c r="EZ528" s="399"/>
      <c r="FA528" s="399">
        <v>0</v>
      </c>
      <c r="FB528" s="399"/>
      <c r="FC528" s="399"/>
      <c r="FD528" s="399"/>
      <c r="FE528" s="399"/>
      <c r="FF528" s="399">
        <v>0</v>
      </c>
      <c r="FG528" s="399">
        <v>0</v>
      </c>
      <c r="FH528" s="399">
        <v>0</v>
      </c>
      <c r="FI528" s="399">
        <v>0</v>
      </c>
    </row>
    <row r="529" spans="1:165">
      <c r="A529" s="399">
        <v>533</v>
      </c>
      <c r="B529" s="399" t="s">
        <v>956</v>
      </c>
      <c r="C529" s="399" t="s">
        <v>2352</v>
      </c>
      <c r="D529" s="399" t="s">
        <v>533</v>
      </c>
      <c r="E529" s="399" t="s">
        <v>890</v>
      </c>
      <c r="F529" s="399" t="s">
        <v>1239</v>
      </c>
      <c r="G529" s="399" t="s">
        <v>1239</v>
      </c>
      <c r="H529" s="399" t="s">
        <v>1239</v>
      </c>
      <c r="I529" s="399" t="s">
        <v>893</v>
      </c>
      <c r="J529" s="399" t="s">
        <v>2344</v>
      </c>
      <c r="K529" s="791">
        <v>44774</v>
      </c>
      <c r="L529" s="399">
        <v>0</v>
      </c>
      <c r="M529" s="399">
        <v>0</v>
      </c>
      <c r="N529" s="399">
        <v>185.21199999999999</v>
      </c>
      <c r="O529" s="399">
        <v>185.21199999999999</v>
      </c>
      <c r="P529" s="399">
        <v>185.21199999999999</v>
      </c>
      <c r="Q529" s="399">
        <v>185.21199999999999</v>
      </c>
      <c r="R529" s="399"/>
      <c r="S529" s="399">
        <v>984.21</v>
      </c>
      <c r="T529" s="399">
        <v>171.61</v>
      </c>
      <c r="U529" s="399"/>
      <c r="V529" s="399">
        <v>214071.73384</v>
      </c>
      <c r="W529" s="399">
        <v>214071.73384</v>
      </c>
      <c r="X529" s="399">
        <v>199630.7542</v>
      </c>
      <c r="Y529" s="399">
        <v>0</v>
      </c>
      <c r="Z529" s="399">
        <v>9741.7530688468614</v>
      </c>
      <c r="AA529" s="399">
        <v>0</v>
      </c>
      <c r="AB529" s="399">
        <v>0</v>
      </c>
      <c r="AC529" s="399">
        <v>0</v>
      </c>
      <c r="AD529" s="399">
        <v>72919.569336036453</v>
      </c>
      <c r="AE529" s="399">
        <v>94843.753759105355</v>
      </c>
      <c r="AF529" s="399">
        <v>30629.291461092816</v>
      </c>
      <c r="AG529" s="399">
        <v>1154.8629308003024</v>
      </c>
      <c r="AH529" s="399">
        <v>0</v>
      </c>
      <c r="AI529" s="399">
        <v>0</v>
      </c>
      <c r="AJ529" s="399">
        <v>0</v>
      </c>
      <c r="AK529" s="399">
        <v>0</v>
      </c>
      <c r="AL529" s="399">
        <v>1731.382293305759</v>
      </c>
      <c r="AM529" s="399"/>
      <c r="AN529" s="399">
        <v>48.907168671186263</v>
      </c>
      <c r="AO529" s="399">
        <v>0</v>
      </c>
      <c r="AP529" s="399">
        <v>0</v>
      </c>
      <c r="AQ529" s="399">
        <v>0</v>
      </c>
      <c r="AR529" s="399">
        <v>0</v>
      </c>
      <c r="AS529" s="399">
        <v>0</v>
      </c>
      <c r="AT529" s="399">
        <v>0</v>
      </c>
      <c r="AU529" s="399">
        <v>0</v>
      </c>
      <c r="AV529" s="399">
        <v>0</v>
      </c>
      <c r="AW529" s="399">
        <v>0</v>
      </c>
      <c r="AX529" s="399">
        <v>0</v>
      </c>
      <c r="AY529" s="399">
        <v>0</v>
      </c>
      <c r="AZ529" s="399">
        <v>0</v>
      </c>
      <c r="BA529" s="399"/>
      <c r="BB529" s="399">
        <v>0</v>
      </c>
      <c r="BC529" s="399">
        <v>0</v>
      </c>
      <c r="BD529" s="399">
        <v>0</v>
      </c>
      <c r="BE529" s="399">
        <v>0</v>
      </c>
      <c r="BF529" s="399">
        <v>0</v>
      </c>
      <c r="BG529" s="399">
        <v>1144.8488547647275</v>
      </c>
      <c r="BH529" s="399">
        <v>0</v>
      </c>
      <c r="BI529" s="399">
        <v>0</v>
      </c>
      <c r="BJ529" s="399">
        <v>0</v>
      </c>
      <c r="BK529" s="399">
        <v>0</v>
      </c>
      <c r="BL529" s="399">
        <v>0</v>
      </c>
      <c r="BM529" s="399"/>
      <c r="BN529" s="399"/>
      <c r="BO529" s="399"/>
      <c r="BP529" s="399"/>
      <c r="BQ529" s="399"/>
      <c r="BR529" s="399"/>
      <c r="BS529" s="399"/>
      <c r="BT529" s="399"/>
      <c r="BU529" s="399"/>
      <c r="BV529" s="399">
        <v>31774.140315857545</v>
      </c>
      <c r="BW529" s="399"/>
      <c r="BX529" s="399"/>
      <c r="BY529" s="399"/>
      <c r="BZ529" s="399"/>
      <c r="CA529" s="399"/>
      <c r="CB529" s="399"/>
      <c r="CC529" s="399"/>
      <c r="CD529" s="399"/>
      <c r="CE529" s="399"/>
      <c r="CF529" s="399"/>
      <c r="CG529" s="399"/>
      <c r="CH529" s="399"/>
      <c r="CI529" s="399">
        <v>199628.59850000002</v>
      </c>
      <c r="CJ529" s="399">
        <v>-14443.165340000007</v>
      </c>
      <c r="CK529" s="399"/>
      <c r="CL529" s="399"/>
      <c r="CM529" s="399"/>
      <c r="CN529" s="399"/>
      <c r="CO529" s="399">
        <v>-18610.101760000001</v>
      </c>
      <c r="CP529" s="399">
        <v>4169.1221199999982</v>
      </c>
      <c r="CQ529" s="399">
        <v>31</v>
      </c>
      <c r="CR529" s="399">
        <v>6064.4981686897809</v>
      </c>
      <c r="CS529" s="399">
        <v>0</v>
      </c>
      <c r="CT529" s="399">
        <v>0</v>
      </c>
      <c r="CU529" s="399">
        <v>0</v>
      </c>
      <c r="CV529" s="399">
        <v>0</v>
      </c>
      <c r="CW529" s="399">
        <v>0</v>
      </c>
      <c r="CX529" s="399">
        <v>0</v>
      </c>
      <c r="CY529" s="399">
        <v>0</v>
      </c>
      <c r="CZ529" s="399">
        <v>3283.7596274575772</v>
      </c>
      <c r="DA529" s="399">
        <v>0</v>
      </c>
      <c r="DB529" s="399">
        <v>0</v>
      </c>
      <c r="DC529" s="399">
        <v>4170.1123838224048</v>
      </c>
      <c r="DD529" s="399">
        <v>0</v>
      </c>
      <c r="DE529" s="399">
        <v>0</v>
      </c>
      <c r="DF529" s="399">
        <v>0</v>
      </c>
      <c r="DG529" s="399">
        <v>155.86871779007947</v>
      </c>
      <c r="DH529" s="399">
        <v>0</v>
      </c>
      <c r="DI529" s="399">
        <v>-1338.0566081525012</v>
      </c>
      <c r="DJ529" s="399"/>
      <c r="DK529" s="399">
        <v>0</v>
      </c>
      <c r="DL529" s="399">
        <v>0</v>
      </c>
      <c r="DM529" s="399">
        <v>0</v>
      </c>
      <c r="DN529" s="399">
        <v>0</v>
      </c>
      <c r="DO529" s="399">
        <v>-199.53074798078865</v>
      </c>
      <c r="DP529" s="399">
        <v>-7.6552042470038231</v>
      </c>
      <c r="DQ529" s="399">
        <v>0</v>
      </c>
      <c r="DR529" s="399">
        <v>0</v>
      </c>
      <c r="DS529" s="399"/>
      <c r="DT529" s="399"/>
      <c r="DU529" s="399"/>
      <c r="DV529" s="399">
        <v>94843.753759105355</v>
      </c>
      <c r="DW529" s="399">
        <v>0</v>
      </c>
      <c r="DX529" s="399">
        <v>0</v>
      </c>
      <c r="DY529" s="399">
        <v>-18610.10176000002</v>
      </c>
      <c r="DZ529" s="399">
        <v>4169.12212</v>
      </c>
      <c r="EA529" s="399">
        <v>0</v>
      </c>
      <c r="EB529" s="399">
        <v>0</v>
      </c>
      <c r="EC529" s="399">
        <v>-20504.707825502512</v>
      </c>
      <c r="ED529" s="399">
        <v>0</v>
      </c>
      <c r="EE529" s="399">
        <v>0</v>
      </c>
      <c r="EF529" s="399">
        <v>0</v>
      </c>
      <c r="EG529" s="399">
        <v>0</v>
      </c>
      <c r="EH529" s="399">
        <v>0</v>
      </c>
      <c r="EI529" s="399">
        <v>0</v>
      </c>
      <c r="EJ529" s="399">
        <v>0</v>
      </c>
      <c r="EK529" s="399">
        <v>0</v>
      </c>
      <c r="EL529" s="399">
        <v>0</v>
      </c>
      <c r="EM529" s="399">
        <v>0</v>
      </c>
      <c r="EN529" s="399">
        <v>0</v>
      </c>
      <c r="EO529" s="399">
        <v>0</v>
      </c>
      <c r="EP529" s="399">
        <v>1857.7184103274872</v>
      </c>
      <c r="EQ529" s="399">
        <v>0</v>
      </c>
      <c r="ER529" s="399">
        <v>0</v>
      </c>
      <c r="ES529" s="399">
        <v>0</v>
      </c>
      <c r="ET529" s="399">
        <v>0</v>
      </c>
      <c r="EU529" s="399">
        <v>0</v>
      </c>
      <c r="EV529" s="399">
        <v>215</v>
      </c>
      <c r="EW529" s="399">
        <v>0</v>
      </c>
      <c r="EX529" s="399">
        <v>0</v>
      </c>
      <c r="EY529" s="399">
        <v>0</v>
      </c>
      <c r="EZ529" s="399"/>
      <c r="FA529" s="399">
        <v>0</v>
      </c>
      <c r="FB529" s="399"/>
      <c r="FC529" s="399"/>
      <c r="FD529" s="399"/>
      <c r="FE529" s="399"/>
      <c r="FF529" s="399">
        <v>0</v>
      </c>
      <c r="FG529" s="399">
        <v>0</v>
      </c>
      <c r="FH529" s="399">
        <v>0</v>
      </c>
      <c r="FI529" s="399">
        <v>0</v>
      </c>
    </row>
    <row r="530" spans="1:165">
      <c r="A530" s="399">
        <v>534</v>
      </c>
      <c r="B530" s="399" t="s">
        <v>2346</v>
      </c>
      <c r="C530" s="399" t="s">
        <v>2352</v>
      </c>
      <c r="D530" s="399" t="s">
        <v>533</v>
      </c>
      <c r="E530" s="399" t="s">
        <v>890</v>
      </c>
      <c r="F530" s="399" t="s">
        <v>1239</v>
      </c>
      <c r="G530" s="399" t="s">
        <v>1239</v>
      </c>
      <c r="H530" s="399" t="s">
        <v>1239</v>
      </c>
      <c r="I530" s="399" t="s">
        <v>893</v>
      </c>
      <c r="J530" s="399" t="s">
        <v>2344</v>
      </c>
      <c r="K530" s="791">
        <v>44774</v>
      </c>
      <c r="L530" s="399">
        <v>0</v>
      </c>
      <c r="M530" s="399">
        <v>0</v>
      </c>
      <c r="N530" s="399">
        <v>1.2390000000000001</v>
      </c>
      <c r="O530" s="399">
        <v>1.2390000000000001</v>
      </c>
      <c r="P530" s="399">
        <v>1.2390000000000001</v>
      </c>
      <c r="Q530" s="399">
        <v>1.2390000000000001</v>
      </c>
      <c r="R530" s="399"/>
      <c r="S530" s="399">
        <v>984.21</v>
      </c>
      <c r="T530" s="399">
        <v>171.61</v>
      </c>
      <c r="U530" s="399"/>
      <c r="V530" s="399">
        <v>1432.0609800000002</v>
      </c>
      <c r="W530" s="399">
        <v>1432.0609800000002</v>
      </c>
      <c r="X530" s="399">
        <v>1335.4561500000002</v>
      </c>
      <c r="Y530" s="399">
        <v>0</v>
      </c>
      <c r="Z530" s="399">
        <v>65.16873664936</v>
      </c>
      <c r="AA530" s="399">
        <v>0</v>
      </c>
      <c r="AB530" s="399">
        <v>0</v>
      </c>
      <c r="AC530" s="399">
        <v>0</v>
      </c>
      <c r="AD530" s="399">
        <v>487.8050364304105</v>
      </c>
      <c r="AE530" s="399">
        <v>634.46974768120617</v>
      </c>
      <c r="AF530" s="399">
        <v>204.8986681224435</v>
      </c>
      <c r="AG530" s="399">
        <v>7.725607256881708</v>
      </c>
      <c r="AH530" s="399">
        <v>0</v>
      </c>
      <c r="AI530" s="399">
        <v>0</v>
      </c>
      <c r="AJ530" s="399">
        <v>0</v>
      </c>
      <c r="AK530" s="399">
        <v>0</v>
      </c>
      <c r="AL530" s="399">
        <v>11.582309253211649</v>
      </c>
      <c r="AM530" s="399"/>
      <c r="AN530" s="399">
        <v>0.32717092836101219</v>
      </c>
      <c r="AO530" s="399">
        <v>0</v>
      </c>
      <c r="AP530" s="399">
        <v>0</v>
      </c>
      <c r="AQ530" s="399">
        <v>0</v>
      </c>
      <c r="AR530" s="399">
        <v>0</v>
      </c>
      <c r="AS530" s="399">
        <v>0</v>
      </c>
      <c r="AT530" s="399">
        <v>0</v>
      </c>
      <c r="AU530" s="399">
        <v>0</v>
      </c>
      <c r="AV530" s="399">
        <v>0</v>
      </c>
      <c r="AW530" s="399">
        <v>0</v>
      </c>
      <c r="AX530" s="399">
        <v>0</v>
      </c>
      <c r="AY530" s="399">
        <v>0</v>
      </c>
      <c r="AZ530" s="399">
        <v>0</v>
      </c>
      <c r="BA530" s="399"/>
      <c r="BB530" s="399">
        <v>0</v>
      </c>
      <c r="BC530" s="399">
        <v>0</v>
      </c>
      <c r="BD530" s="399">
        <v>0</v>
      </c>
      <c r="BE530" s="399">
        <v>0</v>
      </c>
      <c r="BF530" s="399">
        <v>0</v>
      </c>
      <c r="BG530" s="399">
        <v>7.6586167799791465</v>
      </c>
      <c r="BH530" s="399">
        <v>0</v>
      </c>
      <c r="BI530" s="399">
        <v>0</v>
      </c>
      <c r="BJ530" s="399">
        <v>0</v>
      </c>
      <c r="BK530" s="399">
        <v>0</v>
      </c>
      <c r="BL530" s="399">
        <v>0</v>
      </c>
      <c r="BM530" s="399"/>
      <c r="BN530" s="399"/>
      <c r="BO530" s="399"/>
      <c r="BP530" s="399"/>
      <c r="BQ530" s="399"/>
      <c r="BR530" s="399"/>
      <c r="BS530" s="399"/>
      <c r="BT530" s="399"/>
      <c r="BU530" s="399"/>
      <c r="BV530" s="399">
        <v>212.55728490242265</v>
      </c>
      <c r="BW530" s="399"/>
      <c r="BX530" s="399"/>
      <c r="BY530" s="399"/>
      <c r="BZ530" s="399"/>
      <c r="CA530" s="399"/>
      <c r="CB530" s="399"/>
      <c r="CC530" s="399"/>
      <c r="CD530" s="399"/>
      <c r="CE530" s="399"/>
      <c r="CF530" s="399"/>
      <c r="CG530" s="399"/>
      <c r="CH530" s="399"/>
      <c r="CI530" s="399">
        <v>1336.5340000000001</v>
      </c>
      <c r="CJ530" s="399">
        <v>-95.556980000000067</v>
      </c>
      <c r="CK530" s="399"/>
      <c r="CL530" s="399"/>
      <c r="CM530" s="399"/>
      <c r="CN530" s="399"/>
      <c r="CO530" s="399">
        <v>-124.49472000000003</v>
      </c>
      <c r="CP530" s="399">
        <v>27.889889999999991</v>
      </c>
      <c r="CQ530" s="399">
        <v>31</v>
      </c>
      <c r="CR530" s="399">
        <v>40.569257019019346</v>
      </c>
      <c r="CS530" s="399">
        <v>0</v>
      </c>
      <c r="CT530" s="399">
        <v>0</v>
      </c>
      <c r="CU530" s="399">
        <v>0</v>
      </c>
      <c r="CV530" s="399">
        <v>0</v>
      </c>
      <c r="CW530" s="399">
        <v>0</v>
      </c>
      <c r="CX530" s="399">
        <v>0</v>
      </c>
      <c r="CY530" s="399">
        <v>0</v>
      </c>
      <c r="CZ530" s="399">
        <v>21.967141321404256</v>
      </c>
      <c r="DA530" s="399">
        <v>0</v>
      </c>
      <c r="DB530" s="399">
        <v>0</v>
      </c>
      <c r="DC530" s="399">
        <v>27.896514499902594</v>
      </c>
      <c r="DD530" s="399">
        <v>0</v>
      </c>
      <c r="DE530" s="399">
        <v>0</v>
      </c>
      <c r="DF530" s="399">
        <v>0</v>
      </c>
      <c r="DG530" s="399">
        <v>1.042704259669506</v>
      </c>
      <c r="DH530" s="399">
        <v>0</v>
      </c>
      <c r="DI530" s="399">
        <v>-8.9511054224399658</v>
      </c>
      <c r="DJ530" s="399"/>
      <c r="DK530" s="399">
        <v>0</v>
      </c>
      <c r="DL530" s="399">
        <v>0</v>
      </c>
      <c r="DM530" s="399">
        <v>0</v>
      </c>
      <c r="DN530" s="399">
        <v>0</v>
      </c>
      <c r="DO530" s="399">
        <v>-1.3347871452616307</v>
      </c>
      <c r="DP530" s="399">
        <v>-5.1210494255435612E-2</v>
      </c>
      <c r="DQ530" s="399">
        <v>0</v>
      </c>
      <c r="DR530" s="399">
        <v>0</v>
      </c>
      <c r="DS530" s="399"/>
      <c r="DT530" s="399"/>
      <c r="DU530" s="399"/>
      <c r="DV530" s="399">
        <v>634.46974768120617</v>
      </c>
      <c r="DW530" s="399">
        <v>0</v>
      </c>
      <c r="DX530" s="399">
        <v>0</v>
      </c>
      <c r="DY530" s="399">
        <v>-124.49471999999992</v>
      </c>
      <c r="DZ530" s="399">
        <v>27.88988999999998</v>
      </c>
      <c r="EA530" s="399">
        <v>0</v>
      </c>
      <c r="EB530" s="399">
        <v>0</v>
      </c>
      <c r="EC530" s="399">
        <v>-137.16893611535767</v>
      </c>
      <c r="ED530" s="399">
        <v>0</v>
      </c>
      <c r="EE530" s="399">
        <v>0</v>
      </c>
      <c r="EF530" s="399">
        <v>0</v>
      </c>
      <c r="EG530" s="399">
        <v>0</v>
      </c>
      <c r="EH530" s="399">
        <v>0</v>
      </c>
      <c r="EI530" s="399">
        <v>0</v>
      </c>
      <c r="EJ530" s="399">
        <v>0</v>
      </c>
      <c r="EK530" s="399">
        <v>0</v>
      </c>
      <c r="EL530" s="399">
        <v>0</v>
      </c>
      <c r="EM530" s="399">
        <v>0</v>
      </c>
      <c r="EN530" s="399">
        <v>0</v>
      </c>
      <c r="EO530" s="399">
        <v>0</v>
      </c>
      <c r="EP530" s="399">
        <v>12.427451301188675</v>
      </c>
      <c r="EQ530" s="399">
        <v>0</v>
      </c>
      <c r="ER530" s="399">
        <v>0</v>
      </c>
      <c r="ES530" s="399">
        <v>0</v>
      </c>
      <c r="ET530" s="399">
        <v>0</v>
      </c>
      <c r="EU530" s="399">
        <v>0</v>
      </c>
      <c r="EV530" s="399">
        <v>215</v>
      </c>
      <c r="EW530" s="399">
        <v>0</v>
      </c>
      <c r="EX530" s="399">
        <v>0</v>
      </c>
      <c r="EY530" s="399">
        <v>0</v>
      </c>
      <c r="EZ530" s="399"/>
      <c r="FA530" s="399">
        <v>0</v>
      </c>
      <c r="FB530" s="399"/>
      <c r="FC530" s="399"/>
      <c r="FD530" s="399"/>
      <c r="FE530" s="399"/>
      <c r="FF530" s="399">
        <v>0</v>
      </c>
      <c r="FG530" s="399">
        <v>0</v>
      </c>
      <c r="FH530" s="399">
        <v>0</v>
      </c>
      <c r="FI530" s="399">
        <v>0</v>
      </c>
    </row>
    <row r="531" spans="1:165">
      <c r="A531" s="399">
        <v>535</v>
      </c>
      <c r="B531" s="399" t="s">
        <v>956</v>
      </c>
      <c r="C531" s="399" t="s">
        <v>2352</v>
      </c>
      <c r="D531" s="399" t="s">
        <v>533</v>
      </c>
      <c r="E531" s="399" t="s">
        <v>890</v>
      </c>
      <c r="F531" s="399" t="s">
        <v>1239</v>
      </c>
      <c r="G531" s="399" t="s">
        <v>1239</v>
      </c>
      <c r="H531" s="399" t="s">
        <v>1239</v>
      </c>
      <c r="I531" s="399" t="s">
        <v>2326</v>
      </c>
      <c r="J531" s="399" t="s">
        <v>2344</v>
      </c>
      <c r="K531" s="791">
        <v>44774</v>
      </c>
      <c r="L531" s="399">
        <v>0</v>
      </c>
      <c r="M531" s="399">
        <v>0</v>
      </c>
      <c r="N531" s="399">
        <v>2151.2150000000001</v>
      </c>
      <c r="O531" s="399">
        <v>2151.2150000000001</v>
      </c>
      <c r="P531" s="399">
        <v>2151.2150000000001</v>
      </c>
      <c r="Q531" s="399">
        <v>2151.2150000000001</v>
      </c>
      <c r="R531" s="399"/>
      <c r="S531" s="399">
        <v>78.42</v>
      </c>
      <c r="T531" s="399">
        <v>171.61</v>
      </c>
      <c r="U531" s="399"/>
      <c r="V531" s="399">
        <v>537868.28645000001</v>
      </c>
      <c r="W531" s="399">
        <v>537868.28645000001</v>
      </c>
      <c r="X531" s="399">
        <v>570158.02360000007</v>
      </c>
      <c r="Y531" s="399">
        <v>0</v>
      </c>
      <c r="Z531" s="399">
        <v>113149.2847547643</v>
      </c>
      <c r="AA531" s="399">
        <v>0</v>
      </c>
      <c r="AB531" s="399">
        <v>0</v>
      </c>
      <c r="AC531" s="399">
        <v>0</v>
      </c>
      <c r="AD531" s="399">
        <v>0</v>
      </c>
      <c r="AE531" s="399">
        <v>0</v>
      </c>
      <c r="AF531" s="399">
        <v>355755.51924537716</v>
      </c>
      <c r="AG531" s="399">
        <v>13413.593393957048</v>
      </c>
      <c r="AH531" s="399">
        <v>0</v>
      </c>
      <c r="AI531" s="399">
        <v>0</v>
      </c>
      <c r="AJ531" s="399">
        <v>0</v>
      </c>
      <c r="AK531" s="399">
        <v>0</v>
      </c>
      <c r="AL531" s="399">
        <v>20109.796126027195</v>
      </c>
      <c r="AM531" s="399"/>
      <c r="AN531" s="399">
        <v>568.05085444240103</v>
      </c>
      <c r="AO531" s="399">
        <v>0</v>
      </c>
      <c r="AP531" s="399">
        <v>0</v>
      </c>
      <c r="AQ531" s="399">
        <v>0</v>
      </c>
      <c r="AR531" s="399">
        <v>0</v>
      </c>
      <c r="AS531" s="399">
        <v>0</v>
      </c>
      <c r="AT531" s="399">
        <v>0</v>
      </c>
      <c r="AU531" s="399">
        <v>0</v>
      </c>
      <c r="AV531" s="399">
        <v>0</v>
      </c>
      <c r="AW531" s="399">
        <v>0</v>
      </c>
      <c r="AX531" s="399">
        <v>0</v>
      </c>
      <c r="AY531" s="399">
        <v>0</v>
      </c>
      <c r="AZ531" s="399">
        <v>0</v>
      </c>
      <c r="BA531" s="399"/>
      <c r="BB531" s="399">
        <v>0</v>
      </c>
      <c r="BC531" s="399">
        <v>0</v>
      </c>
      <c r="BD531" s="399">
        <v>0</v>
      </c>
      <c r="BE531" s="399">
        <v>0</v>
      </c>
      <c r="BF531" s="399">
        <v>0</v>
      </c>
      <c r="BG531" s="399">
        <v>13297.28111084975</v>
      </c>
      <c r="BH531" s="399">
        <v>0</v>
      </c>
      <c r="BI531" s="399">
        <v>0</v>
      </c>
      <c r="BJ531" s="399">
        <v>0</v>
      </c>
      <c r="BK531" s="399">
        <v>0</v>
      </c>
      <c r="BL531" s="399">
        <v>0</v>
      </c>
      <c r="BM531" s="399"/>
      <c r="BN531" s="399"/>
      <c r="BO531" s="399"/>
      <c r="BP531" s="399"/>
      <c r="BQ531" s="399"/>
      <c r="BR531" s="399"/>
      <c r="BS531" s="399"/>
      <c r="BT531" s="399"/>
      <c r="BU531" s="399"/>
      <c r="BV531" s="399">
        <v>369052.80035622692</v>
      </c>
      <c r="BW531" s="399"/>
      <c r="BX531" s="399"/>
      <c r="BY531" s="399"/>
      <c r="BZ531" s="399"/>
      <c r="CA531" s="399"/>
      <c r="CB531" s="399"/>
      <c r="CC531" s="399"/>
      <c r="CD531" s="399"/>
      <c r="CE531" s="399"/>
      <c r="CF531" s="399"/>
      <c r="CG531" s="399"/>
      <c r="CH531" s="399"/>
      <c r="CI531" s="399">
        <v>570159.34879999992</v>
      </c>
      <c r="CJ531" s="399">
        <v>32291.032349999878</v>
      </c>
      <c r="CK531" s="399"/>
      <c r="CL531" s="399"/>
      <c r="CM531" s="399"/>
      <c r="CN531" s="399"/>
      <c r="CO531" s="399">
        <v>-16134.112500000001</v>
      </c>
      <c r="CP531" s="399">
        <v>48423.849649999982</v>
      </c>
      <c r="CQ531" s="399">
        <v>31</v>
      </c>
      <c r="CR531" s="399">
        <v>32297.942147251801</v>
      </c>
      <c r="CS531" s="399">
        <v>0</v>
      </c>
      <c r="CT531" s="399">
        <v>0</v>
      </c>
      <c r="CU531" s="399">
        <v>0</v>
      </c>
      <c r="CV531" s="399">
        <v>0</v>
      </c>
      <c r="CW531" s="399">
        <v>0</v>
      </c>
      <c r="CX531" s="399">
        <v>0</v>
      </c>
      <c r="CY531" s="399">
        <v>0</v>
      </c>
      <c r="CZ531" s="399">
        <v>0</v>
      </c>
      <c r="DA531" s="399">
        <v>0</v>
      </c>
      <c r="DB531" s="399">
        <v>0</v>
      </c>
      <c r="DC531" s="399">
        <v>48435.351444639149</v>
      </c>
      <c r="DD531" s="399">
        <v>0</v>
      </c>
      <c r="DE531" s="399">
        <v>0</v>
      </c>
      <c r="DF531" s="399">
        <v>0</v>
      </c>
      <c r="DG531" s="399">
        <v>1810.3963228126995</v>
      </c>
      <c r="DH531" s="399">
        <v>0</v>
      </c>
      <c r="DI531" s="399">
        <v>-15541.365820285864</v>
      </c>
      <c r="DJ531" s="399"/>
      <c r="DK531" s="399">
        <v>0</v>
      </c>
      <c r="DL531" s="399">
        <v>0</v>
      </c>
      <c r="DM531" s="399">
        <v>0</v>
      </c>
      <c r="DN531" s="399">
        <v>0</v>
      </c>
      <c r="DO531" s="399">
        <v>-2317.5255275980599</v>
      </c>
      <c r="DP531" s="399">
        <v>-88.914272316147674</v>
      </c>
      <c r="DQ531" s="399">
        <v>0</v>
      </c>
      <c r="DR531" s="399">
        <v>0</v>
      </c>
      <c r="DS531" s="399"/>
      <c r="DT531" s="399"/>
      <c r="DU531" s="399"/>
      <c r="DV531" s="399">
        <v>0</v>
      </c>
      <c r="DW531" s="399">
        <v>0</v>
      </c>
      <c r="DX531" s="399">
        <v>0</v>
      </c>
      <c r="DY531" s="399">
        <v>-16134.112499999988</v>
      </c>
      <c r="DZ531" s="399">
        <v>48423.849649999989</v>
      </c>
      <c r="EA531" s="399">
        <v>0</v>
      </c>
      <c r="EB531" s="399">
        <v>0</v>
      </c>
      <c r="EC531" s="399">
        <v>0</v>
      </c>
      <c r="ED531" s="399">
        <v>0</v>
      </c>
      <c r="EE531" s="399">
        <v>0</v>
      </c>
      <c r="EF531" s="399">
        <v>0</v>
      </c>
      <c r="EG531" s="399">
        <v>0</v>
      </c>
      <c r="EH531" s="399">
        <v>0</v>
      </c>
      <c r="EI531" s="399">
        <v>0</v>
      </c>
      <c r="EJ531" s="399">
        <v>0</v>
      </c>
      <c r="EK531" s="399">
        <v>0</v>
      </c>
      <c r="EL531" s="399">
        <v>0</v>
      </c>
      <c r="EM531" s="399">
        <v>0</v>
      </c>
      <c r="EN531" s="399">
        <v>0</v>
      </c>
      <c r="EO531" s="399">
        <v>0</v>
      </c>
      <c r="EP531" s="399">
        <v>21577.174859472638</v>
      </c>
      <c r="EQ531" s="399">
        <v>0</v>
      </c>
      <c r="ER531" s="399">
        <v>0</v>
      </c>
      <c r="ES531" s="399">
        <v>0</v>
      </c>
      <c r="ET531" s="399">
        <v>0</v>
      </c>
      <c r="EU531" s="399">
        <v>0</v>
      </c>
      <c r="EV531" s="399">
        <v>215</v>
      </c>
      <c r="EW531" s="399">
        <v>0</v>
      </c>
      <c r="EX531" s="399">
        <v>0</v>
      </c>
      <c r="EY531" s="399">
        <v>0</v>
      </c>
      <c r="EZ531" s="399"/>
      <c r="FA531" s="399">
        <v>0</v>
      </c>
      <c r="FB531" s="399"/>
      <c r="FC531" s="399"/>
      <c r="FD531" s="399"/>
      <c r="FE531" s="399"/>
      <c r="FF531" s="399">
        <v>0</v>
      </c>
      <c r="FG531" s="399">
        <v>0</v>
      </c>
      <c r="FH531" s="399">
        <v>0</v>
      </c>
      <c r="FI531" s="399">
        <v>0</v>
      </c>
    </row>
    <row r="532" spans="1:165">
      <c r="A532" s="399">
        <v>536</v>
      </c>
      <c r="B532" s="399" t="s">
        <v>2346</v>
      </c>
      <c r="C532" s="399" t="s">
        <v>2352</v>
      </c>
      <c r="D532" s="399" t="s">
        <v>533</v>
      </c>
      <c r="E532" s="399" t="s">
        <v>890</v>
      </c>
      <c r="F532" s="399" t="s">
        <v>1239</v>
      </c>
      <c r="G532" s="399" t="s">
        <v>1239</v>
      </c>
      <c r="H532" s="399" t="s">
        <v>1239</v>
      </c>
      <c r="I532" s="399" t="s">
        <v>2326</v>
      </c>
      <c r="J532" s="399" t="s">
        <v>2344</v>
      </c>
      <c r="K532" s="791">
        <v>44774</v>
      </c>
      <c r="L532" s="399">
        <v>0</v>
      </c>
      <c r="M532" s="399">
        <v>0</v>
      </c>
      <c r="N532" s="399">
        <v>5.1029999999999998</v>
      </c>
      <c r="O532" s="399">
        <v>5.1029999999999998</v>
      </c>
      <c r="P532" s="399">
        <v>5.1029999999999998</v>
      </c>
      <c r="Q532" s="399">
        <v>5.1029999999999998</v>
      </c>
      <c r="R532" s="399"/>
      <c r="S532" s="399">
        <v>78.42</v>
      </c>
      <c r="T532" s="399">
        <v>171.61</v>
      </c>
      <c r="U532" s="399"/>
      <c r="V532" s="399">
        <v>1275.90309</v>
      </c>
      <c r="W532" s="399">
        <v>1275.90309</v>
      </c>
      <c r="X532" s="399">
        <v>1352.4991199999999</v>
      </c>
      <c r="Y532" s="399">
        <v>0</v>
      </c>
      <c r="Z532" s="399">
        <v>268.40683060668607</v>
      </c>
      <c r="AA532" s="399">
        <v>0</v>
      </c>
      <c r="AB532" s="399">
        <v>0</v>
      </c>
      <c r="AC532" s="399">
        <v>0</v>
      </c>
      <c r="AD532" s="399">
        <v>0</v>
      </c>
      <c r="AE532" s="399">
        <v>0</v>
      </c>
      <c r="AF532" s="399">
        <v>843.90468396192819</v>
      </c>
      <c r="AG532" s="399">
        <v>31.819026498682284</v>
      </c>
      <c r="AH532" s="399">
        <v>0</v>
      </c>
      <c r="AI532" s="399">
        <v>0</v>
      </c>
      <c r="AJ532" s="399">
        <v>0</v>
      </c>
      <c r="AK532" s="399">
        <v>0</v>
      </c>
      <c r="AL532" s="399">
        <v>47.703409297125937</v>
      </c>
      <c r="AM532" s="399"/>
      <c r="AN532" s="399">
        <v>1.3475006032495924</v>
      </c>
      <c r="AO532" s="399">
        <v>0</v>
      </c>
      <c r="AP532" s="399">
        <v>0</v>
      </c>
      <c r="AQ532" s="399">
        <v>0</v>
      </c>
      <c r="AR532" s="399">
        <v>0</v>
      </c>
      <c r="AS532" s="399">
        <v>0</v>
      </c>
      <c r="AT532" s="399">
        <v>0</v>
      </c>
      <c r="AU532" s="399">
        <v>0</v>
      </c>
      <c r="AV532" s="399">
        <v>0</v>
      </c>
      <c r="AW532" s="399">
        <v>0</v>
      </c>
      <c r="AX532" s="399">
        <v>0</v>
      </c>
      <c r="AY532" s="399">
        <v>0</v>
      </c>
      <c r="AZ532" s="399">
        <v>0</v>
      </c>
      <c r="BA532" s="399"/>
      <c r="BB532" s="399">
        <v>0</v>
      </c>
      <c r="BC532" s="399">
        <v>0</v>
      </c>
      <c r="BD532" s="399">
        <v>0</v>
      </c>
      <c r="BE532" s="399">
        <v>0</v>
      </c>
      <c r="BF532" s="399">
        <v>0</v>
      </c>
      <c r="BG532" s="399">
        <v>31.543116568388683</v>
      </c>
      <c r="BH532" s="399">
        <v>0</v>
      </c>
      <c r="BI532" s="399">
        <v>0</v>
      </c>
      <c r="BJ532" s="399">
        <v>0</v>
      </c>
      <c r="BK532" s="399">
        <v>0</v>
      </c>
      <c r="BL532" s="399">
        <v>0</v>
      </c>
      <c r="BM532" s="399"/>
      <c r="BN532" s="399"/>
      <c r="BO532" s="399"/>
      <c r="BP532" s="399"/>
      <c r="BQ532" s="399"/>
      <c r="BR532" s="399"/>
      <c r="BS532" s="399"/>
      <c r="BT532" s="399"/>
      <c r="BU532" s="399"/>
      <c r="BV532" s="399">
        <v>875.44780053031684</v>
      </c>
      <c r="BW532" s="399"/>
      <c r="BX532" s="399"/>
      <c r="BY532" s="399"/>
      <c r="BZ532" s="399"/>
      <c r="CA532" s="399"/>
      <c r="CB532" s="399"/>
      <c r="CC532" s="399"/>
      <c r="CD532" s="399"/>
      <c r="CE532" s="399"/>
      <c r="CF532" s="399"/>
      <c r="CG532" s="399"/>
      <c r="CH532" s="399"/>
      <c r="CI532" s="399">
        <v>1351.704</v>
      </c>
      <c r="CJ532" s="399">
        <v>75.770909999999958</v>
      </c>
      <c r="CK532" s="399"/>
      <c r="CL532" s="399"/>
      <c r="CM532" s="399"/>
      <c r="CN532" s="399"/>
      <c r="CO532" s="399">
        <v>-38.272500000000001</v>
      </c>
      <c r="CP532" s="399">
        <v>114.86852999999995</v>
      </c>
      <c r="CQ532" s="399">
        <v>31</v>
      </c>
      <c r="CR532" s="399">
        <v>76.61549346644847</v>
      </c>
      <c r="CS532" s="399">
        <v>0</v>
      </c>
      <c r="CT532" s="399">
        <v>0</v>
      </c>
      <c r="CU532" s="399">
        <v>0</v>
      </c>
      <c r="CV532" s="399">
        <v>0</v>
      </c>
      <c r="CW532" s="399">
        <v>0</v>
      </c>
      <c r="CX532" s="399">
        <v>0</v>
      </c>
      <c r="CY532" s="399">
        <v>0</v>
      </c>
      <c r="CZ532" s="399">
        <v>0</v>
      </c>
      <c r="DA532" s="399">
        <v>0</v>
      </c>
      <c r="DB532" s="399">
        <v>0</v>
      </c>
      <c r="DC532" s="399">
        <v>114.89581395722587</v>
      </c>
      <c r="DD532" s="399">
        <v>0</v>
      </c>
      <c r="DE532" s="399">
        <v>0</v>
      </c>
      <c r="DF532" s="399">
        <v>0</v>
      </c>
      <c r="DG532" s="399">
        <v>4.2945277135540607</v>
      </c>
      <c r="DH532" s="399">
        <v>0</v>
      </c>
      <c r="DI532" s="399">
        <v>-36.866417248354423</v>
      </c>
      <c r="DJ532" s="399"/>
      <c r="DK532" s="399">
        <v>0</v>
      </c>
      <c r="DL532" s="399">
        <v>0</v>
      </c>
      <c r="DM532" s="399">
        <v>0</v>
      </c>
      <c r="DN532" s="399">
        <v>0</v>
      </c>
      <c r="DO532" s="399">
        <v>-5.4975131576029881</v>
      </c>
      <c r="DP532" s="399">
        <v>-0.2109177983740822</v>
      </c>
      <c r="DQ532" s="399">
        <v>0</v>
      </c>
      <c r="DR532" s="399">
        <v>0</v>
      </c>
      <c r="DS532" s="399"/>
      <c r="DT532" s="399"/>
      <c r="DU532" s="399"/>
      <c r="DV532" s="399">
        <v>0</v>
      </c>
      <c r="DW532" s="399">
        <v>0</v>
      </c>
      <c r="DX532" s="399">
        <v>0</v>
      </c>
      <c r="DY532" s="399">
        <v>-38.27249999999998</v>
      </c>
      <c r="DZ532" s="399">
        <v>114.86852999999996</v>
      </c>
      <c r="EA532" s="399">
        <v>0</v>
      </c>
      <c r="EB532" s="399">
        <v>0</v>
      </c>
      <c r="EC532" s="399">
        <v>0</v>
      </c>
      <c r="ED532" s="399">
        <v>0</v>
      </c>
      <c r="EE532" s="399">
        <v>0</v>
      </c>
      <c r="EF532" s="399">
        <v>0</v>
      </c>
      <c r="EG532" s="399">
        <v>0</v>
      </c>
      <c r="EH532" s="399">
        <v>0</v>
      </c>
      <c r="EI532" s="399">
        <v>0</v>
      </c>
      <c r="EJ532" s="399">
        <v>0</v>
      </c>
      <c r="EK532" s="399">
        <v>0</v>
      </c>
      <c r="EL532" s="399">
        <v>0</v>
      </c>
      <c r="EM532" s="399">
        <v>0</v>
      </c>
      <c r="EN532" s="399">
        <v>0</v>
      </c>
      <c r="EO532" s="399">
        <v>0</v>
      </c>
      <c r="EP532" s="399">
        <v>51.184248579471998</v>
      </c>
      <c r="EQ532" s="399">
        <v>0</v>
      </c>
      <c r="ER532" s="399">
        <v>0</v>
      </c>
      <c r="ES532" s="399">
        <v>0</v>
      </c>
      <c r="ET532" s="399">
        <v>0</v>
      </c>
      <c r="EU532" s="399">
        <v>0</v>
      </c>
      <c r="EV532" s="399">
        <v>215</v>
      </c>
      <c r="EW532" s="399">
        <v>0</v>
      </c>
      <c r="EX532" s="399">
        <v>0</v>
      </c>
      <c r="EY532" s="399">
        <v>0</v>
      </c>
      <c r="EZ532" s="399"/>
      <c r="FA532" s="399">
        <v>0</v>
      </c>
      <c r="FB532" s="399"/>
      <c r="FC532" s="399"/>
      <c r="FD532" s="399"/>
      <c r="FE532" s="399"/>
      <c r="FF532" s="399">
        <v>0</v>
      </c>
      <c r="FG532" s="399">
        <v>0</v>
      </c>
      <c r="FH532" s="399">
        <v>0</v>
      </c>
      <c r="FI532" s="399">
        <v>0</v>
      </c>
    </row>
    <row r="533" spans="1:165">
      <c r="A533" s="399">
        <v>537</v>
      </c>
      <c r="B533" s="399" t="s">
        <v>956</v>
      </c>
      <c r="C533" s="399" t="s">
        <v>2352</v>
      </c>
      <c r="D533" s="399" t="s">
        <v>533</v>
      </c>
      <c r="E533" s="399" t="s">
        <v>890</v>
      </c>
      <c r="F533" s="399" t="s">
        <v>1239</v>
      </c>
      <c r="G533" s="399" t="s">
        <v>1239</v>
      </c>
      <c r="H533" s="399" t="s">
        <v>1239</v>
      </c>
      <c r="I533" s="399" t="s">
        <v>1239</v>
      </c>
      <c r="J533" s="399" t="s">
        <v>2344</v>
      </c>
      <c r="K533" s="791">
        <v>44774</v>
      </c>
      <c r="L533" s="399">
        <v>9966</v>
      </c>
      <c r="M533" s="399">
        <v>9966</v>
      </c>
      <c r="N533" s="399">
        <v>0</v>
      </c>
      <c r="O533" s="399">
        <v>0</v>
      </c>
      <c r="P533" s="399">
        <v>0</v>
      </c>
      <c r="Q533" s="399">
        <v>0</v>
      </c>
      <c r="R533" s="399">
        <v>12.58</v>
      </c>
      <c r="S533" s="399"/>
      <c r="T533" s="399"/>
      <c r="U533" s="399">
        <v>125372.28</v>
      </c>
      <c r="V533" s="399"/>
      <c r="W533" s="399">
        <v>125372.28</v>
      </c>
      <c r="X533" s="399">
        <v>115505.94</v>
      </c>
      <c r="Y533" s="399">
        <v>0</v>
      </c>
      <c r="Z533" s="399">
        <v>0</v>
      </c>
      <c r="AA533" s="399">
        <v>0</v>
      </c>
      <c r="AB533" s="399">
        <v>0</v>
      </c>
      <c r="AC533" s="399">
        <v>0</v>
      </c>
      <c r="AD533" s="399">
        <v>66049.06128455048</v>
      </c>
      <c r="AE533" s="399">
        <v>59294.800147218222</v>
      </c>
      <c r="AF533" s="399"/>
      <c r="AG533" s="399"/>
      <c r="AH533" s="399"/>
      <c r="AI533" s="399">
        <v>0</v>
      </c>
      <c r="AJ533" s="399">
        <v>0</v>
      </c>
      <c r="AK533" s="399">
        <v>0</v>
      </c>
      <c r="AL533" s="399">
        <v>0</v>
      </c>
      <c r="AM533" s="399"/>
      <c r="AN533" s="399">
        <v>0</v>
      </c>
      <c r="AO533" s="399">
        <v>0</v>
      </c>
      <c r="AP533" s="399">
        <v>0</v>
      </c>
      <c r="AQ533" s="399">
        <v>0</v>
      </c>
      <c r="AR533" s="399">
        <v>0</v>
      </c>
      <c r="AS533" s="399"/>
      <c r="AT533" s="399"/>
      <c r="AU533" s="399">
        <v>0</v>
      </c>
      <c r="AV533" s="399">
        <v>0</v>
      </c>
      <c r="AW533" s="399">
        <v>0</v>
      </c>
      <c r="AX533" s="399"/>
      <c r="AY533" s="399"/>
      <c r="AZ533" s="399">
        <v>0</v>
      </c>
      <c r="BA533" s="399"/>
      <c r="BB533" s="399">
        <v>0</v>
      </c>
      <c r="BC533" s="399">
        <v>0</v>
      </c>
      <c r="BD533" s="399">
        <v>0</v>
      </c>
      <c r="BE533" s="399">
        <v>0</v>
      </c>
      <c r="BF533" s="399"/>
      <c r="BG533" s="399">
        <v>0</v>
      </c>
      <c r="BH533" s="399">
        <v>0</v>
      </c>
      <c r="BI533" s="399">
        <v>0</v>
      </c>
      <c r="BJ533" s="399">
        <v>0</v>
      </c>
      <c r="BK533" s="399">
        <v>181320.73</v>
      </c>
      <c r="BL533" s="399">
        <v>52</v>
      </c>
      <c r="BM533" s="399"/>
      <c r="BN533" s="399"/>
      <c r="BO533" s="399"/>
      <c r="BP533" s="399"/>
      <c r="BQ533" s="399"/>
      <c r="BR533" s="399"/>
      <c r="BS533" s="399"/>
      <c r="BT533" s="399"/>
      <c r="BU533" s="399"/>
      <c r="BV533" s="399">
        <v>0</v>
      </c>
      <c r="BW533" s="399"/>
      <c r="BX533" s="399"/>
      <c r="BY533" s="399"/>
      <c r="BZ533" s="399"/>
      <c r="CA533" s="399"/>
      <c r="CB533" s="399"/>
      <c r="CC533" s="399"/>
      <c r="CD533" s="399"/>
      <c r="CE533" s="399"/>
      <c r="CF533" s="399"/>
      <c r="CG533" s="399"/>
      <c r="CH533" s="399"/>
      <c r="CI533" s="399">
        <v>115505.94</v>
      </c>
      <c r="CJ533" s="399">
        <v>-9866.3699999999808</v>
      </c>
      <c r="CK533" s="399"/>
      <c r="CL533" s="399"/>
      <c r="CM533" s="399"/>
      <c r="CN533" s="399"/>
      <c r="CO533" s="399">
        <v>-9866.340000000002</v>
      </c>
      <c r="CP533" s="399">
        <v>0</v>
      </c>
      <c r="CQ533" s="399">
        <v>31</v>
      </c>
      <c r="CR533" s="399">
        <v>2974.3626142136782</v>
      </c>
      <c r="CS533" s="399">
        <v>0</v>
      </c>
      <c r="CT533" s="399">
        <v>0</v>
      </c>
      <c r="CU533" s="399">
        <v>0</v>
      </c>
      <c r="CV533" s="399">
        <v>0</v>
      </c>
      <c r="CW533" s="399"/>
      <c r="CX533" s="399"/>
      <c r="CY533" s="399"/>
      <c r="CZ533" s="399">
        <v>2974.3626142136782</v>
      </c>
      <c r="DA533" s="399">
        <v>0</v>
      </c>
      <c r="DB533" s="399">
        <v>0</v>
      </c>
      <c r="DC533" s="399"/>
      <c r="DD533" s="399"/>
      <c r="DE533" s="399">
        <v>0</v>
      </c>
      <c r="DF533" s="399">
        <v>0</v>
      </c>
      <c r="DG533" s="399">
        <v>0</v>
      </c>
      <c r="DH533" s="399">
        <v>0</v>
      </c>
      <c r="DI533" s="399">
        <v>0</v>
      </c>
      <c r="DJ533" s="399"/>
      <c r="DK533" s="399">
        <v>0</v>
      </c>
      <c r="DL533" s="399">
        <v>0</v>
      </c>
      <c r="DM533" s="399"/>
      <c r="DN533" s="399">
        <v>0</v>
      </c>
      <c r="DO533" s="399">
        <v>0</v>
      </c>
      <c r="DP533" s="399">
        <v>0</v>
      </c>
      <c r="DQ533" s="399">
        <v>0</v>
      </c>
      <c r="DR533" s="399">
        <v>0</v>
      </c>
      <c r="DS533" s="399"/>
      <c r="DT533" s="399"/>
      <c r="DU533" s="399">
        <v>59294.800147218222</v>
      </c>
      <c r="DV533" s="399"/>
      <c r="DW533" s="399">
        <v>0</v>
      </c>
      <c r="DX533" s="399">
        <v>0</v>
      </c>
      <c r="DY533" s="399">
        <v>-9866.3399999999965</v>
      </c>
      <c r="DZ533" s="399"/>
      <c r="EA533" s="399">
        <v>0</v>
      </c>
      <c r="EB533" s="399"/>
      <c r="EC533" s="399">
        <v>-12819.215861893819</v>
      </c>
      <c r="ED533" s="399"/>
      <c r="EE533" s="399">
        <v>0</v>
      </c>
      <c r="EF533" s="399">
        <v>0</v>
      </c>
      <c r="EG533" s="399"/>
      <c r="EH533" s="399">
        <v>0</v>
      </c>
      <c r="EI533" s="399">
        <v>0</v>
      </c>
      <c r="EJ533" s="399">
        <v>0</v>
      </c>
      <c r="EK533" s="399">
        <v>0</v>
      </c>
      <c r="EL533" s="399">
        <v>0</v>
      </c>
      <c r="EM533" s="399"/>
      <c r="EN533" s="399"/>
      <c r="EO533" s="399">
        <v>0</v>
      </c>
      <c r="EP533" s="399">
        <v>0</v>
      </c>
      <c r="EQ533" s="399"/>
      <c r="ER533" s="399">
        <v>0</v>
      </c>
      <c r="ES533" s="399"/>
      <c r="ET533" s="399">
        <v>0</v>
      </c>
      <c r="EU533" s="399"/>
      <c r="EV533" s="399">
        <v>215</v>
      </c>
      <c r="EW533" s="399"/>
      <c r="EX533" s="399"/>
      <c r="EY533" s="399"/>
      <c r="EZ533" s="399"/>
      <c r="FA533" s="399">
        <v>0</v>
      </c>
      <c r="FB533" s="399"/>
      <c r="FC533" s="399"/>
      <c r="FD533" s="399"/>
      <c r="FE533" s="399"/>
      <c r="FF533" s="399">
        <v>0</v>
      </c>
      <c r="FG533" s="399">
        <v>0</v>
      </c>
      <c r="FH533" s="399">
        <v>0</v>
      </c>
      <c r="FI533" s="399">
        <v>0</v>
      </c>
    </row>
    <row r="534" spans="1:165">
      <c r="A534" s="399">
        <v>538</v>
      </c>
      <c r="B534" s="399" t="s">
        <v>2346</v>
      </c>
      <c r="C534" s="399" t="s">
        <v>2352</v>
      </c>
      <c r="D534" s="399" t="s">
        <v>533</v>
      </c>
      <c r="E534" s="399" t="s">
        <v>890</v>
      </c>
      <c r="F534" s="399" t="s">
        <v>1239</v>
      </c>
      <c r="G534" s="399" t="s">
        <v>1239</v>
      </c>
      <c r="H534" s="399" t="s">
        <v>1239</v>
      </c>
      <c r="I534" s="399" t="s">
        <v>1239</v>
      </c>
      <c r="J534" s="399" t="s">
        <v>2344</v>
      </c>
      <c r="K534" s="791">
        <v>44774</v>
      </c>
      <c r="L534" s="399">
        <v>821</v>
      </c>
      <c r="M534" s="399">
        <v>821</v>
      </c>
      <c r="N534" s="399">
        <v>0</v>
      </c>
      <c r="O534" s="399">
        <v>0</v>
      </c>
      <c r="P534" s="399">
        <v>0</v>
      </c>
      <c r="Q534" s="399">
        <v>0</v>
      </c>
      <c r="R534" s="399">
        <v>12.58</v>
      </c>
      <c r="S534" s="399"/>
      <c r="T534" s="399"/>
      <c r="U534" s="399">
        <v>10328.18</v>
      </c>
      <c r="V534" s="399"/>
      <c r="W534" s="399">
        <v>10328.18</v>
      </c>
      <c r="X534" s="399">
        <v>9515.39</v>
      </c>
      <c r="Y534" s="399">
        <v>0</v>
      </c>
      <c r="Z534" s="399">
        <v>0</v>
      </c>
      <c r="AA534" s="399">
        <v>0</v>
      </c>
      <c r="AB534" s="399">
        <v>0</v>
      </c>
      <c r="AC534" s="399">
        <v>0</v>
      </c>
      <c r="AD534" s="399">
        <v>5441.1277658655381</v>
      </c>
      <c r="AE534" s="399">
        <v>4884.7111098601408</v>
      </c>
      <c r="AF534" s="399"/>
      <c r="AG534" s="399"/>
      <c r="AH534" s="399"/>
      <c r="AI534" s="399">
        <v>0</v>
      </c>
      <c r="AJ534" s="399">
        <v>0</v>
      </c>
      <c r="AK534" s="399">
        <v>0</v>
      </c>
      <c r="AL534" s="399">
        <v>0</v>
      </c>
      <c r="AM534" s="399"/>
      <c r="AN534" s="399">
        <v>0</v>
      </c>
      <c r="AO534" s="399">
        <v>0</v>
      </c>
      <c r="AP534" s="399">
        <v>0</v>
      </c>
      <c r="AQ534" s="399">
        <v>0</v>
      </c>
      <c r="AR534" s="399">
        <v>0</v>
      </c>
      <c r="AS534" s="399"/>
      <c r="AT534" s="399"/>
      <c r="AU534" s="399">
        <v>0</v>
      </c>
      <c r="AV534" s="399">
        <v>0</v>
      </c>
      <c r="AW534" s="399">
        <v>0</v>
      </c>
      <c r="AX534" s="399"/>
      <c r="AY534" s="399"/>
      <c r="AZ534" s="399">
        <v>0</v>
      </c>
      <c r="BA534" s="399"/>
      <c r="BB534" s="399">
        <v>0</v>
      </c>
      <c r="BC534" s="399">
        <v>0</v>
      </c>
      <c r="BD534" s="399">
        <v>0</v>
      </c>
      <c r="BE534" s="399">
        <v>0</v>
      </c>
      <c r="BF534" s="399"/>
      <c r="BG534" s="399">
        <v>0</v>
      </c>
      <c r="BH534" s="399">
        <v>0</v>
      </c>
      <c r="BI534" s="399">
        <v>0</v>
      </c>
      <c r="BJ534" s="399">
        <v>0</v>
      </c>
      <c r="BK534" s="399">
        <v>307.43</v>
      </c>
      <c r="BL534" s="399">
        <v>3</v>
      </c>
      <c r="BM534" s="399"/>
      <c r="BN534" s="399"/>
      <c r="BO534" s="399"/>
      <c r="BP534" s="399"/>
      <c r="BQ534" s="399"/>
      <c r="BR534" s="399"/>
      <c r="BS534" s="399"/>
      <c r="BT534" s="399"/>
      <c r="BU534" s="399"/>
      <c r="BV534" s="399">
        <v>0</v>
      </c>
      <c r="BW534" s="399"/>
      <c r="BX534" s="399"/>
      <c r="BY534" s="399"/>
      <c r="BZ534" s="399"/>
      <c r="CA534" s="399"/>
      <c r="CB534" s="399"/>
      <c r="CC534" s="399"/>
      <c r="CD534" s="399"/>
      <c r="CE534" s="399"/>
      <c r="CF534" s="399"/>
      <c r="CG534" s="399"/>
      <c r="CH534" s="399"/>
      <c r="CI534" s="399">
        <v>9515.39</v>
      </c>
      <c r="CJ534" s="399">
        <v>-812.82000000000153</v>
      </c>
      <c r="CK534" s="399"/>
      <c r="CL534" s="399"/>
      <c r="CM534" s="399"/>
      <c r="CN534" s="399"/>
      <c r="CO534" s="399">
        <v>-812.79000000000019</v>
      </c>
      <c r="CP534" s="399">
        <v>0</v>
      </c>
      <c r="CQ534" s="399">
        <v>31</v>
      </c>
      <c r="CR534" s="399">
        <v>245.02826673383697</v>
      </c>
      <c r="CS534" s="399">
        <v>0</v>
      </c>
      <c r="CT534" s="399">
        <v>0</v>
      </c>
      <c r="CU534" s="399">
        <v>0</v>
      </c>
      <c r="CV534" s="399">
        <v>0</v>
      </c>
      <c r="CW534" s="399"/>
      <c r="CX534" s="399"/>
      <c r="CY534" s="399"/>
      <c r="CZ534" s="399">
        <v>245.02826673383697</v>
      </c>
      <c r="DA534" s="399">
        <v>0</v>
      </c>
      <c r="DB534" s="399">
        <v>0</v>
      </c>
      <c r="DC534" s="399"/>
      <c r="DD534" s="399"/>
      <c r="DE534" s="399">
        <v>0</v>
      </c>
      <c r="DF534" s="399">
        <v>0</v>
      </c>
      <c r="DG534" s="399">
        <v>0</v>
      </c>
      <c r="DH534" s="399">
        <v>0</v>
      </c>
      <c r="DI534" s="399">
        <v>0</v>
      </c>
      <c r="DJ534" s="399"/>
      <c r="DK534" s="399">
        <v>0</v>
      </c>
      <c r="DL534" s="399">
        <v>0</v>
      </c>
      <c r="DM534" s="399"/>
      <c r="DN534" s="399">
        <v>0</v>
      </c>
      <c r="DO534" s="399">
        <v>0</v>
      </c>
      <c r="DP534" s="399">
        <v>0</v>
      </c>
      <c r="DQ534" s="399">
        <v>0</v>
      </c>
      <c r="DR534" s="399">
        <v>0</v>
      </c>
      <c r="DS534" s="399"/>
      <c r="DT534" s="399"/>
      <c r="DU534" s="399">
        <v>4884.7111098601408</v>
      </c>
      <c r="DV534" s="399"/>
      <c r="DW534" s="399">
        <v>0</v>
      </c>
      <c r="DX534" s="399">
        <v>0</v>
      </c>
      <c r="DY534" s="399">
        <v>-812.79000000000087</v>
      </c>
      <c r="DZ534" s="399"/>
      <c r="EA534" s="399">
        <v>0</v>
      </c>
      <c r="EB534" s="399"/>
      <c r="EC534" s="399">
        <v>-1056.0481860942032</v>
      </c>
      <c r="ED534" s="399"/>
      <c r="EE534" s="399">
        <v>0</v>
      </c>
      <c r="EF534" s="399">
        <v>0</v>
      </c>
      <c r="EG534" s="399"/>
      <c r="EH534" s="399">
        <v>0</v>
      </c>
      <c r="EI534" s="399">
        <v>0</v>
      </c>
      <c r="EJ534" s="399">
        <v>0</v>
      </c>
      <c r="EK534" s="399">
        <v>0</v>
      </c>
      <c r="EL534" s="399">
        <v>0</v>
      </c>
      <c r="EM534" s="399"/>
      <c r="EN534" s="399"/>
      <c r="EO534" s="399">
        <v>0</v>
      </c>
      <c r="EP534" s="399">
        <v>0</v>
      </c>
      <c r="EQ534" s="399"/>
      <c r="ER534" s="399">
        <v>0</v>
      </c>
      <c r="ES534" s="399"/>
      <c r="ET534" s="399">
        <v>0</v>
      </c>
      <c r="EU534" s="399"/>
      <c r="EV534" s="399">
        <v>215</v>
      </c>
      <c r="EW534" s="399"/>
      <c r="EX534" s="399"/>
      <c r="EY534" s="399"/>
      <c r="EZ534" s="399"/>
      <c r="FA534" s="399">
        <v>0</v>
      </c>
      <c r="FB534" s="399"/>
      <c r="FC534" s="399"/>
      <c r="FD534" s="399"/>
      <c r="FE534" s="399"/>
      <c r="FF534" s="399">
        <v>0</v>
      </c>
      <c r="FG534" s="399">
        <v>0</v>
      </c>
      <c r="FH534" s="399">
        <v>0</v>
      </c>
      <c r="FI534" s="399">
        <v>0</v>
      </c>
    </row>
    <row r="535" spans="1:165">
      <c r="A535" s="399">
        <v>539</v>
      </c>
      <c r="B535" s="399" t="s">
        <v>956</v>
      </c>
      <c r="C535" s="399" t="s">
        <v>2343</v>
      </c>
      <c r="D535" s="399" t="s">
        <v>1826</v>
      </c>
      <c r="E535" s="399" t="s">
        <v>918</v>
      </c>
      <c r="F535" s="399" t="s">
        <v>1239</v>
      </c>
      <c r="G535" s="399" t="s">
        <v>1239</v>
      </c>
      <c r="H535" s="399" t="s">
        <v>1239</v>
      </c>
      <c r="I535" s="399" t="s">
        <v>1239</v>
      </c>
      <c r="J535" s="399" t="s">
        <v>2344</v>
      </c>
      <c r="K535" s="791">
        <v>44774</v>
      </c>
      <c r="L535" s="399">
        <v>0</v>
      </c>
      <c r="M535" s="399">
        <v>0</v>
      </c>
      <c r="N535" s="399">
        <v>495.10300000000001</v>
      </c>
      <c r="O535" s="399">
        <v>495.10300000000001</v>
      </c>
      <c r="P535" s="399">
        <v>495.10300000000001</v>
      </c>
      <c r="Q535" s="399">
        <v>495.10300000000001</v>
      </c>
      <c r="R535" s="399"/>
      <c r="S535" s="399">
        <v>239.69</v>
      </c>
      <c r="T535" s="399">
        <v>171.61</v>
      </c>
      <c r="U535" s="399"/>
      <c r="V535" s="399">
        <v>203635.8639</v>
      </c>
      <c r="W535" s="399">
        <v>203635.8639</v>
      </c>
      <c r="X535" s="399">
        <v>202888.25837</v>
      </c>
      <c r="Y535" s="399">
        <v>0</v>
      </c>
      <c r="Z535" s="399">
        <v>29932.590262176658</v>
      </c>
      <c r="AA535" s="399">
        <v>0</v>
      </c>
      <c r="AB535" s="399">
        <v>0</v>
      </c>
      <c r="AC535" s="399">
        <v>0</v>
      </c>
      <c r="AD535" s="399">
        <v>26406.810156262145</v>
      </c>
      <c r="AE535" s="399">
        <v>43873.41680952091</v>
      </c>
      <c r="AF535" s="399">
        <v>81877.27625780963</v>
      </c>
      <c r="AG535" s="399">
        <v>3087.1439303502048</v>
      </c>
      <c r="AH535" s="399">
        <v>0</v>
      </c>
      <c r="AI535" s="399">
        <v>0</v>
      </c>
      <c r="AJ535" s="399">
        <v>0</v>
      </c>
      <c r="AK535" s="399">
        <v>0</v>
      </c>
      <c r="AL535" s="399">
        <v>4628.2776902282858</v>
      </c>
      <c r="AM535" s="399"/>
      <c r="AN535" s="399">
        <v>196.08635829641531</v>
      </c>
      <c r="AO535" s="399">
        <v>0</v>
      </c>
      <c r="AP535" s="399">
        <v>0</v>
      </c>
      <c r="AQ535" s="399">
        <v>0</v>
      </c>
      <c r="AR535" s="399">
        <v>0</v>
      </c>
      <c r="AS535" s="399">
        <v>0</v>
      </c>
      <c r="AT535" s="399">
        <v>0</v>
      </c>
      <c r="AU535" s="399">
        <v>0</v>
      </c>
      <c r="AV535" s="399">
        <v>0</v>
      </c>
      <c r="AW535" s="399">
        <v>0</v>
      </c>
      <c r="AX535" s="399">
        <v>0</v>
      </c>
      <c r="AY535" s="399">
        <v>0</v>
      </c>
      <c r="AZ535" s="399">
        <v>0</v>
      </c>
      <c r="BA535" s="399"/>
      <c r="BB535" s="399">
        <v>0</v>
      </c>
      <c r="BC535" s="399">
        <v>0</v>
      </c>
      <c r="BD535" s="399">
        <v>0</v>
      </c>
      <c r="BE535" s="399">
        <v>0</v>
      </c>
      <c r="BF535" s="399">
        <v>0</v>
      </c>
      <c r="BG535" s="399">
        <v>7926.5559177437235</v>
      </c>
      <c r="BH535" s="399">
        <v>0</v>
      </c>
      <c r="BI535" s="399">
        <v>0</v>
      </c>
      <c r="BJ535" s="399">
        <v>0</v>
      </c>
      <c r="BK535" s="399">
        <v>41511.14</v>
      </c>
      <c r="BL535" s="399">
        <v>564</v>
      </c>
      <c r="BM535" s="399"/>
      <c r="BN535" s="399"/>
      <c r="BO535" s="399"/>
      <c r="BP535" s="399"/>
      <c r="BQ535" s="399"/>
      <c r="BR535" s="399"/>
      <c r="BS535" s="399"/>
      <c r="BT535" s="399"/>
      <c r="BU535" s="399"/>
      <c r="BV535" s="399">
        <v>89803.832175553354</v>
      </c>
      <c r="BW535" s="399"/>
      <c r="BX535" s="399"/>
      <c r="BY535" s="399"/>
      <c r="BZ535" s="399"/>
      <c r="CA535" s="399"/>
      <c r="CB535" s="399"/>
      <c r="CC535" s="399"/>
      <c r="CD535" s="399"/>
      <c r="CE535" s="399"/>
      <c r="CF535" s="399"/>
      <c r="CG535" s="399"/>
      <c r="CH535" s="399"/>
      <c r="CI535" s="399">
        <v>202887.02900000001</v>
      </c>
      <c r="CJ535" s="399">
        <v>-748.86490000001504</v>
      </c>
      <c r="CK535" s="399"/>
      <c r="CL535" s="399"/>
      <c r="CM535" s="399"/>
      <c r="CN535" s="399"/>
      <c r="CO535" s="399">
        <v>-11892.374060000006</v>
      </c>
      <c r="CP535" s="399">
        <v>11144.768529999996</v>
      </c>
      <c r="CQ535" s="399">
        <v>31</v>
      </c>
      <c r="CR535" s="399">
        <v>8740.3716695762705</v>
      </c>
      <c r="CS535" s="399">
        <v>0</v>
      </c>
      <c r="CT535" s="399">
        <v>0</v>
      </c>
      <c r="CU535" s="399">
        <v>0</v>
      </c>
      <c r="CV535" s="399">
        <v>0</v>
      </c>
      <c r="CW535" s="399">
        <v>0</v>
      </c>
      <c r="CX535" s="399">
        <v>0</v>
      </c>
      <c r="CY535" s="399">
        <v>0</v>
      </c>
      <c r="CZ535" s="399">
        <v>1189.1679815258321</v>
      </c>
      <c r="DA535" s="399">
        <v>0</v>
      </c>
      <c r="DB535" s="399">
        <v>0</v>
      </c>
      <c r="DC535" s="399">
        <v>11147.415672675765</v>
      </c>
      <c r="DD535" s="399">
        <v>0</v>
      </c>
      <c r="DE535" s="399">
        <v>0</v>
      </c>
      <c r="DF535" s="399">
        <v>0</v>
      </c>
      <c r="DG535" s="399">
        <v>1079.1835989948277</v>
      </c>
      <c r="DH535" s="399">
        <v>0</v>
      </c>
      <c r="DI535" s="399">
        <v>-4111.323692601869</v>
      </c>
      <c r="DJ535" s="399"/>
      <c r="DK535" s="399">
        <v>0</v>
      </c>
      <c r="DL535" s="399">
        <v>0</v>
      </c>
      <c r="DM535" s="399">
        <v>0</v>
      </c>
      <c r="DN535" s="399">
        <v>0</v>
      </c>
      <c r="DO535" s="399">
        <v>-533.37943501248492</v>
      </c>
      <c r="DP535" s="399">
        <v>-30.692456005832611</v>
      </c>
      <c r="DQ535" s="399">
        <v>0</v>
      </c>
      <c r="DR535" s="399">
        <v>0</v>
      </c>
      <c r="DS535" s="399"/>
      <c r="DT535" s="399"/>
      <c r="DU535" s="399"/>
      <c r="DV535" s="399">
        <v>43873.41680952091</v>
      </c>
      <c r="DW535" s="399">
        <v>0</v>
      </c>
      <c r="DX535" s="399">
        <v>0</v>
      </c>
      <c r="DY535" s="399">
        <v>-11892.374060000016</v>
      </c>
      <c r="DZ535" s="399">
        <v>11144.768530000001</v>
      </c>
      <c r="EA535" s="399">
        <v>0</v>
      </c>
      <c r="EB535" s="399">
        <v>0</v>
      </c>
      <c r="EC535" s="399">
        <v>-9485.1959916163905</v>
      </c>
      <c r="ED535" s="399">
        <v>0</v>
      </c>
      <c r="EE535" s="399">
        <v>0</v>
      </c>
      <c r="EF535" s="399">
        <v>0</v>
      </c>
      <c r="EG535" s="399">
        <v>0</v>
      </c>
      <c r="EH535" s="399">
        <v>0</v>
      </c>
      <c r="EI535" s="399">
        <v>0</v>
      </c>
      <c r="EJ535" s="399">
        <v>0</v>
      </c>
      <c r="EK535" s="399">
        <v>0</v>
      </c>
      <c r="EL535" s="399">
        <v>0</v>
      </c>
      <c r="EM535" s="399">
        <v>0</v>
      </c>
      <c r="EN535" s="399">
        <v>0</v>
      </c>
      <c r="EO535" s="399">
        <v>0</v>
      </c>
      <c r="EP535" s="399">
        <v>5708.040801881787</v>
      </c>
      <c r="EQ535" s="399">
        <v>0</v>
      </c>
      <c r="ER535" s="399">
        <v>0</v>
      </c>
      <c r="ES535" s="399">
        <v>0</v>
      </c>
      <c r="ET535" s="399">
        <v>0</v>
      </c>
      <c r="EU535" s="399">
        <v>0</v>
      </c>
      <c r="EV535" s="399">
        <v>215</v>
      </c>
      <c r="EW535" s="399">
        <v>0</v>
      </c>
      <c r="EX535" s="399">
        <v>0</v>
      </c>
      <c r="EY535" s="399">
        <v>0</v>
      </c>
      <c r="EZ535" s="399"/>
      <c r="FA535" s="399">
        <v>0</v>
      </c>
      <c r="FB535" s="399"/>
      <c r="FC535" s="399"/>
      <c r="FD535" s="399"/>
      <c r="FE535" s="399"/>
      <c r="FF535" s="399">
        <v>0</v>
      </c>
      <c r="FG535" s="399">
        <v>0</v>
      </c>
      <c r="FH535" s="399">
        <v>0</v>
      </c>
      <c r="FI535" s="399">
        <v>0</v>
      </c>
    </row>
    <row r="536" spans="1:165">
      <c r="A536" s="399">
        <v>540</v>
      </c>
      <c r="B536" s="399" t="s">
        <v>2346</v>
      </c>
      <c r="C536" s="399" t="s">
        <v>2343</v>
      </c>
      <c r="D536" s="399" t="s">
        <v>1826</v>
      </c>
      <c r="E536" s="399" t="s">
        <v>918</v>
      </c>
      <c r="F536" s="399" t="s">
        <v>1239</v>
      </c>
      <c r="G536" s="399" t="s">
        <v>1239</v>
      </c>
      <c r="H536" s="399" t="s">
        <v>1239</v>
      </c>
      <c r="I536" s="399" t="s">
        <v>1239</v>
      </c>
      <c r="J536" s="399" t="s">
        <v>2344</v>
      </c>
      <c r="K536" s="791">
        <v>44774</v>
      </c>
      <c r="L536" s="399">
        <v>0</v>
      </c>
      <c r="M536" s="399">
        <v>0</v>
      </c>
      <c r="N536" s="399">
        <v>13.593</v>
      </c>
      <c r="O536" s="399">
        <v>13.593</v>
      </c>
      <c r="P536" s="399">
        <v>13.593</v>
      </c>
      <c r="Q536" s="399">
        <v>13.593</v>
      </c>
      <c r="R536" s="399"/>
      <c r="S536" s="399">
        <v>239.69</v>
      </c>
      <c r="T536" s="399">
        <v>171.61</v>
      </c>
      <c r="U536" s="399"/>
      <c r="V536" s="399">
        <v>5590.8009000000002</v>
      </c>
      <c r="W536" s="399">
        <v>5590.8009000000002</v>
      </c>
      <c r="X536" s="399">
        <v>5570.2754700000005</v>
      </c>
      <c r="Y536" s="399">
        <v>0</v>
      </c>
      <c r="Z536" s="399">
        <v>821.79606957293197</v>
      </c>
      <c r="AA536" s="399">
        <v>0</v>
      </c>
      <c r="AB536" s="399">
        <v>0</v>
      </c>
      <c r="AC536" s="399">
        <v>0</v>
      </c>
      <c r="AD536" s="399">
        <v>724.99615323290584</v>
      </c>
      <c r="AE536" s="399">
        <v>1204.5399738878934</v>
      </c>
      <c r="AF536" s="399">
        <v>2247.931877149616</v>
      </c>
      <c r="AG536" s="399">
        <v>84.757206975619894</v>
      </c>
      <c r="AH536" s="399">
        <v>0</v>
      </c>
      <c r="AI536" s="399">
        <v>0</v>
      </c>
      <c r="AJ536" s="399">
        <v>0</v>
      </c>
      <c r="AK536" s="399">
        <v>0</v>
      </c>
      <c r="AL536" s="399">
        <v>127.06886979734135</v>
      </c>
      <c r="AM536" s="399"/>
      <c r="AN536" s="399">
        <v>5.3835300297577948</v>
      </c>
      <c r="AO536" s="399">
        <v>0</v>
      </c>
      <c r="AP536" s="399">
        <v>0</v>
      </c>
      <c r="AQ536" s="399">
        <v>0</v>
      </c>
      <c r="AR536" s="399">
        <v>0</v>
      </c>
      <c r="AS536" s="399">
        <v>0</v>
      </c>
      <c r="AT536" s="399">
        <v>0</v>
      </c>
      <c r="AU536" s="399">
        <v>0</v>
      </c>
      <c r="AV536" s="399">
        <v>0</v>
      </c>
      <c r="AW536" s="399">
        <v>0</v>
      </c>
      <c r="AX536" s="399">
        <v>0</v>
      </c>
      <c r="AY536" s="399">
        <v>0</v>
      </c>
      <c r="AZ536" s="399">
        <v>0</v>
      </c>
      <c r="BA536" s="399"/>
      <c r="BB536" s="399">
        <v>0</v>
      </c>
      <c r="BC536" s="399">
        <v>0</v>
      </c>
      <c r="BD536" s="399">
        <v>0</v>
      </c>
      <c r="BE536" s="399">
        <v>0</v>
      </c>
      <c r="BF536" s="399">
        <v>0</v>
      </c>
      <c r="BG536" s="399">
        <v>217.62274635760727</v>
      </c>
      <c r="BH536" s="399">
        <v>0</v>
      </c>
      <c r="BI536" s="399">
        <v>0</v>
      </c>
      <c r="BJ536" s="399">
        <v>0</v>
      </c>
      <c r="BK536" s="399">
        <v>1979.26</v>
      </c>
      <c r="BL536" s="399">
        <v>13</v>
      </c>
      <c r="BM536" s="399"/>
      <c r="BN536" s="399"/>
      <c r="BO536" s="399"/>
      <c r="BP536" s="399"/>
      <c r="BQ536" s="399"/>
      <c r="BR536" s="399"/>
      <c r="BS536" s="399"/>
      <c r="BT536" s="399"/>
      <c r="BU536" s="399"/>
      <c r="BV536" s="399">
        <v>2465.5546235072234</v>
      </c>
      <c r="BW536" s="399"/>
      <c r="BX536" s="399"/>
      <c r="BY536" s="399"/>
      <c r="BZ536" s="399"/>
      <c r="CA536" s="399"/>
      <c r="CB536" s="399"/>
      <c r="CC536" s="399"/>
      <c r="CD536" s="399"/>
      <c r="CE536" s="399"/>
      <c r="CF536" s="399"/>
      <c r="CG536" s="399"/>
      <c r="CH536" s="399"/>
      <c r="CI536" s="399">
        <v>5569.0460999999996</v>
      </c>
      <c r="CJ536" s="399">
        <v>-21.784800000001269</v>
      </c>
      <c r="CK536" s="399"/>
      <c r="CL536" s="399"/>
      <c r="CM536" s="399"/>
      <c r="CN536" s="399"/>
      <c r="CO536" s="399">
        <v>-326.50386000000015</v>
      </c>
      <c r="CP536" s="399">
        <v>305.97842999999989</v>
      </c>
      <c r="CQ536" s="399">
        <v>31</v>
      </c>
      <c r="CR536" s="399">
        <v>239.96597092837237</v>
      </c>
      <c r="CS536" s="399">
        <v>0</v>
      </c>
      <c r="CT536" s="399">
        <v>0</v>
      </c>
      <c r="CU536" s="399">
        <v>0</v>
      </c>
      <c r="CV536" s="399">
        <v>0</v>
      </c>
      <c r="CW536" s="399">
        <v>0</v>
      </c>
      <c r="CX536" s="399">
        <v>0</v>
      </c>
      <c r="CY536" s="399">
        <v>0</v>
      </c>
      <c r="CZ536" s="399">
        <v>32.648479958474468</v>
      </c>
      <c r="DA536" s="399">
        <v>0</v>
      </c>
      <c r="DB536" s="399">
        <v>0</v>
      </c>
      <c r="DC536" s="399">
        <v>306.05110701951253</v>
      </c>
      <c r="DD536" s="399">
        <v>0</v>
      </c>
      <c r="DE536" s="399">
        <v>0</v>
      </c>
      <c r="DF536" s="399">
        <v>0</v>
      </c>
      <c r="DG536" s="399">
        <v>29.628870479752095</v>
      </c>
      <c r="DH536" s="399">
        <v>0</v>
      </c>
      <c r="DI536" s="399">
        <v>-112.87595299066504</v>
      </c>
      <c r="DJ536" s="399"/>
      <c r="DK536" s="399">
        <v>0</v>
      </c>
      <c r="DL536" s="399">
        <v>0</v>
      </c>
      <c r="DM536" s="399">
        <v>0</v>
      </c>
      <c r="DN536" s="399">
        <v>0</v>
      </c>
      <c r="DO536" s="399">
        <v>-14.643875436272282</v>
      </c>
      <c r="DP536" s="399">
        <v>-0.84265810242976258</v>
      </c>
      <c r="DQ536" s="399">
        <v>0</v>
      </c>
      <c r="DR536" s="399">
        <v>0</v>
      </c>
      <c r="DS536" s="399"/>
      <c r="DT536" s="399"/>
      <c r="DU536" s="399"/>
      <c r="DV536" s="399">
        <v>1204.5399738878934</v>
      </c>
      <c r="DW536" s="399">
        <v>0</v>
      </c>
      <c r="DX536" s="399">
        <v>0</v>
      </c>
      <c r="DY536" s="399">
        <v>-326.50386000000026</v>
      </c>
      <c r="DZ536" s="399">
        <v>305.97843000000012</v>
      </c>
      <c r="EA536" s="399">
        <v>0</v>
      </c>
      <c r="EB536" s="399">
        <v>0</v>
      </c>
      <c r="EC536" s="399">
        <v>-260.4150431608</v>
      </c>
      <c r="ED536" s="399">
        <v>0</v>
      </c>
      <c r="EE536" s="399">
        <v>0</v>
      </c>
      <c r="EF536" s="399">
        <v>0</v>
      </c>
      <c r="EG536" s="399">
        <v>0</v>
      </c>
      <c r="EH536" s="399">
        <v>0</v>
      </c>
      <c r="EI536" s="399">
        <v>0</v>
      </c>
      <c r="EJ536" s="399">
        <v>0</v>
      </c>
      <c r="EK536" s="399">
        <v>0</v>
      </c>
      <c r="EL536" s="399">
        <v>0</v>
      </c>
      <c r="EM536" s="399">
        <v>0</v>
      </c>
      <c r="EN536" s="399">
        <v>0</v>
      </c>
      <c r="EO536" s="399">
        <v>0</v>
      </c>
      <c r="EP536" s="399">
        <v>156.71365073525939</v>
      </c>
      <c r="EQ536" s="399">
        <v>0</v>
      </c>
      <c r="ER536" s="399">
        <v>0</v>
      </c>
      <c r="ES536" s="399">
        <v>0</v>
      </c>
      <c r="ET536" s="399">
        <v>0</v>
      </c>
      <c r="EU536" s="399">
        <v>0</v>
      </c>
      <c r="EV536" s="399">
        <v>215</v>
      </c>
      <c r="EW536" s="399">
        <v>0</v>
      </c>
      <c r="EX536" s="399">
        <v>0</v>
      </c>
      <c r="EY536" s="399">
        <v>0</v>
      </c>
      <c r="EZ536" s="399"/>
      <c r="FA536" s="399">
        <v>0</v>
      </c>
      <c r="FB536" s="399"/>
      <c r="FC536" s="399"/>
      <c r="FD536" s="399"/>
      <c r="FE536" s="399"/>
      <c r="FF536" s="399">
        <v>0</v>
      </c>
      <c r="FG536" s="399">
        <v>0</v>
      </c>
      <c r="FH536" s="399">
        <v>0</v>
      </c>
      <c r="FI536" s="399">
        <v>0</v>
      </c>
    </row>
    <row r="537" spans="1:165">
      <c r="A537" s="399">
        <v>541</v>
      </c>
      <c r="B537" s="399" t="s">
        <v>956</v>
      </c>
      <c r="C537" s="399" t="s">
        <v>2352</v>
      </c>
      <c r="D537" s="399" t="s">
        <v>533</v>
      </c>
      <c r="E537" s="399" t="s">
        <v>918</v>
      </c>
      <c r="F537" s="399" t="s">
        <v>1239</v>
      </c>
      <c r="G537" s="399" t="s">
        <v>1239</v>
      </c>
      <c r="H537" s="399" t="s">
        <v>1239</v>
      </c>
      <c r="I537" s="399" t="s">
        <v>893</v>
      </c>
      <c r="J537" s="399" t="s">
        <v>2344</v>
      </c>
      <c r="K537" s="791">
        <v>44774</v>
      </c>
      <c r="L537" s="399">
        <v>0</v>
      </c>
      <c r="M537" s="399">
        <v>0</v>
      </c>
      <c r="N537" s="399">
        <v>7.4850000000000003</v>
      </c>
      <c r="O537" s="399">
        <v>7.4850000000000003</v>
      </c>
      <c r="P537" s="399">
        <v>7.4850000000000003</v>
      </c>
      <c r="Q537" s="399">
        <v>7.4850000000000003</v>
      </c>
      <c r="R537" s="399"/>
      <c r="S537" s="399">
        <v>984.21</v>
      </c>
      <c r="T537" s="399">
        <v>171.61</v>
      </c>
      <c r="U537" s="399"/>
      <c r="V537" s="399">
        <v>8651.3127000000004</v>
      </c>
      <c r="W537" s="399">
        <v>8651.3127000000004</v>
      </c>
      <c r="X537" s="399">
        <v>8067.7072500000004</v>
      </c>
      <c r="Y537" s="399">
        <v>0</v>
      </c>
      <c r="Z537" s="399">
        <v>393.69491026671471</v>
      </c>
      <c r="AA537" s="399">
        <v>0</v>
      </c>
      <c r="AB537" s="399">
        <v>0</v>
      </c>
      <c r="AC537" s="399">
        <v>0</v>
      </c>
      <c r="AD537" s="399">
        <v>2946.909360517855</v>
      </c>
      <c r="AE537" s="399">
        <v>3832.9346742484486</v>
      </c>
      <c r="AF537" s="399">
        <v>1237.826094347449</v>
      </c>
      <c r="AG537" s="399">
        <v>46.671646745568665</v>
      </c>
      <c r="AH537" s="399">
        <v>0</v>
      </c>
      <c r="AI537" s="399">
        <v>0</v>
      </c>
      <c r="AJ537" s="399">
        <v>0</v>
      </c>
      <c r="AK537" s="399">
        <v>0</v>
      </c>
      <c r="AL537" s="399">
        <v>69.970609168917832</v>
      </c>
      <c r="AM537" s="399"/>
      <c r="AN537" s="399">
        <v>1.9764926543843229</v>
      </c>
      <c r="AO537" s="399">
        <v>0</v>
      </c>
      <c r="AP537" s="399">
        <v>0</v>
      </c>
      <c r="AQ537" s="399">
        <v>0</v>
      </c>
      <c r="AR537" s="399">
        <v>0</v>
      </c>
      <c r="AS537" s="399">
        <v>0</v>
      </c>
      <c r="AT537" s="399">
        <v>0</v>
      </c>
      <c r="AU537" s="399">
        <v>0</v>
      </c>
      <c r="AV537" s="399">
        <v>0</v>
      </c>
      <c r="AW537" s="399">
        <v>0</v>
      </c>
      <c r="AX537" s="399">
        <v>0</v>
      </c>
      <c r="AY537" s="399">
        <v>0</v>
      </c>
      <c r="AZ537" s="399">
        <v>0</v>
      </c>
      <c r="BA537" s="399"/>
      <c r="BB537" s="399">
        <v>0</v>
      </c>
      <c r="BC537" s="399">
        <v>0</v>
      </c>
      <c r="BD537" s="399">
        <v>0</v>
      </c>
      <c r="BE537" s="399">
        <v>0</v>
      </c>
      <c r="BF537" s="399">
        <v>0</v>
      </c>
      <c r="BG537" s="399">
        <v>46.266946406895812</v>
      </c>
      <c r="BH537" s="399">
        <v>0</v>
      </c>
      <c r="BI537" s="399">
        <v>0</v>
      </c>
      <c r="BJ537" s="399">
        <v>0</v>
      </c>
      <c r="BK537" s="399">
        <v>0</v>
      </c>
      <c r="BL537" s="399">
        <v>0</v>
      </c>
      <c r="BM537" s="399"/>
      <c r="BN537" s="399"/>
      <c r="BO537" s="399"/>
      <c r="BP537" s="399"/>
      <c r="BQ537" s="399"/>
      <c r="BR537" s="399"/>
      <c r="BS537" s="399"/>
      <c r="BT537" s="399"/>
      <c r="BU537" s="399"/>
      <c r="BV537" s="399">
        <v>1284.0930407543449</v>
      </c>
      <c r="BW537" s="399"/>
      <c r="BX537" s="399"/>
      <c r="BY537" s="399"/>
      <c r="BZ537" s="399"/>
      <c r="CA537" s="399"/>
      <c r="CB537" s="399"/>
      <c r="CC537" s="399"/>
      <c r="CD537" s="399"/>
      <c r="CE537" s="399"/>
      <c r="CF537" s="399"/>
      <c r="CG537" s="399"/>
      <c r="CH537" s="399"/>
      <c r="CI537" s="399">
        <v>8073.0965000000006</v>
      </c>
      <c r="CJ537" s="399">
        <v>-578.2462000000005</v>
      </c>
      <c r="CK537" s="399"/>
      <c r="CL537" s="399"/>
      <c r="CM537" s="399"/>
      <c r="CN537" s="399"/>
      <c r="CO537" s="399">
        <v>-752.09280000000012</v>
      </c>
      <c r="CP537" s="399">
        <v>168.48734999999994</v>
      </c>
      <c r="CQ537" s="399">
        <v>31</v>
      </c>
      <c r="CR537" s="399">
        <v>245.08546310521433</v>
      </c>
      <c r="CS537" s="399">
        <v>0</v>
      </c>
      <c r="CT537" s="399">
        <v>0</v>
      </c>
      <c r="CU537" s="399">
        <v>0</v>
      </c>
      <c r="CV537" s="399">
        <v>0</v>
      </c>
      <c r="CW537" s="399">
        <v>0</v>
      </c>
      <c r="CX537" s="399">
        <v>0</v>
      </c>
      <c r="CY537" s="399">
        <v>0</v>
      </c>
      <c r="CZ537" s="399">
        <v>132.70706439928244</v>
      </c>
      <c r="DA537" s="399">
        <v>0</v>
      </c>
      <c r="DB537" s="399">
        <v>0</v>
      </c>
      <c r="DC537" s="399">
        <v>168.52736967858846</v>
      </c>
      <c r="DD537" s="399">
        <v>0</v>
      </c>
      <c r="DE537" s="399">
        <v>0</v>
      </c>
      <c r="DF537" s="399">
        <v>0</v>
      </c>
      <c r="DG537" s="399">
        <v>6.2991455880760654</v>
      </c>
      <c r="DH537" s="399">
        <v>0</v>
      </c>
      <c r="DI537" s="399">
        <v>-54.075079973335846</v>
      </c>
      <c r="DJ537" s="399"/>
      <c r="DK537" s="399">
        <v>0</v>
      </c>
      <c r="DL537" s="399">
        <v>0</v>
      </c>
      <c r="DM537" s="399">
        <v>0</v>
      </c>
      <c r="DN537" s="399">
        <v>0</v>
      </c>
      <c r="DO537" s="399">
        <v>-8.0636656838444836</v>
      </c>
      <c r="DP537" s="399">
        <v>-0.30937090355281316</v>
      </c>
      <c r="DQ537" s="399">
        <v>0</v>
      </c>
      <c r="DR537" s="399">
        <v>0</v>
      </c>
      <c r="DS537" s="399"/>
      <c r="DT537" s="399"/>
      <c r="DU537" s="399"/>
      <c r="DV537" s="399">
        <v>3832.9346742484486</v>
      </c>
      <c r="DW537" s="399">
        <v>0</v>
      </c>
      <c r="DX537" s="399">
        <v>0</v>
      </c>
      <c r="DY537" s="399">
        <v>-752.09280000000035</v>
      </c>
      <c r="DZ537" s="399">
        <v>168.48734999999988</v>
      </c>
      <c r="EA537" s="399">
        <v>0</v>
      </c>
      <c r="EB537" s="399">
        <v>0</v>
      </c>
      <c r="EC537" s="399">
        <v>-828.65979566057467</v>
      </c>
      <c r="ED537" s="399">
        <v>0</v>
      </c>
      <c r="EE537" s="399">
        <v>0</v>
      </c>
      <c r="EF537" s="399">
        <v>0</v>
      </c>
      <c r="EG537" s="399">
        <v>0</v>
      </c>
      <c r="EH537" s="399">
        <v>0</v>
      </c>
      <c r="EI537" s="399">
        <v>0</v>
      </c>
      <c r="EJ537" s="399">
        <v>0</v>
      </c>
      <c r="EK537" s="399">
        <v>0</v>
      </c>
      <c r="EL537" s="399">
        <v>0</v>
      </c>
      <c r="EM537" s="399">
        <v>0</v>
      </c>
      <c r="EN537" s="399">
        <v>0</v>
      </c>
      <c r="EO537" s="399">
        <v>0</v>
      </c>
      <c r="EP537" s="399">
        <v>75.076249386115606</v>
      </c>
      <c r="EQ537" s="399">
        <v>0</v>
      </c>
      <c r="ER537" s="399">
        <v>0</v>
      </c>
      <c r="ES537" s="399">
        <v>0</v>
      </c>
      <c r="ET537" s="399">
        <v>0</v>
      </c>
      <c r="EU537" s="399">
        <v>0</v>
      </c>
      <c r="EV537" s="399">
        <v>215</v>
      </c>
      <c r="EW537" s="399">
        <v>0</v>
      </c>
      <c r="EX537" s="399">
        <v>0</v>
      </c>
      <c r="EY537" s="399">
        <v>0</v>
      </c>
      <c r="EZ537" s="399"/>
      <c r="FA537" s="399">
        <v>0</v>
      </c>
      <c r="FB537" s="399"/>
      <c r="FC537" s="399"/>
      <c r="FD537" s="399"/>
      <c r="FE537" s="399"/>
      <c r="FF537" s="399">
        <v>0</v>
      </c>
      <c r="FG537" s="399">
        <v>0</v>
      </c>
      <c r="FH537" s="399">
        <v>0</v>
      </c>
      <c r="FI537" s="399">
        <v>0</v>
      </c>
    </row>
    <row r="538" spans="1:165">
      <c r="A538" s="399">
        <v>542</v>
      </c>
      <c r="B538" s="399" t="s">
        <v>956</v>
      </c>
      <c r="C538" s="399" t="s">
        <v>2352</v>
      </c>
      <c r="D538" s="399" t="s">
        <v>533</v>
      </c>
      <c r="E538" s="399" t="s">
        <v>918</v>
      </c>
      <c r="F538" s="399" t="s">
        <v>1239</v>
      </c>
      <c r="G538" s="399" t="s">
        <v>1239</v>
      </c>
      <c r="H538" s="399" t="s">
        <v>1239</v>
      </c>
      <c r="I538" s="399" t="s">
        <v>2326</v>
      </c>
      <c r="J538" s="399" t="s">
        <v>2344</v>
      </c>
      <c r="K538" s="791">
        <v>44774</v>
      </c>
      <c r="L538" s="399">
        <v>0</v>
      </c>
      <c r="M538" s="399">
        <v>0</v>
      </c>
      <c r="N538" s="399">
        <v>85.442999999999998</v>
      </c>
      <c r="O538" s="399">
        <v>85.442999999999998</v>
      </c>
      <c r="P538" s="399">
        <v>85.442999999999998</v>
      </c>
      <c r="Q538" s="399">
        <v>85.442999999999998</v>
      </c>
      <c r="R538" s="399"/>
      <c r="S538" s="399">
        <v>78.42</v>
      </c>
      <c r="T538" s="399">
        <v>171.61</v>
      </c>
      <c r="U538" s="399"/>
      <c r="V538" s="399">
        <v>21363.313290000002</v>
      </c>
      <c r="W538" s="399">
        <v>21363.313290000002</v>
      </c>
      <c r="X538" s="399">
        <v>22645.812719999998</v>
      </c>
      <c r="Y538" s="399">
        <v>0</v>
      </c>
      <c r="Z538" s="399">
        <v>4494.1181319864936</v>
      </c>
      <c r="AA538" s="399">
        <v>0</v>
      </c>
      <c r="AB538" s="399">
        <v>0</v>
      </c>
      <c r="AC538" s="399">
        <v>0</v>
      </c>
      <c r="AD538" s="399">
        <v>0</v>
      </c>
      <c r="AE538" s="399">
        <v>0</v>
      </c>
      <c r="AF538" s="399">
        <v>14130.070137518916</v>
      </c>
      <c r="AG538" s="399">
        <v>532.76760359139928</v>
      </c>
      <c r="AH538" s="399">
        <v>0</v>
      </c>
      <c r="AI538" s="399">
        <v>0</v>
      </c>
      <c r="AJ538" s="399">
        <v>0</v>
      </c>
      <c r="AK538" s="399">
        <v>0</v>
      </c>
      <c r="AL538" s="399">
        <v>798.73062915428795</v>
      </c>
      <c r="AM538" s="399"/>
      <c r="AN538" s="399">
        <v>22.562119154116193</v>
      </c>
      <c r="AO538" s="399">
        <v>0</v>
      </c>
      <c r="AP538" s="399">
        <v>0</v>
      </c>
      <c r="AQ538" s="399">
        <v>0</v>
      </c>
      <c r="AR538" s="399">
        <v>0</v>
      </c>
      <c r="AS538" s="399">
        <v>0</v>
      </c>
      <c r="AT538" s="399">
        <v>0</v>
      </c>
      <c r="AU538" s="399">
        <v>0</v>
      </c>
      <c r="AV538" s="399">
        <v>0</v>
      </c>
      <c r="AW538" s="399">
        <v>0</v>
      </c>
      <c r="AX538" s="399">
        <v>0</v>
      </c>
      <c r="AY538" s="399">
        <v>0</v>
      </c>
      <c r="AZ538" s="399">
        <v>0</v>
      </c>
      <c r="BA538" s="399"/>
      <c r="BB538" s="399">
        <v>0</v>
      </c>
      <c r="BC538" s="399">
        <v>0</v>
      </c>
      <c r="BD538" s="399">
        <v>0</v>
      </c>
      <c r="BE538" s="399">
        <v>0</v>
      </c>
      <c r="BF538" s="399">
        <v>0</v>
      </c>
      <c r="BG538" s="399">
        <v>528.14785595783542</v>
      </c>
      <c r="BH538" s="399">
        <v>0</v>
      </c>
      <c r="BI538" s="399">
        <v>0</v>
      </c>
      <c r="BJ538" s="399">
        <v>0</v>
      </c>
      <c r="BK538" s="399">
        <v>0</v>
      </c>
      <c r="BL538" s="399">
        <v>0</v>
      </c>
      <c r="BM538" s="399"/>
      <c r="BN538" s="399"/>
      <c r="BO538" s="399"/>
      <c r="BP538" s="399"/>
      <c r="BQ538" s="399"/>
      <c r="BR538" s="399"/>
      <c r="BS538" s="399"/>
      <c r="BT538" s="399"/>
      <c r="BU538" s="399"/>
      <c r="BV538" s="399">
        <v>14658.217993476752</v>
      </c>
      <c r="BW538" s="399"/>
      <c r="BX538" s="399"/>
      <c r="BY538" s="399"/>
      <c r="BZ538" s="399"/>
      <c r="CA538" s="399"/>
      <c r="CB538" s="399"/>
      <c r="CC538" s="399"/>
      <c r="CD538" s="399"/>
      <c r="CE538" s="399"/>
      <c r="CF538" s="399"/>
      <c r="CG538" s="399"/>
      <c r="CH538" s="399"/>
      <c r="CI538" s="399">
        <v>22645.017599999999</v>
      </c>
      <c r="CJ538" s="399">
        <v>1281.6743099999985</v>
      </c>
      <c r="CK538" s="399"/>
      <c r="CL538" s="399"/>
      <c r="CM538" s="399"/>
      <c r="CN538" s="399"/>
      <c r="CO538" s="399">
        <v>-640.82249999999999</v>
      </c>
      <c r="CP538" s="399">
        <v>1923.3219299999992</v>
      </c>
      <c r="CQ538" s="399">
        <v>31</v>
      </c>
      <c r="CR538" s="399">
        <v>1282.8253200575673</v>
      </c>
      <c r="CS538" s="399">
        <v>0</v>
      </c>
      <c r="CT538" s="399">
        <v>0</v>
      </c>
      <c r="CU538" s="399">
        <v>0</v>
      </c>
      <c r="CV538" s="399">
        <v>0</v>
      </c>
      <c r="CW538" s="399">
        <v>0</v>
      </c>
      <c r="CX538" s="399">
        <v>0</v>
      </c>
      <c r="CY538" s="399">
        <v>0</v>
      </c>
      <c r="CZ538" s="399">
        <v>0</v>
      </c>
      <c r="DA538" s="399">
        <v>0</v>
      </c>
      <c r="DB538" s="399">
        <v>0</v>
      </c>
      <c r="DC538" s="399">
        <v>1923.7787638540576</v>
      </c>
      <c r="DD538" s="399">
        <v>0</v>
      </c>
      <c r="DE538" s="399">
        <v>0</v>
      </c>
      <c r="DF538" s="399">
        <v>0</v>
      </c>
      <c r="DG538" s="399">
        <v>71.906198594787384</v>
      </c>
      <c r="DH538" s="399">
        <v>0</v>
      </c>
      <c r="DI538" s="399">
        <v>-617.27950008840799</v>
      </c>
      <c r="DJ538" s="399"/>
      <c r="DK538" s="399">
        <v>0</v>
      </c>
      <c r="DL538" s="399">
        <v>0</v>
      </c>
      <c r="DM538" s="399">
        <v>0</v>
      </c>
      <c r="DN538" s="399">
        <v>0</v>
      </c>
      <c r="DO538" s="399">
        <v>-92.048602140911612</v>
      </c>
      <c r="DP538" s="399">
        <v>-3.5315401619589863</v>
      </c>
      <c r="DQ538" s="399">
        <v>0</v>
      </c>
      <c r="DR538" s="399">
        <v>0</v>
      </c>
      <c r="DS538" s="399"/>
      <c r="DT538" s="399"/>
      <c r="DU538" s="399"/>
      <c r="DV538" s="399">
        <v>0</v>
      </c>
      <c r="DW538" s="399">
        <v>0</v>
      </c>
      <c r="DX538" s="399">
        <v>0</v>
      </c>
      <c r="DY538" s="399">
        <v>-640.82250000000022</v>
      </c>
      <c r="DZ538" s="399">
        <v>1923.3219299999982</v>
      </c>
      <c r="EA538" s="399">
        <v>0</v>
      </c>
      <c r="EB538" s="399">
        <v>0</v>
      </c>
      <c r="EC538" s="399">
        <v>0</v>
      </c>
      <c r="ED538" s="399">
        <v>0</v>
      </c>
      <c r="EE538" s="399">
        <v>0</v>
      </c>
      <c r="EF538" s="399">
        <v>0</v>
      </c>
      <c r="EG538" s="399">
        <v>0</v>
      </c>
      <c r="EH538" s="399">
        <v>0</v>
      </c>
      <c r="EI538" s="399">
        <v>0</v>
      </c>
      <c r="EJ538" s="399">
        <v>0</v>
      </c>
      <c r="EK538" s="399">
        <v>0</v>
      </c>
      <c r="EL538" s="399">
        <v>0</v>
      </c>
      <c r="EM538" s="399">
        <v>0</v>
      </c>
      <c r="EN538" s="399">
        <v>0</v>
      </c>
      <c r="EO538" s="399">
        <v>0</v>
      </c>
      <c r="EP538" s="399">
        <v>857.01268888415166</v>
      </c>
      <c r="EQ538" s="399">
        <v>0</v>
      </c>
      <c r="ER538" s="399">
        <v>0</v>
      </c>
      <c r="ES538" s="399">
        <v>0</v>
      </c>
      <c r="ET538" s="399">
        <v>0</v>
      </c>
      <c r="EU538" s="399">
        <v>0</v>
      </c>
      <c r="EV538" s="399">
        <v>215</v>
      </c>
      <c r="EW538" s="399">
        <v>0</v>
      </c>
      <c r="EX538" s="399">
        <v>0</v>
      </c>
      <c r="EY538" s="399">
        <v>0</v>
      </c>
      <c r="EZ538" s="399"/>
      <c r="FA538" s="399">
        <v>0</v>
      </c>
      <c r="FB538" s="399"/>
      <c r="FC538" s="399"/>
      <c r="FD538" s="399"/>
      <c r="FE538" s="399"/>
      <c r="FF538" s="399">
        <v>0</v>
      </c>
      <c r="FG538" s="399">
        <v>0</v>
      </c>
      <c r="FH538" s="399">
        <v>0</v>
      </c>
      <c r="FI538" s="399">
        <v>0</v>
      </c>
    </row>
    <row r="539" spans="1:165">
      <c r="A539" s="399">
        <v>543</v>
      </c>
      <c r="B539" s="399" t="s">
        <v>956</v>
      </c>
      <c r="C539" s="399" t="s">
        <v>2352</v>
      </c>
      <c r="D539" s="399" t="s">
        <v>533</v>
      </c>
      <c r="E539" s="399" t="s">
        <v>918</v>
      </c>
      <c r="F539" s="399" t="s">
        <v>1239</v>
      </c>
      <c r="G539" s="399" t="s">
        <v>1239</v>
      </c>
      <c r="H539" s="399" t="s">
        <v>1239</v>
      </c>
      <c r="I539" s="399" t="s">
        <v>1239</v>
      </c>
      <c r="J539" s="399" t="s">
        <v>2344</v>
      </c>
      <c r="K539" s="791">
        <v>44774</v>
      </c>
      <c r="L539" s="399">
        <v>565</v>
      </c>
      <c r="M539" s="399">
        <v>565</v>
      </c>
      <c r="N539" s="399">
        <v>0</v>
      </c>
      <c r="O539" s="399">
        <v>0</v>
      </c>
      <c r="P539" s="399">
        <v>0</v>
      </c>
      <c r="Q539" s="399">
        <v>0</v>
      </c>
      <c r="R539" s="399">
        <v>12.58</v>
      </c>
      <c r="S539" s="399"/>
      <c r="T539" s="399"/>
      <c r="U539" s="399">
        <v>7107.7</v>
      </c>
      <c r="V539" s="399"/>
      <c r="W539" s="399">
        <v>7107.7</v>
      </c>
      <c r="X539" s="399">
        <v>6548.35</v>
      </c>
      <c r="Y539" s="399">
        <v>0</v>
      </c>
      <c r="Z539" s="399">
        <v>0</v>
      </c>
      <c r="AA539" s="399">
        <v>0</v>
      </c>
      <c r="AB539" s="399">
        <v>0</v>
      </c>
      <c r="AC539" s="399">
        <v>0</v>
      </c>
      <c r="AD539" s="399">
        <v>3744.5032737077086</v>
      </c>
      <c r="AE539" s="399">
        <v>3361.5855993556388</v>
      </c>
      <c r="AF539" s="399"/>
      <c r="AG539" s="399"/>
      <c r="AH539" s="399"/>
      <c r="AI539" s="399">
        <v>0</v>
      </c>
      <c r="AJ539" s="399">
        <v>0</v>
      </c>
      <c r="AK539" s="399">
        <v>0</v>
      </c>
      <c r="AL539" s="399">
        <v>0</v>
      </c>
      <c r="AM539" s="399"/>
      <c r="AN539" s="399">
        <v>0</v>
      </c>
      <c r="AO539" s="399">
        <v>0</v>
      </c>
      <c r="AP539" s="399">
        <v>0</v>
      </c>
      <c r="AQ539" s="399">
        <v>0</v>
      </c>
      <c r="AR539" s="399">
        <v>0</v>
      </c>
      <c r="AS539" s="399"/>
      <c r="AT539" s="399"/>
      <c r="AU539" s="399">
        <v>0</v>
      </c>
      <c r="AV539" s="399">
        <v>0</v>
      </c>
      <c r="AW539" s="399">
        <v>0</v>
      </c>
      <c r="AX539" s="399"/>
      <c r="AY539" s="399"/>
      <c r="AZ539" s="399">
        <v>0</v>
      </c>
      <c r="BA539" s="399"/>
      <c r="BB539" s="399">
        <v>0</v>
      </c>
      <c r="BC539" s="399">
        <v>0</v>
      </c>
      <c r="BD539" s="399">
        <v>0</v>
      </c>
      <c r="BE539" s="399">
        <v>0</v>
      </c>
      <c r="BF539" s="399"/>
      <c r="BG539" s="399">
        <v>0</v>
      </c>
      <c r="BH539" s="399">
        <v>0</v>
      </c>
      <c r="BI539" s="399">
        <v>0</v>
      </c>
      <c r="BJ539" s="399">
        <v>0</v>
      </c>
      <c r="BK539" s="399">
        <v>7926.31</v>
      </c>
      <c r="BL539" s="399">
        <v>5</v>
      </c>
      <c r="BM539" s="399"/>
      <c r="BN539" s="399"/>
      <c r="BO539" s="399"/>
      <c r="BP539" s="399"/>
      <c r="BQ539" s="399"/>
      <c r="BR539" s="399"/>
      <c r="BS539" s="399"/>
      <c r="BT539" s="399"/>
      <c r="BU539" s="399"/>
      <c r="BV539" s="399">
        <v>0</v>
      </c>
      <c r="BW539" s="399"/>
      <c r="BX539" s="399"/>
      <c r="BY539" s="399"/>
      <c r="BZ539" s="399"/>
      <c r="CA539" s="399"/>
      <c r="CB539" s="399"/>
      <c r="CC539" s="399"/>
      <c r="CD539" s="399"/>
      <c r="CE539" s="399"/>
      <c r="CF539" s="399"/>
      <c r="CG539" s="399"/>
      <c r="CH539" s="399"/>
      <c r="CI539" s="399">
        <v>6548.35</v>
      </c>
      <c r="CJ539" s="399">
        <v>-559.38000000000011</v>
      </c>
      <c r="CK539" s="399"/>
      <c r="CL539" s="399"/>
      <c r="CM539" s="399"/>
      <c r="CN539" s="399"/>
      <c r="CO539" s="399">
        <v>-559.35000000000014</v>
      </c>
      <c r="CP539" s="399">
        <v>0</v>
      </c>
      <c r="CQ539" s="399">
        <v>31</v>
      </c>
      <c r="CR539" s="399">
        <v>168.62481206409029</v>
      </c>
      <c r="CS539" s="399">
        <v>0</v>
      </c>
      <c r="CT539" s="399">
        <v>0</v>
      </c>
      <c r="CU539" s="399">
        <v>0</v>
      </c>
      <c r="CV539" s="399">
        <v>0</v>
      </c>
      <c r="CW539" s="399"/>
      <c r="CX539" s="399"/>
      <c r="CY539" s="399"/>
      <c r="CZ539" s="399">
        <v>168.62481206409029</v>
      </c>
      <c r="DA539" s="399">
        <v>0</v>
      </c>
      <c r="DB539" s="399">
        <v>0</v>
      </c>
      <c r="DC539" s="399"/>
      <c r="DD539" s="399"/>
      <c r="DE539" s="399">
        <v>0</v>
      </c>
      <c r="DF539" s="399">
        <v>0</v>
      </c>
      <c r="DG539" s="399">
        <v>0</v>
      </c>
      <c r="DH539" s="399">
        <v>0</v>
      </c>
      <c r="DI539" s="399">
        <v>0</v>
      </c>
      <c r="DJ539" s="399"/>
      <c r="DK539" s="399">
        <v>0</v>
      </c>
      <c r="DL539" s="399">
        <v>0</v>
      </c>
      <c r="DM539" s="399"/>
      <c r="DN539" s="399">
        <v>0</v>
      </c>
      <c r="DO539" s="399">
        <v>0</v>
      </c>
      <c r="DP539" s="399">
        <v>0</v>
      </c>
      <c r="DQ539" s="399">
        <v>0</v>
      </c>
      <c r="DR539" s="399">
        <v>0</v>
      </c>
      <c r="DS539" s="399"/>
      <c r="DT539" s="399"/>
      <c r="DU539" s="399">
        <v>3361.5855993556388</v>
      </c>
      <c r="DV539" s="399"/>
      <c r="DW539" s="399">
        <v>0</v>
      </c>
      <c r="DX539" s="399">
        <v>0</v>
      </c>
      <c r="DY539" s="399">
        <v>-559.34999999999945</v>
      </c>
      <c r="DZ539" s="399"/>
      <c r="EA539" s="399">
        <v>0</v>
      </c>
      <c r="EB539" s="399"/>
      <c r="EC539" s="399">
        <v>-726.75666887116267</v>
      </c>
      <c r="ED539" s="399"/>
      <c r="EE539" s="399">
        <v>0</v>
      </c>
      <c r="EF539" s="399">
        <v>0</v>
      </c>
      <c r="EG539" s="399"/>
      <c r="EH539" s="399">
        <v>0</v>
      </c>
      <c r="EI539" s="399">
        <v>0</v>
      </c>
      <c r="EJ539" s="399">
        <v>0</v>
      </c>
      <c r="EK539" s="399">
        <v>0</v>
      </c>
      <c r="EL539" s="399">
        <v>0</v>
      </c>
      <c r="EM539" s="399"/>
      <c r="EN539" s="399"/>
      <c r="EO539" s="399">
        <v>0</v>
      </c>
      <c r="EP539" s="399">
        <v>0</v>
      </c>
      <c r="EQ539" s="399"/>
      <c r="ER539" s="399">
        <v>0</v>
      </c>
      <c r="ES539" s="399"/>
      <c r="ET539" s="399">
        <v>0</v>
      </c>
      <c r="EU539" s="399"/>
      <c r="EV539" s="399">
        <v>215</v>
      </c>
      <c r="EW539" s="399"/>
      <c r="EX539" s="399"/>
      <c r="EY539" s="399"/>
      <c r="EZ539" s="399"/>
      <c r="FA539" s="399">
        <v>0</v>
      </c>
      <c r="FB539" s="399"/>
      <c r="FC539" s="399"/>
      <c r="FD539" s="399"/>
      <c r="FE539" s="399"/>
      <c r="FF539" s="399">
        <v>0</v>
      </c>
      <c r="FG539" s="399">
        <v>0</v>
      </c>
      <c r="FH539" s="399">
        <v>0</v>
      </c>
      <c r="FI539" s="399">
        <v>0</v>
      </c>
    </row>
    <row r="540" spans="1:165">
      <c r="A540" s="399">
        <v>544</v>
      </c>
      <c r="B540" s="399" t="s">
        <v>956</v>
      </c>
      <c r="C540" s="399" t="s">
        <v>2343</v>
      </c>
      <c r="D540" s="399" t="s">
        <v>2353</v>
      </c>
      <c r="E540" s="399" t="s">
        <v>894</v>
      </c>
      <c r="F540" s="399" t="s">
        <v>1239</v>
      </c>
      <c r="G540" s="399" t="s">
        <v>1239</v>
      </c>
      <c r="H540" s="399" t="s">
        <v>1239</v>
      </c>
      <c r="I540" s="399" t="s">
        <v>1239</v>
      </c>
      <c r="J540" s="399" t="s">
        <v>2344</v>
      </c>
      <c r="K540" s="791">
        <v>44774</v>
      </c>
      <c r="L540" s="399">
        <v>0</v>
      </c>
      <c r="M540" s="399">
        <v>0</v>
      </c>
      <c r="N540" s="399">
        <v>505.47699999999998</v>
      </c>
      <c r="O540" s="399">
        <v>505.47699999999998</v>
      </c>
      <c r="P540" s="399">
        <v>505.47699999999998</v>
      </c>
      <c r="Q540" s="399">
        <v>505.47699999999998</v>
      </c>
      <c r="R540" s="399"/>
      <c r="S540" s="399">
        <v>239.69</v>
      </c>
      <c r="T540" s="399">
        <v>171.61</v>
      </c>
      <c r="U540" s="399"/>
      <c r="V540" s="399">
        <v>207902.69010000001</v>
      </c>
      <c r="W540" s="399">
        <v>207902.69010000001</v>
      </c>
      <c r="X540" s="399">
        <v>207139.41982999997</v>
      </c>
      <c r="Y540" s="399">
        <v>0</v>
      </c>
      <c r="Z540" s="399">
        <v>30559.774285258361</v>
      </c>
      <c r="AA540" s="399">
        <v>0</v>
      </c>
      <c r="AB540" s="399">
        <v>0</v>
      </c>
      <c r="AC540" s="399">
        <v>0</v>
      </c>
      <c r="AD540" s="399">
        <v>26960.117747937136</v>
      </c>
      <c r="AE540" s="399">
        <v>44792.705979616767</v>
      </c>
      <c r="AF540" s="399">
        <v>83592.868495987379</v>
      </c>
      <c r="AG540" s="399">
        <v>3151.8295233146041</v>
      </c>
      <c r="AH540" s="399">
        <v>0</v>
      </c>
      <c r="AI540" s="399">
        <v>0</v>
      </c>
      <c r="AJ540" s="399">
        <v>0</v>
      </c>
      <c r="AK540" s="399">
        <v>0</v>
      </c>
      <c r="AL540" s="399">
        <v>4725.254991433143</v>
      </c>
      <c r="AM540" s="399"/>
      <c r="AN540" s="399">
        <v>200.19499807635404</v>
      </c>
      <c r="AO540" s="399">
        <v>0</v>
      </c>
      <c r="AP540" s="399">
        <v>0</v>
      </c>
      <c r="AQ540" s="399">
        <v>0</v>
      </c>
      <c r="AR540" s="399">
        <v>0</v>
      </c>
      <c r="AS540" s="399">
        <v>0</v>
      </c>
      <c r="AT540" s="399">
        <v>0</v>
      </c>
      <c r="AU540" s="399">
        <v>0</v>
      </c>
      <c r="AV540" s="399">
        <v>0</v>
      </c>
      <c r="AW540" s="399">
        <v>0</v>
      </c>
      <c r="AX540" s="399">
        <v>0</v>
      </c>
      <c r="AY540" s="399">
        <v>0</v>
      </c>
      <c r="AZ540" s="399">
        <v>0</v>
      </c>
      <c r="BA540" s="399"/>
      <c r="BB540" s="399">
        <v>0</v>
      </c>
      <c r="BC540" s="399">
        <v>0</v>
      </c>
      <c r="BD540" s="399">
        <v>0</v>
      </c>
      <c r="BE540" s="399">
        <v>0</v>
      </c>
      <c r="BF540" s="399">
        <v>0</v>
      </c>
      <c r="BG540" s="399">
        <v>8092.642754403314</v>
      </c>
      <c r="BH540" s="399">
        <v>0</v>
      </c>
      <c r="BI540" s="399">
        <v>0</v>
      </c>
      <c r="BJ540" s="399">
        <v>0</v>
      </c>
      <c r="BK540" s="399">
        <v>35475.29</v>
      </c>
      <c r="BL540" s="399">
        <v>697</v>
      </c>
      <c r="BM540" s="399"/>
      <c r="BN540" s="399"/>
      <c r="BO540" s="399"/>
      <c r="BP540" s="399"/>
      <c r="BQ540" s="399"/>
      <c r="BR540" s="399">
        <v>24854.304089999991</v>
      </c>
      <c r="BS540" s="399"/>
      <c r="BT540" s="399"/>
      <c r="BU540" s="399"/>
      <c r="BV540" s="399">
        <v>91685.5112503907</v>
      </c>
      <c r="BW540" s="399"/>
      <c r="BX540" s="399"/>
      <c r="BY540" s="399"/>
      <c r="BZ540" s="399"/>
      <c r="CA540" s="399"/>
      <c r="CB540" s="399"/>
      <c r="CC540" s="399"/>
      <c r="CD540" s="399"/>
      <c r="CE540" s="399"/>
      <c r="CF540" s="399"/>
      <c r="CG540" s="399"/>
      <c r="CH540" s="399"/>
      <c r="CI540" s="399">
        <v>182286.19760000001</v>
      </c>
      <c r="CJ540" s="399">
        <v>-671.23254999998608</v>
      </c>
      <c r="CK540" s="399"/>
      <c r="CL540" s="399"/>
      <c r="CM540" s="399"/>
      <c r="CN540" s="399"/>
      <c r="CO540" s="399">
        <v>-12141.557540000005</v>
      </c>
      <c r="CP540" s="399">
        <v>11378.287269999995</v>
      </c>
      <c r="CQ540" s="399">
        <v>31</v>
      </c>
      <c r="CR540" s="399">
        <v>8923.5105633017374</v>
      </c>
      <c r="CS540" s="399">
        <v>0</v>
      </c>
      <c r="CT540" s="399">
        <v>0</v>
      </c>
      <c r="CU540" s="399">
        <v>0</v>
      </c>
      <c r="CV540" s="399">
        <v>0</v>
      </c>
      <c r="CW540" s="399">
        <v>0</v>
      </c>
      <c r="CX540" s="399">
        <v>0</v>
      </c>
      <c r="CY540" s="399">
        <v>0</v>
      </c>
      <c r="CZ540" s="399">
        <v>1214.0848748598437</v>
      </c>
      <c r="DA540" s="399">
        <v>0</v>
      </c>
      <c r="DB540" s="399">
        <v>0</v>
      </c>
      <c r="DC540" s="399">
        <v>11380.989878827488</v>
      </c>
      <c r="DD540" s="399">
        <v>0</v>
      </c>
      <c r="DE540" s="399">
        <v>0</v>
      </c>
      <c r="DF540" s="399">
        <v>0</v>
      </c>
      <c r="DG540" s="399">
        <v>1101.7959658275322</v>
      </c>
      <c r="DH540" s="399">
        <v>0</v>
      </c>
      <c r="DI540" s="399">
        <v>-4197.469145138115</v>
      </c>
      <c r="DJ540" s="399"/>
      <c r="DK540" s="399">
        <v>0</v>
      </c>
      <c r="DL540" s="399">
        <v>0</v>
      </c>
      <c r="DM540" s="399">
        <v>0</v>
      </c>
      <c r="DN540" s="399">
        <v>0</v>
      </c>
      <c r="DO540" s="399">
        <v>-544.55544941518474</v>
      </c>
      <c r="DP540" s="399">
        <v>-31.335561659816733</v>
      </c>
      <c r="DQ540" s="399">
        <v>0</v>
      </c>
      <c r="DR540" s="399">
        <v>0</v>
      </c>
      <c r="DS540" s="399"/>
      <c r="DT540" s="399"/>
      <c r="DU540" s="399"/>
      <c r="DV540" s="399">
        <v>44792.705979616767</v>
      </c>
      <c r="DW540" s="399">
        <v>0</v>
      </c>
      <c r="DX540" s="399">
        <v>0</v>
      </c>
      <c r="DY540" s="399">
        <v>-12141.557540000009</v>
      </c>
      <c r="DZ540" s="399">
        <v>11378.287270000001</v>
      </c>
      <c r="EA540" s="399">
        <v>0</v>
      </c>
      <c r="EB540" s="399">
        <v>0</v>
      </c>
      <c r="EC540" s="399">
        <v>-9683.9413500913506</v>
      </c>
      <c r="ED540" s="399">
        <v>0</v>
      </c>
      <c r="EE540" s="399">
        <v>0</v>
      </c>
      <c r="EF540" s="399">
        <v>0</v>
      </c>
      <c r="EG540" s="399">
        <v>0</v>
      </c>
      <c r="EH540" s="399">
        <v>0</v>
      </c>
      <c r="EI540" s="399">
        <v>0</v>
      </c>
      <c r="EJ540" s="399">
        <v>0</v>
      </c>
      <c r="EK540" s="399">
        <v>0</v>
      </c>
      <c r="EL540" s="399">
        <v>0</v>
      </c>
      <c r="EM540" s="399">
        <v>0</v>
      </c>
      <c r="EN540" s="399">
        <v>0</v>
      </c>
      <c r="EO540" s="399">
        <v>0</v>
      </c>
      <c r="EP540" s="399">
        <v>5827.6426125731414</v>
      </c>
      <c r="EQ540" s="399">
        <v>0</v>
      </c>
      <c r="ER540" s="399">
        <v>0</v>
      </c>
      <c r="ES540" s="399">
        <v>0</v>
      </c>
      <c r="ET540" s="399">
        <v>0</v>
      </c>
      <c r="EU540" s="399">
        <v>0</v>
      </c>
      <c r="EV540" s="399">
        <v>215</v>
      </c>
      <c r="EW540" s="399">
        <v>0</v>
      </c>
      <c r="EX540" s="399">
        <v>0</v>
      </c>
      <c r="EY540" s="399">
        <v>0</v>
      </c>
      <c r="EZ540" s="399"/>
      <c r="FA540" s="399">
        <v>0</v>
      </c>
      <c r="FB540" s="399"/>
      <c r="FC540" s="399"/>
      <c r="FD540" s="399"/>
      <c r="FE540" s="399"/>
      <c r="FF540" s="399">
        <v>0</v>
      </c>
      <c r="FG540" s="399">
        <v>0</v>
      </c>
      <c r="FH540" s="399">
        <v>0</v>
      </c>
      <c r="FI540" s="399">
        <v>0</v>
      </c>
    </row>
    <row r="541" spans="1:165">
      <c r="A541" s="399">
        <v>545</v>
      </c>
      <c r="B541" s="399" t="s">
        <v>2345</v>
      </c>
      <c r="C541" s="399" t="s">
        <v>2343</v>
      </c>
      <c r="D541" s="399" t="s">
        <v>2353</v>
      </c>
      <c r="E541" s="399" t="s">
        <v>894</v>
      </c>
      <c r="F541" s="399" t="s">
        <v>1239</v>
      </c>
      <c r="G541" s="399" t="s">
        <v>1239</v>
      </c>
      <c r="H541" s="399" t="s">
        <v>1239</v>
      </c>
      <c r="I541" s="399" t="s">
        <v>1239</v>
      </c>
      <c r="J541" s="399" t="s">
        <v>2344</v>
      </c>
      <c r="K541" s="791">
        <v>44774</v>
      </c>
      <c r="L541" s="399">
        <v>0</v>
      </c>
      <c r="M541" s="399">
        <v>0</v>
      </c>
      <c r="N541" s="399">
        <v>-8.6999999999999994E-2</v>
      </c>
      <c r="O541" s="399">
        <v>-8.6999999999999994E-2</v>
      </c>
      <c r="P541" s="399">
        <v>-8.6999999999999994E-2</v>
      </c>
      <c r="Q541" s="399">
        <v>-8.6999999999999994E-2</v>
      </c>
      <c r="R541" s="399"/>
      <c r="S541" s="399">
        <v>239.69</v>
      </c>
      <c r="T541" s="399">
        <v>171.61</v>
      </c>
      <c r="U541" s="399"/>
      <c r="V541" s="399">
        <v>-35.783099999999997</v>
      </c>
      <c r="W541" s="399">
        <v>-35.783099999999997</v>
      </c>
      <c r="X541" s="399">
        <v>-35.651730000000001</v>
      </c>
      <c r="Y541" s="399">
        <v>0</v>
      </c>
      <c r="Z541" s="399">
        <v>-5.2597850403034707</v>
      </c>
      <c r="AA541" s="399">
        <v>0</v>
      </c>
      <c r="AB541" s="399">
        <v>0</v>
      </c>
      <c r="AC541" s="399">
        <v>0</v>
      </c>
      <c r="AD541" s="399">
        <v>-4.6402313934571326</v>
      </c>
      <c r="AE541" s="399">
        <v>-7.7094811835685082</v>
      </c>
      <c r="AF541" s="399">
        <v>-14.387557810050509</v>
      </c>
      <c r="AG541" s="399">
        <v>-0.54247605435731117</v>
      </c>
      <c r="AH541" s="399">
        <v>0</v>
      </c>
      <c r="AI541" s="399">
        <v>0</v>
      </c>
      <c r="AJ541" s="399">
        <v>0</v>
      </c>
      <c r="AK541" s="399">
        <v>0</v>
      </c>
      <c r="AL541" s="399">
        <v>-0.81328563763471617</v>
      </c>
      <c r="AM541" s="399"/>
      <c r="AN541" s="399">
        <v>-3.445649323835269E-2</v>
      </c>
      <c r="AO541" s="399">
        <v>0</v>
      </c>
      <c r="AP541" s="399">
        <v>0</v>
      </c>
      <c r="AQ541" s="399">
        <v>0</v>
      </c>
      <c r="AR541" s="399">
        <v>0</v>
      </c>
      <c r="AS541" s="399">
        <v>0</v>
      </c>
      <c r="AT541" s="399">
        <v>0</v>
      </c>
      <c r="AU541" s="399">
        <v>0</v>
      </c>
      <c r="AV541" s="399">
        <v>0</v>
      </c>
      <c r="AW541" s="399">
        <v>0</v>
      </c>
      <c r="AX541" s="399">
        <v>0</v>
      </c>
      <c r="AY541" s="399">
        <v>0</v>
      </c>
      <c r="AZ541" s="399">
        <v>0</v>
      </c>
      <c r="BA541" s="399"/>
      <c r="BB541" s="399">
        <v>0</v>
      </c>
      <c r="BC541" s="399">
        <v>0</v>
      </c>
      <c r="BD541" s="399">
        <v>0</v>
      </c>
      <c r="BE541" s="399">
        <v>0</v>
      </c>
      <c r="BF541" s="399">
        <v>0</v>
      </c>
      <c r="BG541" s="399">
        <v>-1.3928624242707153</v>
      </c>
      <c r="BH541" s="399">
        <v>0</v>
      </c>
      <c r="BI541" s="399">
        <v>0</v>
      </c>
      <c r="BJ541" s="399">
        <v>0</v>
      </c>
      <c r="BK541" s="399">
        <v>-4.8600000000000003</v>
      </c>
      <c r="BL541" s="399">
        <v>0</v>
      </c>
      <c r="BM541" s="399"/>
      <c r="BN541" s="399"/>
      <c r="BO541" s="399"/>
      <c r="BP541" s="399"/>
      <c r="BQ541" s="399"/>
      <c r="BR541" s="399">
        <v>-4.2777899999999986</v>
      </c>
      <c r="BS541" s="399"/>
      <c r="BT541" s="399"/>
      <c r="BU541" s="399"/>
      <c r="BV541" s="399">
        <v>-15.780420234321225</v>
      </c>
      <c r="BW541" s="399"/>
      <c r="BX541" s="399"/>
      <c r="BY541" s="399"/>
      <c r="BZ541" s="399"/>
      <c r="CA541" s="399"/>
      <c r="CB541" s="399"/>
      <c r="CC541" s="399"/>
      <c r="CD541" s="399"/>
      <c r="CE541" s="399"/>
      <c r="CF541" s="399"/>
      <c r="CG541" s="399"/>
      <c r="CH541" s="399"/>
      <c r="CI541" s="399">
        <v>-32.455799999999996</v>
      </c>
      <c r="CJ541" s="399">
        <v>-0.99615000000000364</v>
      </c>
      <c r="CK541" s="399"/>
      <c r="CL541" s="399"/>
      <c r="CM541" s="399"/>
      <c r="CN541" s="399"/>
      <c r="CO541" s="399">
        <v>2.0897400000000008</v>
      </c>
      <c r="CP541" s="399">
        <v>-1.9583699999999991</v>
      </c>
      <c r="CQ541" s="399">
        <v>31</v>
      </c>
      <c r="CR541" s="399">
        <v>-1.5358669514285594</v>
      </c>
      <c r="CS541" s="399">
        <v>0</v>
      </c>
      <c r="CT541" s="399">
        <v>0</v>
      </c>
      <c r="CU541" s="399">
        <v>0</v>
      </c>
      <c r="CV541" s="399">
        <v>0</v>
      </c>
      <c r="CW541" s="399">
        <v>0</v>
      </c>
      <c r="CX541" s="399">
        <v>0</v>
      </c>
      <c r="CY541" s="399">
        <v>0</v>
      </c>
      <c r="CZ541" s="399">
        <v>-0.20896180066116976</v>
      </c>
      <c r="DA541" s="399">
        <v>0</v>
      </c>
      <c r="DB541" s="399">
        <v>0</v>
      </c>
      <c r="DC541" s="399">
        <v>-1.9588351585888013</v>
      </c>
      <c r="DD541" s="399">
        <v>0</v>
      </c>
      <c r="DE541" s="399">
        <v>0</v>
      </c>
      <c r="DF541" s="399">
        <v>0</v>
      </c>
      <c r="DG541" s="399">
        <v>-0.18963523370399682</v>
      </c>
      <c r="DH541" s="399">
        <v>0</v>
      </c>
      <c r="DI541" s="399">
        <v>0.72244595822760704</v>
      </c>
      <c r="DJ541" s="399"/>
      <c r="DK541" s="399">
        <v>0</v>
      </c>
      <c r="DL541" s="399">
        <v>0</v>
      </c>
      <c r="DM541" s="399">
        <v>0</v>
      </c>
      <c r="DN541" s="399">
        <v>0</v>
      </c>
      <c r="DO541" s="399">
        <v>9.3725973880356639E-2</v>
      </c>
      <c r="DP541" s="399">
        <v>5.3933094174493726E-3</v>
      </c>
      <c r="DQ541" s="399">
        <v>0</v>
      </c>
      <c r="DR541" s="399">
        <v>0</v>
      </c>
      <c r="DS541" s="399"/>
      <c r="DT541" s="399"/>
      <c r="DU541" s="399"/>
      <c r="DV541" s="399">
        <v>-7.7094811835685082</v>
      </c>
      <c r="DW541" s="399">
        <v>0</v>
      </c>
      <c r="DX541" s="399">
        <v>0</v>
      </c>
      <c r="DY541" s="399">
        <v>2.089739999999999</v>
      </c>
      <c r="DZ541" s="399">
        <v>-1.9583699999999986</v>
      </c>
      <c r="EA541" s="399">
        <v>0</v>
      </c>
      <c r="EB541" s="399">
        <v>0</v>
      </c>
      <c r="EC541" s="399">
        <v>1.6667482347524176</v>
      </c>
      <c r="ED541" s="399">
        <v>0</v>
      </c>
      <c r="EE541" s="399">
        <v>0</v>
      </c>
      <c r="EF541" s="399">
        <v>0</v>
      </c>
      <c r="EG541" s="399">
        <v>0</v>
      </c>
      <c r="EH541" s="399">
        <v>0</v>
      </c>
      <c r="EI541" s="399">
        <v>0</v>
      </c>
      <c r="EJ541" s="399">
        <v>0</v>
      </c>
      <c r="EK541" s="399">
        <v>0</v>
      </c>
      <c r="EL541" s="399">
        <v>0</v>
      </c>
      <c r="EM541" s="399">
        <v>0</v>
      </c>
      <c r="EN541" s="399">
        <v>0</v>
      </c>
      <c r="EO541" s="399">
        <v>0</v>
      </c>
      <c r="EP541" s="399">
        <v>-1.0030227038893229</v>
      </c>
      <c r="EQ541" s="399">
        <v>0</v>
      </c>
      <c r="ER541" s="399">
        <v>0</v>
      </c>
      <c r="ES541" s="399">
        <v>0</v>
      </c>
      <c r="ET541" s="399">
        <v>0</v>
      </c>
      <c r="EU541" s="399">
        <v>0</v>
      </c>
      <c r="EV541" s="399">
        <v>215</v>
      </c>
      <c r="EW541" s="399">
        <v>0</v>
      </c>
      <c r="EX541" s="399">
        <v>0</v>
      </c>
      <c r="EY541" s="399">
        <v>0</v>
      </c>
      <c r="EZ541" s="399"/>
      <c r="FA541" s="399">
        <v>0</v>
      </c>
      <c r="FB541" s="399"/>
      <c r="FC541" s="399"/>
      <c r="FD541" s="399"/>
      <c r="FE541" s="399"/>
      <c r="FF541" s="399">
        <v>0</v>
      </c>
      <c r="FG541" s="399">
        <v>0</v>
      </c>
      <c r="FH541" s="399">
        <v>0</v>
      </c>
      <c r="FI541" s="399">
        <v>0</v>
      </c>
    </row>
    <row r="542" spans="1:165">
      <c r="A542" s="399">
        <v>546</v>
      </c>
      <c r="B542" s="399" t="s">
        <v>2346</v>
      </c>
      <c r="C542" s="399" t="s">
        <v>2343</v>
      </c>
      <c r="D542" s="399" t="s">
        <v>2353</v>
      </c>
      <c r="E542" s="399" t="s">
        <v>894</v>
      </c>
      <c r="F542" s="399" t="s">
        <v>1239</v>
      </c>
      <c r="G542" s="399" t="s">
        <v>1239</v>
      </c>
      <c r="H542" s="399" t="s">
        <v>1239</v>
      </c>
      <c r="I542" s="399" t="s">
        <v>1239</v>
      </c>
      <c r="J542" s="399" t="s">
        <v>2344</v>
      </c>
      <c r="K542" s="791">
        <v>44774</v>
      </c>
      <c r="L542" s="399">
        <v>0</v>
      </c>
      <c r="M542" s="399">
        <v>0</v>
      </c>
      <c r="N542" s="399">
        <v>15.179</v>
      </c>
      <c r="O542" s="399">
        <v>15.179</v>
      </c>
      <c r="P542" s="399">
        <v>15.179</v>
      </c>
      <c r="Q542" s="399">
        <v>15.179</v>
      </c>
      <c r="R542" s="399"/>
      <c r="S542" s="399">
        <v>239.69</v>
      </c>
      <c r="T542" s="399">
        <v>171.61</v>
      </c>
      <c r="U542" s="399"/>
      <c r="V542" s="399">
        <v>6243.1226999999999</v>
      </c>
      <c r="W542" s="399">
        <v>6243.1226999999999</v>
      </c>
      <c r="X542" s="399">
        <v>6220.2024099999999</v>
      </c>
      <c r="Y542" s="399">
        <v>0</v>
      </c>
      <c r="Z542" s="399">
        <v>917.68134628467112</v>
      </c>
      <c r="AA542" s="399">
        <v>0</v>
      </c>
      <c r="AB542" s="399">
        <v>0</v>
      </c>
      <c r="AC542" s="399">
        <v>0</v>
      </c>
      <c r="AD542" s="399">
        <v>809.58703817569904</v>
      </c>
      <c r="AE542" s="399">
        <v>1345.0829297170851</v>
      </c>
      <c r="AF542" s="399">
        <v>2510.2154022845598</v>
      </c>
      <c r="AG542" s="399">
        <v>94.646483092984212</v>
      </c>
      <c r="AH542" s="399">
        <v>0</v>
      </c>
      <c r="AI542" s="399">
        <v>0</v>
      </c>
      <c r="AJ542" s="399">
        <v>0</v>
      </c>
      <c r="AK542" s="399">
        <v>0</v>
      </c>
      <c r="AL542" s="399">
        <v>141.89497349031444</v>
      </c>
      <c r="AM542" s="399"/>
      <c r="AN542" s="399">
        <v>6.0116679409765004</v>
      </c>
      <c r="AO542" s="399">
        <v>0</v>
      </c>
      <c r="AP542" s="399">
        <v>0</v>
      </c>
      <c r="AQ542" s="399">
        <v>0</v>
      </c>
      <c r="AR542" s="399">
        <v>0</v>
      </c>
      <c r="AS542" s="399">
        <v>0</v>
      </c>
      <c r="AT542" s="399">
        <v>0</v>
      </c>
      <c r="AU542" s="399">
        <v>0</v>
      </c>
      <c r="AV542" s="399">
        <v>0</v>
      </c>
      <c r="AW542" s="399">
        <v>0</v>
      </c>
      <c r="AX542" s="399">
        <v>0</v>
      </c>
      <c r="AY542" s="399">
        <v>0</v>
      </c>
      <c r="AZ542" s="399">
        <v>0</v>
      </c>
      <c r="BA542" s="399"/>
      <c r="BB542" s="399">
        <v>0</v>
      </c>
      <c r="BC542" s="399">
        <v>0</v>
      </c>
      <c r="BD542" s="399">
        <v>0</v>
      </c>
      <c r="BE542" s="399">
        <v>0</v>
      </c>
      <c r="BF542" s="399">
        <v>0</v>
      </c>
      <c r="BG542" s="399">
        <v>243.0144682529332</v>
      </c>
      <c r="BH542" s="399">
        <v>0</v>
      </c>
      <c r="BI542" s="399">
        <v>0</v>
      </c>
      <c r="BJ542" s="399">
        <v>0</v>
      </c>
      <c r="BK542" s="399">
        <v>3506.96</v>
      </c>
      <c r="BL542" s="399">
        <v>21</v>
      </c>
      <c r="BM542" s="399"/>
      <c r="BN542" s="399"/>
      <c r="BO542" s="399"/>
      <c r="BP542" s="399"/>
      <c r="BQ542" s="399"/>
      <c r="BR542" s="399">
        <v>746.35142999999982</v>
      </c>
      <c r="BS542" s="399"/>
      <c r="BT542" s="399"/>
      <c r="BU542" s="399"/>
      <c r="BV542" s="399">
        <v>2753.2298705374928</v>
      </c>
      <c r="BW542" s="399"/>
      <c r="BX542" s="399"/>
      <c r="BY542" s="399"/>
      <c r="BZ542" s="399"/>
      <c r="CA542" s="399"/>
      <c r="CB542" s="399"/>
      <c r="CC542" s="399"/>
      <c r="CD542" s="399"/>
      <c r="CE542" s="399"/>
      <c r="CF542" s="399"/>
      <c r="CG542" s="399"/>
      <c r="CH542" s="399"/>
      <c r="CI542" s="399">
        <v>5474.2115999999996</v>
      </c>
      <c r="CJ542" s="399">
        <v>-19.857450000001336</v>
      </c>
      <c r="CK542" s="399"/>
      <c r="CL542" s="399"/>
      <c r="CM542" s="399"/>
      <c r="CN542" s="399"/>
      <c r="CO542" s="399">
        <v>-364.59958000000017</v>
      </c>
      <c r="CP542" s="399">
        <v>341.67928999999987</v>
      </c>
      <c r="CQ542" s="399">
        <v>31</v>
      </c>
      <c r="CR542" s="399">
        <v>267.96464891648429</v>
      </c>
      <c r="CS542" s="399">
        <v>0</v>
      </c>
      <c r="CT542" s="399">
        <v>0</v>
      </c>
      <c r="CU542" s="399">
        <v>0</v>
      </c>
      <c r="CV542" s="399">
        <v>0</v>
      </c>
      <c r="CW542" s="399">
        <v>0</v>
      </c>
      <c r="CX542" s="399">
        <v>0</v>
      </c>
      <c r="CY542" s="399">
        <v>0</v>
      </c>
      <c r="CZ542" s="399">
        <v>36.457829565929956</v>
      </c>
      <c r="DA542" s="399">
        <v>0</v>
      </c>
      <c r="DB542" s="399">
        <v>0</v>
      </c>
      <c r="DC542" s="399">
        <v>341.76044680711993</v>
      </c>
      <c r="DD542" s="399">
        <v>0</v>
      </c>
      <c r="DE542" s="399">
        <v>0</v>
      </c>
      <c r="DF542" s="399">
        <v>0</v>
      </c>
      <c r="DG542" s="399">
        <v>33.085898993022653</v>
      </c>
      <c r="DH542" s="399">
        <v>0</v>
      </c>
      <c r="DI542" s="399">
        <v>-126.04605976938899</v>
      </c>
      <c r="DJ542" s="399"/>
      <c r="DK542" s="399">
        <v>0</v>
      </c>
      <c r="DL542" s="399">
        <v>0</v>
      </c>
      <c r="DM542" s="399">
        <v>0</v>
      </c>
      <c r="DN542" s="399">
        <v>0</v>
      </c>
      <c r="DO542" s="399">
        <v>-16.352489167010717</v>
      </c>
      <c r="DP542" s="399">
        <v>-0.94097751318924239</v>
      </c>
      <c r="DQ542" s="399">
        <v>0</v>
      </c>
      <c r="DR542" s="399">
        <v>0</v>
      </c>
      <c r="DS542" s="399"/>
      <c r="DT542" s="399"/>
      <c r="DU542" s="399"/>
      <c r="DV542" s="399">
        <v>1345.0829297170851</v>
      </c>
      <c r="DW542" s="399">
        <v>0</v>
      </c>
      <c r="DX542" s="399">
        <v>0</v>
      </c>
      <c r="DY542" s="399">
        <v>-364.59958000000051</v>
      </c>
      <c r="DZ542" s="399">
        <v>341.67929000000004</v>
      </c>
      <c r="EA542" s="399">
        <v>0</v>
      </c>
      <c r="EB542" s="399">
        <v>0</v>
      </c>
      <c r="EC542" s="399">
        <v>-290.79967190007983</v>
      </c>
      <c r="ED542" s="399">
        <v>0</v>
      </c>
      <c r="EE542" s="399">
        <v>0</v>
      </c>
      <c r="EF542" s="399">
        <v>0</v>
      </c>
      <c r="EG542" s="399">
        <v>0</v>
      </c>
      <c r="EH542" s="399">
        <v>0</v>
      </c>
      <c r="EI542" s="399">
        <v>0</v>
      </c>
      <c r="EJ542" s="399">
        <v>0</v>
      </c>
      <c r="EK542" s="399">
        <v>0</v>
      </c>
      <c r="EL542" s="399">
        <v>0</v>
      </c>
      <c r="EM542" s="399">
        <v>0</v>
      </c>
      <c r="EN542" s="399">
        <v>0</v>
      </c>
      <c r="EO542" s="399">
        <v>0</v>
      </c>
      <c r="EP542" s="399">
        <v>174.99863933719578</v>
      </c>
      <c r="EQ542" s="399">
        <v>0</v>
      </c>
      <c r="ER542" s="399">
        <v>0</v>
      </c>
      <c r="ES542" s="399">
        <v>0</v>
      </c>
      <c r="ET542" s="399">
        <v>0</v>
      </c>
      <c r="EU542" s="399">
        <v>0</v>
      </c>
      <c r="EV542" s="399">
        <v>215</v>
      </c>
      <c r="EW542" s="399">
        <v>0</v>
      </c>
      <c r="EX542" s="399">
        <v>0</v>
      </c>
      <c r="EY542" s="399">
        <v>0</v>
      </c>
      <c r="EZ542" s="399"/>
      <c r="FA542" s="399">
        <v>0</v>
      </c>
      <c r="FB542" s="399"/>
      <c r="FC542" s="399"/>
      <c r="FD542" s="399"/>
      <c r="FE542" s="399"/>
      <c r="FF542" s="399">
        <v>0</v>
      </c>
      <c r="FG542" s="399">
        <v>0</v>
      </c>
      <c r="FH542" s="399">
        <v>0</v>
      </c>
      <c r="FI542" s="399">
        <v>0</v>
      </c>
    </row>
    <row r="543" spans="1:165">
      <c r="A543" s="399">
        <v>547</v>
      </c>
      <c r="B543" s="399" t="s">
        <v>956</v>
      </c>
      <c r="C543" s="399" t="s">
        <v>2352</v>
      </c>
      <c r="D543" s="399" t="s">
        <v>533</v>
      </c>
      <c r="E543" s="399" t="s">
        <v>894</v>
      </c>
      <c r="F543" s="399" t="s">
        <v>1239</v>
      </c>
      <c r="G543" s="399" t="s">
        <v>1239</v>
      </c>
      <c r="H543" s="399" t="s">
        <v>1239</v>
      </c>
      <c r="I543" s="399" t="s">
        <v>893</v>
      </c>
      <c r="J543" s="399" t="s">
        <v>2344</v>
      </c>
      <c r="K543" s="791">
        <v>44774</v>
      </c>
      <c r="L543" s="399">
        <v>0</v>
      </c>
      <c r="M543" s="399">
        <v>0</v>
      </c>
      <c r="N543" s="399">
        <v>8.68</v>
      </c>
      <c r="O543" s="399">
        <v>8.3328000000000007</v>
      </c>
      <c r="P543" s="399">
        <v>8.68</v>
      </c>
      <c r="Q543" s="399">
        <v>8.3328000000000007</v>
      </c>
      <c r="R543" s="399"/>
      <c r="S543" s="399">
        <v>984.21</v>
      </c>
      <c r="T543" s="399">
        <v>171.61</v>
      </c>
      <c r="U543" s="399"/>
      <c r="V543" s="399">
        <v>10032.517600000001</v>
      </c>
      <c r="W543" s="399">
        <v>10032.517600000001</v>
      </c>
      <c r="X543" s="399">
        <v>9355.7379999999994</v>
      </c>
      <c r="Y543" s="399">
        <v>0</v>
      </c>
      <c r="Z543" s="399">
        <v>456.54934149834116</v>
      </c>
      <c r="AA543" s="399">
        <v>0</v>
      </c>
      <c r="AB543" s="399">
        <v>0</v>
      </c>
      <c r="AC543" s="399">
        <v>0</v>
      </c>
      <c r="AD543" s="399">
        <v>3417.391215670672</v>
      </c>
      <c r="AE543" s="399">
        <v>4444.8728086140991</v>
      </c>
      <c r="AF543" s="399">
        <v>1435.4482964510164</v>
      </c>
      <c r="AG543" s="399">
        <v>54.122898296798397</v>
      </c>
      <c r="AH543" s="399">
        <v>0</v>
      </c>
      <c r="AI543" s="399">
        <v>0</v>
      </c>
      <c r="AJ543" s="399">
        <v>0</v>
      </c>
      <c r="AK543" s="399">
        <v>0</v>
      </c>
      <c r="AL543" s="399">
        <v>81.141601547923401</v>
      </c>
      <c r="AM543" s="399"/>
      <c r="AN543" s="399">
        <v>2.2920449218511587</v>
      </c>
      <c r="AO543" s="399">
        <v>0</v>
      </c>
      <c r="AP543" s="399">
        <v>0</v>
      </c>
      <c r="AQ543" s="399">
        <v>0</v>
      </c>
      <c r="AR543" s="399">
        <v>0</v>
      </c>
      <c r="AS543" s="399">
        <v>0</v>
      </c>
      <c r="AT543" s="399">
        <v>0</v>
      </c>
      <c r="AU543" s="399">
        <v>0</v>
      </c>
      <c r="AV543" s="399">
        <v>0</v>
      </c>
      <c r="AW543" s="399">
        <v>0</v>
      </c>
      <c r="AX543" s="399">
        <v>0</v>
      </c>
      <c r="AY543" s="399">
        <v>0</v>
      </c>
      <c r="AZ543" s="399">
        <v>0</v>
      </c>
      <c r="BA543" s="399"/>
      <c r="BB543" s="399">
        <v>0</v>
      </c>
      <c r="BC543" s="399">
        <v>0</v>
      </c>
      <c r="BD543" s="399">
        <v>0</v>
      </c>
      <c r="BE543" s="399">
        <v>0</v>
      </c>
      <c r="BF543" s="399">
        <v>0</v>
      </c>
      <c r="BG543" s="399">
        <v>53.653586481209835</v>
      </c>
      <c r="BH543" s="399">
        <v>0</v>
      </c>
      <c r="BI543" s="399">
        <v>0</v>
      </c>
      <c r="BJ543" s="399">
        <v>0</v>
      </c>
      <c r="BK543" s="399">
        <v>0</v>
      </c>
      <c r="BL543" s="399">
        <v>0</v>
      </c>
      <c r="BM543" s="399"/>
      <c r="BN543" s="399"/>
      <c r="BO543" s="399"/>
      <c r="BP543" s="399"/>
      <c r="BQ543" s="399"/>
      <c r="BR543" s="399">
        <v>374.22951999999901</v>
      </c>
      <c r="BS543" s="399"/>
      <c r="BT543" s="399"/>
      <c r="BU543" s="399"/>
      <c r="BV543" s="399">
        <v>1489.1018829322263</v>
      </c>
      <c r="BW543" s="399"/>
      <c r="BX543" s="399"/>
      <c r="BY543" s="399"/>
      <c r="BZ543" s="399"/>
      <c r="CA543" s="399"/>
      <c r="CB543" s="399"/>
      <c r="CC543" s="399"/>
      <c r="CD543" s="399"/>
      <c r="CE543" s="399"/>
      <c r="CF543" s="399"/>
      <c r="CG543" s="399"/>
      <c r="CH543" s="399"/>
      <c r="CI543" s="399">
        <v>8978.4904999999999</v>
      </c>
      <c r="CJ543" s="399">
        <v>-652.7563960000025</v>
      </c>
      <c r="CK543" s="399"/>
      <c r="CL543" s="399"/>
      <c r="CM543" s="399"/>
      <c r="CN543" s="399"/>
      <c r="CO543" s="399">
        <v>-872.16640000000018</v>
      </c>
      <c r="CP543" s="399">
        <v>195.38679999999991</v>
      </c>
      <c r="CQ543" s="399">
        <v>31</v>
      </c>
      <c r="CR543" s="399">
        <v>284.21400397505022</v>
      </c>
      <c r="CS543" s="399">
        <v>0</v>
      </c>
      <c r="CT543" s="399">
        <v>0</v>
      </c>
      <c r="CU543" s="399">
        <v>0</v>
      </c>
      <c r="CV543" s="399">
        <v>0</v>
      </c>
      <c r="CW543" s="399">
        <v>0</v>
      </c>
      <c r="CX543" s="399">
        <v>0</v>
      </c>
      <c r="CY543" s="399">
        <v>0</v>
      </c>
      <c r="CZ543" s="399">
        <v>153.8940973928884</v>
      </c>
      <c r="DA543" s="399">
        <v>0</v>
      </c>
      <c r="DB543" s="399">
        <v>0</v>
      </c>
      <c r="DC543" s="399">
        <v>195.43320892587121</v>
      </c>
      <c r="DD543" s="399">
        <v>0</v>
      </c>
      <c r="DE543" s="399">
        <v>0</v>
      </c>
      <c r="DF543" s="399">
        <v>0</v>
      </c>
      <c r="DG543" s="399">
        <v>7.3048208022044392</v>
      </c>
      <c r="DH543" s="399">
        <v>0</v>
      </c>
      <c r="DI543" s="399">
        <v>-62.708309174155659</v>
      </c>
      <c r="DJ543" s="399"/>
      <c r="DK543" s="399">
        <v>0</v>
      </c>
      <c r="DL543" s="399">
        <v>0</v>
      </c>
      <c r="DM543" s="399">
        <v>0</v>
      </c>
      <c r="DN543" s="399">
        <v>0</v>
      </c>
      <c r="DO543" s="399">
        <v>-9.351051187143625</v>
      </c>
      <c r="DP543" s="399">
        <v>-0.35876278461435129</v>
      </c>
      <c r="DQ543" s="399">
        <v>0</v>
      </c>
      <c r="DR543" s="399">
        <v>0</v>
      </c>
      <c r="DS543" s="399"/>
      <c r="DT543" s="399"/>
      <c r="DU543" s="399"/>
      <c r="DV543" s="399">
        <v>4444.8728086140991</v>
      </c>
      <c r="DW543" s="399">
        <v>0</v>
      </c>
      <c r="DX543" s="399">
        <v>0</v>
      </c>
      <c r="DY543" s="399">
        <v>-872.16640000000098</v>
      </c>
      <c r="DZ543" s="399">
        <v>195.38679999999999</v>
      </c>
      <c r="EA543" s="399">
        <v>0</v>
      </c>
      <c r="EB543" s="399">
        <v>0</v>
      </c>
      <c r="EC543" s="399">
        <v>-960.95751854826813</v>
      </c>
      <c r="ED543" s="399">
        <v>0</v>
      </c>
      <c r="EE543" s="399">
        <v>0</v>
      </c>
      <c r="EF543" s="399">
        <v>0</v>
      </c>
      <c r="EG543" s="399">
        <v>0</v>
      </c>
      <c r="EH543" s="399">
        <v>0</v>
      </c>
      <c r="EI543" s="399">
        <v>0</v>
      </c>
      <c r="EJ543" s="399">
        <v>0</v>
      </c>
      <c r="EK543" s="399">
        <v>0</v>
      </c>
      <c r="EL543" s="399">
        <v>0</v>
      </c>
      <c r="EM543" s="399">
        <v>0</v>
      </c>
      <c r="EN543" s="399">
        <v>0</v>
      </c>
      <c r="EO543" s="399">
        <v>0</v>
      </c>
      <c r="EP543" s="399">
        <v>87.062370697592968</v>
      </c>
      <c r="EQ543" s="399">
        <v>0</v>
      </c>
      <c r="ER543" s="399">
        <v>0</v>
      </c>
      <c r="ES543" s="399">
        <v>0</v>
      </c>
      <c r="ET543" s="399">
        <v>0</v>
      </c>
      <c r="EU543" s="399">
        <v>0</v>
      </c>
      <c r="EV543" s="399">
        <v>215</v>
      </c>
      <c r="EW543" s="399">
        <v>0</v>
      </c>
      <c r="EX543" s="399">
        <v>0</v>
      </c>
      <c r="EY543" s="399">
        <v>0</v>
      </c>
      <c r="EZ543" s="399"/>
      <c r="FA543" s="399">
        <v>0</v>
      </c>
      <c r="FB543" s="399"/>
      <c r="FC543" s="399"/>
      <c r="FD543" s="399"/>
      <c r="FE543" s="399"/>
      <c r="FF543" s="399">
        <v>0</v>
      </c>
      <c r="FG543" s="399">
        <v>0</v>
      </c>
      <c r="FH543" s="399">
        <v>0</v>
      </c>
      <c r="FI543" s="399">
        <v>0</v>
      </c>
    </row>
    <row r="544" spans="1:165">
      <c r="A544" s="399">
        <v>548</v>
      </c>
      <c r="B544" s="399" t="s">
        <v>2346</v>
      </c>
      <c r="C544" s="399" t="s">
        <v>2352</v>
      </c>
      <c r="D544" s="399" t="s">
        <v>533</v>
      </c>
      <c r="E544" s="399" t="s">
        <v>894</v>
      </c>
      <c r="F544" s="399" t="s">
        <v>1239</v>
      </c>
      <c r="G544" s="399" t="s">
        <v>1239</v>
      </c>
      <c r="H544" s="399" t="s">
        <v>1239</v>
      </c>
      <c r="I544" s="399" t="s">
        <v>893</v>
      </c>
      <c r="J544" s="399" t="s">
        <v>2344</v>
      </c>
      <c r="K544" s="791">
        <v>44774</v>
      </c>
      <c r="L544" s="399">
        <v>0</v>
      </c>
      <c r="M544" s="399">
        <v>0</v>
      </c>
      <c r="N544" s="399">
        <v>1.5509999999999999</v>
      </c>
      <c r="O544" s="399">
        <v>1.4889599999999998</v>
      </c>
      <c r="P544" s="399">
        <v>1.5509999999999999</v>
      </c>
      <c r="Q544" s="399">
        <v>1.4889599999999998</v>
      </c>
      <c r="R544" s="399"/>
      <c r="S544" s="399">
        <v>984.21</v>
      </c>
      <c r="T544" s="399">
        <v>171.61</v>
      </c>
      <c r="U544" s="399"/>
      <c r="V544" s="399">
        <v>1792.6768200000001</v>
      </c>
      <c r="W544" s="399">
        <v>1792.6768200000001</v>
      </c>
      <c r="X544" s="399">
        <v>1671.7453500000001</v>
      </c>
      <c r="Y544" s="399">
        <v>0</v>
      </c>
      <c r="Z544" s="399">
        <v>81.579265975106807</v>
      </c>
      <c r="AA544" s="399">
        <v>0</v>
      </c>
      <c r="AB544" s="399">
        <v>0</v>
      </c>
      <c r="AC544" s="399">
        <v>0</v>
      </c>
      <c r="AD544" s="399">
        <v>610.6421400351627</v>
      </c>
      <c r="AE544" s="399">
        <v>794.23936937332576</v>
      </c>
      <c r="AF544" s="399">
        <v>256.49542716538321</v>
      </c>
      <c r="AG544" s="399">
        <v>9.6710386242320645</v>
      </c>
      <c r="AH544" s="399">
        <v>0</v>
      </c>
      <c r="AI544" s="399">
        <v>0</v>
      </c>
      <c r="AJ544" s="399">
        <v>0</v>
      </c>
      <c r="AK544" s="399">
        <v>0</v>
      </c>
      <c r="AL544" s="399">
        <v>14.498919815763733</v>
      </c>
      <c r="AM544" s="399"/>
      <c r="AN544" s="399">
        <v>0.40955779651971735</v>
      </c>
      <c r="AO544" s="399">
        <v>0</v>
      </c>
      <c r="AP544" s="399">
        <v>0</v>
      </c>
      <c r="AQ544" s="399">
        <v>0</v>
      </c>
      <c r="AR544" s="399">
        <v>0</v>
      </c>
      <c r="AS544" s="399">
        <v>0</v>
      </c>
      <c r="AT544" s="399">
        <v>0</v>
      </c>
      <c r="AU544" s="399">
        <v>0</v>
      </c>
      <c r="AV544" s="399">
        <v>0</v>
      </c>
      <c r="AW544" s="399">
        <v>0</v>
      </c>
      <c r="AX544" s="399">
        <v>0</v>
      </c>
      <c r="AY544" s="399">
        <v>0</v>
      </c>
      <c r="AZ544" s="399">
        <v>0</v>
      </c>
      <c r="BA544" s="399"/>
      <c r="BB544" s="399">
        <v>0</v>
      </c>
      <c r="BC544" s="399">
        <v>0</v>
      </c>
      <c r="BD544" s="399">
        <v>0</v>
      </c>
      <c r="BE544" s="399">
        <v>0</v>
      </c>
      <c r="BF544" s="399">
        <v>0</v>
      </c>
      <c r="BG544" s="399">
        <v>9.5871788746954429</v>
      </c>
      <c r="BH544" s="399">
        <v>0</v>
      </c>
      <c r="BI544" s="399">
        <v>0</v>
      </c>
      <c r="BJ544" s="399">
        <v>0</v>
      </c>
      <c r="BK544" s="399">
        <v>0</v>
      </c>
      <c r="BL544" s="399">
        <v>0</v>
      </c>
      <c r="BM544" s="399"/>
      <c r="BN544" s="399"/>
      <c r="BO544" s="399"/>
      <c r="BP544" s="399"/>
      <c r="BQ544" s="399"/>
      <c r="BR544" s="399">
        <v>66.869814000000105</v>
      </c>
      <c r="BS544" s="399"/>
      <c r="BT544" s="399"/>
      <c r="BU544" s="399"/>
      <c r="BV544" s="399">
        <v>266.08260604007864</v>
      </c>
      <c r="BW544" s="399"/>
      <c r="BX544" s="399"/>
      <c r="BY544" s="399"/>
      <c r="BZ544" s="399"/>
      <c r="CA544" s="399"/>
      <c r="CB544" s="399"/>
      <c r="CC544" s="399"/>
      <c r="CD544" s="399"/>
      <c r="CE544" s="399"/>
      <c r="CF544" s="399"/>
      <c r="CG544" s="399"/>
      <c r="CH544" s="399"/>
      <c r="CI544" s="399">
        <v>1605.9965000000002</v>
      </c>
      <c r="CJ544" s="399">
        <v>-115.00324719999958</v>
      </c>
      <c r="CK544" s="399"/>
      <c r="CL544" s="399"/>
      <c r="CM544" s="399"/>
      <c r="CN544" s="399"/>
      <c r="CO544" s="399">
        <v>-155.84448000000003</v>
      </c>
      <c r="CP544" s="399">
        <v>34.913009999999986</v>
      </c>
      <c r="CQ544" s="399">
        <v>31</v>
      </c>
      <c r="CR544" s="399">
        <v>50.785244258675561</v>
      </c>
      <c r="CS544" s="399">
        <v>0</v>
      </c>
      <c r="CT544" s="399">
        <v>0</v>
      </c>
      <c r="CU544" s="399">
        <v>0</v>
      </c>
      <c r="CV544" s="399">
        <v>0</v>
      </c>
      <c r="CW544" s="399">
        <v>0</v>
      </c>
      <c r="CX544" s="399">
        <v>0</v>
      </c>
      <c r="CY544" s="399">
        <v>0</v>
      </c>
      <c r="CZ544" s="399">
        <v>27.498818554881382</v>
      </c>
      <c r="DA544" s="399">
        <v>0</v>
      </c>
      <c r="DB544" s="399">
        <v>0</v>
      </c>
      <c r="DC544" s="399">
        <v>34.921302654841782</v>
      </c>
      <c r="DD544" s="399">
        <v>0</v>
      </c>
      <c r="DE544" s="399">
        <v>0</v>
      </c>
      <c r="DF544" s="399">
        <v>0</v>
      </c>
      <c r="DG544" s="399">
        <v>1.3052738553247814</v>
      </c>
      <c r="DH544" s="399">
        <v>0</v>
      </c>
      <c r="DI544" s="399">
        <v>-11.205136812110069</v>
      </c>
      <c r="DJ544" s="399"/>
      <c r="DK544" s="399">
        <v>0</v>
      </c>
      <c r="DL544" s="399">
        <v>0</v>
      </c>
      <c r="DM544" s="399">
        <v>0</v>
      </c>
      <c r="DN544" s="399">
        <v>0</v>
      </c>
      <c r="DO544" s="399">
        <v>-1.6709078791773919</v>
      </c>
      <c r="DP544" s="399">
        <v>-6.4106115084891502E-2</v>
      </c>
      <c r="DQ544" s="399">
        <v>0</v>
      </c>
      <c r="DR544" s="399">
        <v>0</v>
      </c>
      <c r="DS544" s="399"/>
      <c r="DT544" s="399"/>
      <c r="DU544" s="399"/>
      <c r="DV544" s="399">
        <v>794.23936937332576</v>
      </c>
      <c r="DW544" s="399">
        <v>0</v>
      </c>
      <c r="DX544" s="399">
        <v>0</v>
      </c>
      <c r="DY544" s="399">
        <v>-155.84447999999998</v>
      </c>
      <c r="DZ544" s="399">
        <v>34.913009999999986</v>
      </c>
      <c r="EA544" s="399">
        <v>0</v>
      </c>
      <c r="EB544" s="399">
        <v>0</v>
      </c>
      <c r="EC544" s="399">
        <v>-171.7102662751571</v>
      </c>
      <c r="ED544" s="399">
        <v>0</v>
      </c>
      <c r="EE544" s="399">
        <v>0</v>
      </c>
      <c r="EF544" s="399">
        <v>0</v>
      </c>
      <c r="EG544" s="399">
        <v>0</v>
      </c>
      <c r="EH544" s="399">
        <v>0</v>
      </c>
      <c r="EI544" s="399">
        <v>0</v>
      </c>
      <c r="EJ544" s="399">
        <v>0</v>
      </c>
      <c r="EK544" s="399">
        <v>0</v>
      </c>
      <c r="EL544" s="399">
        <v>0</v>
      </c>
      <c r="EM544" s="399">
        <v>0</v>
      </c>
      <c r="EN544" s="399">
        <v>0</v>
      </c>
      <c r="EO544" s="399">
        <v>0</v>
      </c>
      <c r="EP544" s="399">
        <v>15.556882137323353</v>
      </c>
      <c r="EQ544" s="399">
        <v>0</v>
      </c>
      <c r="ER544" s="399">
        <v>0</v>
      </c>
      <c r="ES544" s="399">
        <v>0</v>
      </c>
      <c r="ET544" s="399">
        <v>0</v>
      </c>
      <c r="EU544" s="399">
        <v>0</v>
      </c>
      <c r="EV544" s="399">
        <v>215</v>
      </c>
      <c r="EW544" s="399">
        <v>0</v>
      </c>
      <c r="EX544" s="399">
        <v>0</v>
      </c>
      <c r="EY544" s="399">
        <v>0</v>
      </c>
      <c r="EZ544" s="399"/>
      <c r="FA544" s="399">
        <v>0</v>
      </c>
      <c r="FB544" s="399"/>
      <c r="FC544" s="399"/>
      <c r="FD544" s="399"/>
      <c r="FE544" s="399"/>
      <c r="FF544" s="399">
        <v>0</v>
      </c>
      <c r="FG544" s="399">
        <v>0</v>
      </c>
      <c r="FH544" s="399">
        <v>0</v>
      </c>
      <c r="FI544" s="399">
        <v>0</v>
      </c>
    </row>
    <row r="545" spans="1:165">
      <c r="A545" s="399">
        <v>549</v>
      </c>
      <c r="B545" s="399" t="s">
        <v>956</v>
      </c>
      <c r="C545" s="399" t="s">
        <v>2352</v>
      </c>
      <c r="D545" s="399" t="s">
        <v>533</v>
      </c>
      <c r="E545" s="399" t="s">
        <v>894</v>
      </c>
      <c r="F545" s="399" t="s">
        <v>1239</v>
      </c>
      <c r="G545" s="399" t="s">
        <v>1239</v>
      </c>
      <c r="H545" s="399" t="s">
        <v>1239</v>
      </c>
      <c r="I545" s="399" t="s">
        <v>2326</v>
      </c>
      <c r="J545" s="399" t="s">
        <v>2344</v>
      </c>
      <c r="K545" s="791">
        <v>44774</v>
      </c>
      <c r="L545" s="399">
        <v>0</v>
      </c>
      <c r="M545" s="399">
        <v>0</v>
      </c>
      <c r="N545" s="399">
        <v>134.49199999999999</v>
      </c>
      <c r="O545" s="399">
        <v>129.11232000000001</v>
      </c>
      <c r="P545" s="399">
        <v>134.49199999999999</v>
      </c>
      <c r="Q545" s="399">
        <v>129.11232000000001</v>
      </c>
      <c r="R545" s="399"/>
      <c r="S545" s="399">
        <v>78.42</v>
      </c>
      <c r="T545" s="399">
        <v>171.61</v>
      </c>
      <c r="U545" s="399"/>
      <c r="V545" s="399">
        <v>33627.034759999995</v>
      </c>
      <c r="W545" s="399">
        <v>33627.034759999995</v>
      </c>
      <c r="X545" s="399">
        <v>35645.759679999996</v>
      </c>
      <c r="Y545" s="399">
        <v>0</v>
      </c>
      <c r="Z545" s="399">
        <v>7073.9900964049421</v>
      </c>
      <c r="AA545" s="399">
        <v>0</v>
      </c>
      <c r="AB545" s="399">
        <v>0</v>
      </c>
      <c r="AC545" s="399">
        <v>0</v>
      </c>
      <c r="AD545" s="399">
        <v>0</v>
      </c>
      <c r="AE545" s="399">
        <v>0</v>
      </c>
      <c r="AF545" s="399">
        <v>22241.510632061072</v>
      </c>
      <c r="AG545" s="399">
        <v>838.60562646693666</v>
      </c>
      <c r="AH545" s="399">
        <v>0</v>
      </c>
      <c r="AI545" s="399">
        <v>0</v>
      </c>
      <c r="AJ545" s="399">
        <v>0</v>
      </c>
      <c r="AK545" s="399">
        <v>0</v>
      </c>
      <c r="AL545" s="399">
        <v>1257.246114675497</v>
      </c>
      <c r="AM545" s="399"/>
      <c r="AN545" s="399">
        <v>35.514021385899312</v>
      </c>
      <c r="AO545" s="399">
        <v>0</v>
      </c>
      <c r="AP545" s="399">
        <v>0</v>
      </c>
      <c r="AQ545" s="399">
        <v>0</v>
      </c>
      <c r="AR545" s="399">
        <v>0</v>
      </c>
      <c r="AS545" s="399">
        <v>0</v>
      </c>
      <c r="AT545" s="399">
        <v>0</v>
      </c>
      <c r="AU545" s="399">
        <v>0</v>
      </c>
      <c r="AV545" s="399">
        <v>0</v>
      </c>
      <c r="AW545" s="399">
        <v>0</v>
      </c>
      <c r="AX545" s="399">
        <v>0</v>
      </c>
      <c r="AY545" s="399">
        <v>0</v>
      </c>
      <c r="AZ545" s="399">
        <v>0</v>
      </c>
      <c r="BA545" s="399"/>
      <c r="BB545" s="399">
        <v>0</v>
      </c>
      <c r="BC545" s="399">
        <v>0</v>
      </c>
      <c r="BD545" s="399">
        <v>0</v>
      </c>
      <c r="BE545" s="399">
        <v>0</v>
      </c>
      <c r="BF545" s="399">
        <v>0</v>
      </c>
      <c r="BG545" s="399">
        <v>831.33388859802676</v>
      </c>
      <c r="BH545" s="399">
        <v>0</v>
      </c>
      <c r="BI545" s="399">
        <v>0</v>
      </c>
      <c r="BJ545" s="399">
        <v>0</v>
      </c>
      <c r="BK545" s="399">
        <v>0</v>
      </c>
      <c r="BL545" s="399">
        <v>0</v>
      </c>
      <c r="BM545" s="399"/>
      <c r="BN545" s="399"/>
      <c r="BO545" s="399"/>
      <c r="BP545" s="399"/>
      <c r="BQ545" s="399"/>
      <c r="BR545" s="399">
        <v>1425.8303871999947</v>
      </c>
      <c r="BS545" s="399"/>
      <c r="BT545" s="399"/>
      <c r="BU545" s="399"/>
      <c r="BV545" s="399">
        <v>23072.844520659099</v>
      </c>
      <c r="BW545" s="399"/>
      <c r="BX545" s="399"/>
      <c r="BY545" s="399"/>
      <c r="BZ545" s="399"/>
      <c r="CA545" s="399"/>
      <c r="CB545" s="399"/>
      <c r="CC545" s="399"/>
      <c r="CD545" s="399"/>
      <c r="CE545" s="399"/>
      <c r="CF545" s="399"/>
      <c r="CG545" s="399"/>
      <c r="CH545" s="399"/>
      <c r="CI545" s="399">
        <v>34219.314400000003</v>
      </c>
      <c r="CJ545" s="399">
        <v>1937.3310304000006</v>
      </c>
      <c r="CK545" s="399"/>
      <c r="CL545" s="399"/>
      <c r="CM545" s="399"/>
      <c r="CN545" s="399"/>
      <c r="CO545" s="399">
        <v>-1008.6899999999999</v>
      </c>
      <c r="CP545" s="399">
        <v>3027.4149199999983</v>
      </c>
      <c r="CQ545" s="399">
        <v>31</v>
      </c>
      <c r="CR545" s="399">
        <v>2019.237888945645</v>
      </c>
      <c r="CS545" s="399">
        <v>0</v>
      </c>
      <c r="CT545" s="399">
        <v>0</v>
      </c>
      <c r="CU545" s="399">
        <v>0</v>
      </c>
      <c r="CV545" s="399">
        <v>0</v>
      </c>
      <c r="CW545" s="399">
        <v>0</v>
      </c>
      <c r="CX545" s="399">
        <v>0</v>
      </c>
      <c r="CY545" s="399">
        <v>0</v>
      </c>
      <c r="CZ545" s="399">
        <v>0</v>
      </c>
      <c r="DA545" s="399">
        <v>0</v>
      </c>
      <c r="DB545" s="399">
        <v>0</v>
      </c>
      <c r="DC545" s="399">
        <v>3028.13400171178</v>
      </c>
      <c r="DD545" s="399">
        <v>0</v>
      </c>
      <c r="DE545" s="399">
        <v>0</v>
      </c>
      <c r="DF545" s="399">
        <v>0</v>
      </c>
      <c r="DG545" s="399">
        <v>113.18432711176035</v>
      </c>
      <c r="DH545" s="399">
        <v>0</v>
      </c>
      <c r="DI545" s="399">
        <v>-971.63201813946307</v>
      </c>
      <c r="DJ545" s="399"/>
      <c r="DK545" s="399">
        <v>0</v>
      </c>
      <c r="DL545" s="399">
        <v>0</v>
      </c>
      <c r="DM545" s="399">
        <v>0</v>
      </c>
      <c r="DN545" s="399">
        <v>0</v>
      </c>
      <c r="DO545" s="399">
        <v>-144.88958251858526</v>
      </c>
      <c r="DP545" s="399">
        <v>-5.5588392198563739</v>
      </c>
      <c r="DQ545" s="399">
        <v>0</v>
      </c>
      <c r="DR545" s="399">
        <v>0</v>
      </c>
      <c r="DS545" s="399"/>
      <c r="DT545" s="399"/>
      <c r="DU545" s="399"/>
      <c r="DV545" s="399">
        <v>0</v>
      </c>
      <c r="DW545" s="399">
        <v>0</v>
      </c>
      <c r="DX545" s="399">
        <v>0</v>
      </c>
      <c r="DY545" s="399">
        <v>-1008.6900000000005</v>
      </c>
      <c r="DZ545" s="399">
        <v>3027.4149199999993</v>
      </c>
      <c r="EA545" s="399">
        <v>0</v>
      </c>
      <c r="EB545" s="399">
        <v>0</v>
      </c>
      <c r="EC545" s="399">
        <v>0</v>
      </c>
      <c r="ED545" s="399">
        <v>0</v>
      </c>
      <c r="EE545" s="399">
        <v>0</v>
      </c>
      <c r="EF545" s="399">
        <v>0</v>
      </c>
      <c r="EG545" s="399">
        <v>0</v>
      </c>
      <c r="EH545" s="399">
        <v>0</v>
      </c>
      <c r="EI545" s="399">
        <v>0</v>
      </c>
      <c r="EJ545" s="399">
        <v>0</v>
      </c>
      <c r="EK545" s="399">
        <v>0</v>
      </c>
      <c r="EL545" s="399">
        <v>0</v>
      </c>
      <c r="EM545" s="399">
        <v>0</v>
      </c>
      <c r="EN545" s="399">
        <v>0</v>
      </c>
      <c r="EO545" s="399">
        <v>0</v>
      </c>
      <c r="EP545" s="399">
        <v>1348.9852949148242</v>
      </c>
      <c r="EQ545" s="399">
        <v>0</v>
      </c>
      <c r="ER545" s="399">
        <v>0</v>
      </c>
      <c r="ES545" s="399">
        <v>0</v>
      </c>
      <c r="ET545" s="399">
        <v>0</v>
      </c>
      <c r="EU545" s="399">
        <v>0</v>
      </c>
      <c r="EV545" s="399">
        <v>215</v>
      </c>
      <c r="EW545" s="399">
        <v>0</v>
      </c>
      <c r="EX545" s="399">
        <v>0</v>
      </c>
      <c r="EY545" s="399">
        <v>0</v>
      </c>
      <c r="EZ545" s="399"/>
      <c r="FA545" s="399">
        <v>0</v>
      </c>
      <c r="FB545" s="399"/>
      <c r="FC545" s="399"/>
      <c r="FD545" s="399"/>
      <c r="FE545" s="399"/>
      <c r="FF545" s="399">
        <v>0</v>
      </c>
      <c r="FG545" s="399">
        <v>0</v>
      </c>
      <c r="FH545" s="399">
        <v>0</v>
      </c>
      <c r="FI545" s="399">
        <v>0</v>
      </c>
    </row>
    <row r="546" spans="1:165">
      <c r="A546" s="399">
        <v>550</v>
      </c>
      <c r="B546" s="399" t="s">
        <v>2346</v>
      </c>
      <c r="C546" s="399" t="s">
        <v>2352</v>
      </c>
      <c r="D546" s="399" t="s">
        <v>533</v>
      </c>
      <c r="E546" s="399" t="s">
        <v>894</v>
      </c>
      <c r="F546" s="399" t="s">
        <v>1239</v>
      </c>
      <c r="G546" s="399" t="s">
        <v>1239</v>
      </c>
      <c r="H546" s="399" t="s">
        <v>1239</v>
      </c>
      <c r="I546" s="399" t="s">
        <v>2326</v>
      </c>
      <c r="J546" s="399" t="s">
        <v>2344</v>
      </c>
      <c r="K546" s="791">
        <v>44774</v>
      </c>
      <c r="L546" s="399">
        <v>0</v>
      </c>
      <c r="M546" s="399">
        <v>0</v>
      </c>
      <c r="N546" s="399">
        <v>0.58499999999999996</v>
      </c>
      <c r="O546" s="399">
        <v>0.56159999999999999</v>
      </c>
      <c r="P546" s="399">
        <v>0.58499999999999996</v>
      </c>
      <c r="Q546" s="399">
        <v>0.56159999999999999</v>
      </c>
      <c r="R546" s="399"/>
      <c r="S546" s="399">
        <v>78.42</v>
      </c>
      <c r="T546" s="399">
        <v>171.61</v>
      </c>
      <c r="U546" s="399"/>
      <c r="V546" s="399">
        <v>146.26755</v>
      </c>
      <c r="W546" s="399">
        <v>146.26755</v>
      </c>
      <c r="X546" s="399">
        <v>155.04839999999999</v>
      </c>
      <c r="Y546" s="399">
        <v>0</v>
      </c>
      <c r="Z546" s="399">
        <v>30.769742485775296</v>
      </c>
      <c r="AA546" s="399">
        <v>0</v>
      </c>
      <c r="AB546" s="399">
        <v>0</v>
      </c>
      <c r="AC546" s="399">
        <v>0</v>
      </c>
      <c r="AD546" s="399">
        <v>0</v>
      </c>
      <c r="AE546" s="399">
        <v>0</v>
      </c>
      <c r="AF546" s="399">
        <v>96.743923205512047</v>
      </c>
      <c r="AG546" s="399">
        <v>3.6476838137819194</v>
      </c>
      <c r="AH546" s="399">
        <v>0</v>
      </c>
      <c r="AI546" s="399">
        <v>0</v>
      </c>
      <c r="AJ546" s="399">
        <v>0</v>
      </c>
      <c r="AK546" s="399">
        <v>0</v>
      </c>
      <c r="AL546" s="399">
        <v>5.4686448047851606</v>
      </c>
      <c r="AM546" s="399"/>
      <c r="AN546" s="399">
        <v>0.15447537779757231</v>
      </c>
      <c r="AO546" s="399">
        <v>0</v>
      </c>
      <c r="AP546" s="399">
        <v>0</v>
      </c>
      <c r="AQ546" s="399">
        <v>0</v>
      </c>
      <c r="AR546" s="399">
        <v>0</v>
      </c>
      <c r="AS546" s="399">
        <v>0</v>
      </c>
      <c r="AT546" s="399">
        <v>0</v>
      </c>
      <c r="AU546" s="399">
        <v>0</v>
      </c>
      <c r="AV546" s="399">
        <v>0</v>
      </c>
      <c r="AW546" s="399">
        <v>0</v>
      </c>
      <c r="AX546" s="399">
        <v>0</v>
      </c>
      <c r="AY546" s="399">
        <v>0</v>
      </c>
      <c r="AZ546" s="399">
        <v>0</v>
      </c>
      <c r="BA546" s="399"/>
      <c r="BB546" s="399">
        <v>0</v>
      </c>
      <c r="BC546" s="399">
        <v>0</v>
      </c>
      <c r="BD546" s="399">
        <v>0</v>
      </c>
      <c r="BE546" s="399">
        <v>0</v>
      </c>
      <c r="BF546" s="399">
        <v>0</v>
      </c>
      <c r="BG546" s="399">
        <v>3.6160539275930588</v>
      </c>
      <c r="BH546" s="399">
        <v>0</v>
      </c>
      <c r="BI546" s="399">
        <v>0</v>
      </c>
      <c r="BJ546" s="399">
        <v>0</v>
      </c>
      <c r="BK546" s="399">
        <v>0</v>
      </c>
      <c r="BL546" s="399">
        <v>0</v>
      </c>
      <c r="BM546" s="399"/>
      <c r="BN546" s="399"/>
      <c r="BO546" s="399"/>
      <c r="BP546" s="399"/>
      <c r="BQ546" s="399"/>
      <c r="BR546" s="399">
        <v>6.2019359999999937</v>
      </c>
      <c r="BS546" s="399"/>
      <c r="BT546" s="399"/>
      <c r="BU546" s="399"/>
      <c r="BV546" s="399">
        <v>100.3599771331051</v>
      </c>
      <c r="BW546" s="399"/>
      <c r="BX546" s="399"/>
      <c r="BY546" s="399"/>
      <c r="BZ546" s="399"/>
      <c r="CA546" s="399"/>
      <c r="CB546" s="399"/>
      <c r="CC546" s="399"/>
      <c r="CD546" s="399"/>
      <c r="CE546" s="399"/>
      <c r="CF546" s="399"/>
      <c r="CG546" s="399"/>
      <c r="CH546" s="399"/>
      <c r="CI546" s="399">
        <v>148.42240000000001</v>
      </c>
      <c r="CJ546" s="399">
        <v>7.9755520000000217</v>
      </c>
      <c r="CK546" s="399"/>
      <c r="CL546" s="399"/>
      <c r="CM546" s="399"/>
      <c r="CN546" s="399"/>
      <c r="CO546" s="399">
        <v>-4.3874999999999993</v>
      </c>
      <c r="CP546" s="399">
        <v>13.168349999999993</v>
      </c>
      <c r="CQ546" s="399">
        <v>31</v>
      </c>
      <c r="CR546" s="399">
        <v>8.7830812615857781</v>
      </c>
      <c r="CS546" s="399">
        <v>0</v>
      </c>
      <c r="CT546" s="399">
        <v>0</v>
      </c>
      <c r="CU546" s="399">
        <v>0</v>
      </c>
      <c r="CV546" s="399">
        <v>0</v>
      </c>
      <c r="CW546" s="399">
        <v>0</v>
      </c>
      <c r="CX546" s="399">
        <v>0</v>
      </c>
      <c r="CY546" s="399">
        <v>0</v>
      </c>
      <c r="CZ546" s="399">
        <v>0</v>
      </c>
      <c r="DA546" s="399">
        <v>0</v>
      </c>
      <c r="DB546" s="399">
        <v>0</v>
      </c>
      <c r="DC546" s="399">
        <v>13.171477790510906</v>
      </c>
      <c r="DD546" s="399">
        <v>0</v>
      </c>
      <c r="DE546" s="399">
        <v>0</v>
      </c>
      <c r="DF546" s="399">
        <v>0</v>
      </c>
      <c r="DG546" s="399">
        <v>0.49231799185364045</v>
      </c>
      <c r="DH546" s="399">
        <v>0</v>
      </c>
      <c r="DI546" s="399">
        <v>-4.2263088556314585</v>
      </c>
      <c r="DJ546" s="399"/>
      <c r="DK546" s="399">
        <v>0</v>
      </c>
      <c r="DL546" s="399">
        <v>0</v>
      </c>
      <c r="DM546" s="399">
        <v>0</v>
      </c>
      <c r="DN546" s="399">
        <v>0</v>
      </c>
      <c r="DO546" s="399">
        <v>-0.6302263760920539</v>
      </c>
      <c r="DP546" s="399">
        <v>-2.4179289055229869E-2</v>
      </c>
      <c r="DQ546" s="399">
        <v>0</v>
      </c>
      <c r="DR546" s="399">
        <v>0</v>
      </c>
      <c r="DS546" s="399"/>
      <c r="DT546" s="399"/>
      <c r="DU546" s="399"/>
      <c r="DV546" s="399">
        <v>0</v>
      </c>
      <c r="DW546" s="399">
        <v>0</v>
      </c>
      <c r="DX546" s="399">
        <v>0</v>
      </c>
      <c r="DY546" s="399">
        <v>-4.3874999999999957</v>
      </c>
      <c r="DZ546" s="399">
        <v>13.16834999999999</v>
      </c>
      <c r="EA546" s="399">
        <v>0</v>
      </c>
      <c r="EB546" s="399">
        <v>0</v>
      </c>
      <c r="EC546" s="399">
        <v>0</v>
      </c>
      <c r="ED546" s="399">
        <v>0</v>
      </c>
      <c r="EE546" s="399">
        <v>0</v>
      </c>
      <c r="EF546" s="399">
        <v>0</v>
      </c>
      <c r="EG546" s="399">
        <v>0</v>
      </c>
      <c r="EH546" s="399">
        <v>0</v>
      </c>
      <c r="EI546" s="399">
        <v>0</v>
      </c>
      <c r="EJ546" s="399">
        <v>0</v>
      </c>
      <c r="EK546" s="399">
        <v>0</v>
      </c>
      <c r="EL546" s="399">
        <v>0</v>
      </c>
      <c r="EM546" s="399">
        <v>0</v>
      </c>
      <c r="EN546" s="399">
        <v>0</v>
      </c>
      <c r="EO546" s="399">
        <v>0</v>
      </c>
      <c r="EP546" s="399">
        <v>5.8676828177525211</v>
      </c>
      <c r="EQ546" s="399">
        <v>0</v>
      </c>
      <c r="ER546" s="399">
        <v>0</v>
      </c>
      <c r="ES546" s="399">
        <v>0</v>
      </c>
      <c r="ET546" s="399">
        <v>0</v>
      </c>
      <c r="EU546" s="399">
        <v>0</v>
      </c>
      <c r="EV546" s="399">
        <v>215</v>
      </c>
      <c r="EW546" s="399">
        <v>0</v>
      </c>
      <c r="EX546" s="399">
        <v>0</v>
      </c>
      <c r="EY546" s="399">
        <v>0</v>
      </c>
      <c r="EZ546" s="399"/>
      <c r="FA546" s="399">
        <v>0</v>
      </c>
      <c r="FB546" s="399"/>
      <c r="FC546" s="399"/>
      <c r="FD546" s="399"/>
      <c r="FE546" s="399"/>
      <c r="FF546" s="399">
        <v>0</v>
      </c>
      <c r="FG546" s="399">
        <v>0</v>
      </c>
      <c r="FH546" s="399">
        <v>0</v>
      </c>
      <c r="FI546" s="399">
        <v>0</v>
      </c>
    </row>
    <row r="547" spans="1:165">
      <c r="A547" s="399">
        <v>551</v>
      </c>
      <c r="B547" s="399" t="s">
        <v>956</v>
      </c>
      <c r="C547" s="399" t="s">
        <v>2352</v>
      </c>
      <c r="D547" s="399" t="s">
        <v>533</v>
      </c>
      <c r="E547" s="399" t="s">
        <v>894</v>
      </c>
      <c r="F547" s="399" t="s">
        <v>1239</v>
      </c>
      <c r="G547" s="399" t="s">
        <v>1239</v>
      </c>
      <c r="H547" s="399" t="s">
        <v>1239</v>
      </c>
      <c r="I547" s="399" t="s">
        <v>1239</v>
      </c>
      <c r="J547" s="399" t="s">
        <v>2344</v>
      </c>
      <c r="K547" s="791">
        <v>44774</v>
      </c>
      <c r="L547" s="399">
        <v>973</v>
      </c>
      <c r="M547" s="399">
        <v>934.08</v>
      </c>
      <c r="N547" s="399">
        <v>0</v>
      </c>
      <c r="O547" s="399">
        <v>0</v>
      </c>
      <c r="P547" s="399">
        <v>0</v>
      </c>
      <c r="Q547" s="399">
        <v>0</v>
      </c>
      <c r="R547" s="399">
        <v>12.58</v>
      </c>
      <c r="S547" s="399"/>
      <c r="T547" s="399"/>
      <c r="U547" s="399">
        <v>12240.34</v>
      </c>
      <c r="V547" s="399"/>
      <c r="W547" s="399">
        <v>12240.34</v>
      </c>
      <c r="X547" s="399">
        <v>11277.07</v>
      </c>
      <c r="Y547" s="399">
        <v>0</v>
      </c>
      <c r="Z547" s="399">
        <v>0</v>
      </c>
      <c r="AA547" s="399">
        <v>0</v>
      </c>
      <c r="AB547" s="399">
        <v>0</v>
      </c>
      <c r="AC547" s="399">
        <v>0</v>
      </c>
      <c r="AD547" s="399">
        <v>6448.4985580842485</v>
      </c>
      <c r="AE547" s="399">
        <v>5789.0668817221886</v>
      </c>
      <c r="AF547" s="399"/>
      <c r="AG547" s="399"/>
      <c r="AH547" s="399"/>
      <c r="AI547" s="399">
        <v>0</v>
      </c>
      <c r="AJ547" s="399">
        <v>0</v>
      </c>
      <c r="AK547" s="399">
        <v>0</v>
      </c>
      <c r="AL547" s="399">
        <v>0</v>
      </c>
      <c r="AM547" s="399"/>
      <c r="AN547" s="399">
        <v>0</v>
      </c>
      <c r="AO547" s="399">
        <v>0</v>
      </c>
      <c r="AP547" s="399">
        <v>0</v>
      </c>
      <c r="AQ547" s="399">
        <v>0</v>
      </c>
      <c r="AR547" s="399">
        <v>0</v>
      </c>
      <c r="AS547" s="399"/>
      <c r="AT547" s="399"/>
      <c r="AU547" s="399">
        <v>0</v>
      </c>
      <c r="AV547" s="399">
        <v>0</v>
      </c>
      <c r="AW547" s="399">
        <v>0</v>
      </c>
      <c r="AX547" s="399"/>
      <c r="AY547" s="399"/>
      <c r="AZ547" s="399">
        <v>0</v>
      </c>
      <c r="BA547" s="399"/>
      <c r="BB547" s="399">
        <v>0</v>
      </c>
      <c r="BC547" s="399">
        <v>0</v>
      </c>
      <c r="BD547" s="399">
        <v>0</v>
      </c>
      <c r="BE547" s="399">
        <v>0</v>
      </c>
      <c r="BF547" s="399"/>
      <c r="BG547" s="399">
        <v>0</v>
      </c>
      <c r="BH547" s="399">
        <v>0</v>
      </c>
      <c r="BI547" s="399">
        <v>0</v>
      </c>
      <c r="BJ547" s="399">
        <v>0</v>
      </c>
      <c r="BK547" s="399">
        <v>11512.17</v>
      </c>
      <c r="BL547" s="399">
        <v>10</v>
      </c>
      <c r="BM547" s="399"/>
      <c r="BN547" s="399"/>
      <c r="BO547" s="399"/>
      <c r="BP547" s="399"/>
      <c r="BQ547" s="399"/>
      <c r="BR547" s="399">
        <v>451.08279999999951</v>
      </c>
      <c r="BS547" s="399"/>
      <c r="BT547" s="399"/>
      <c r="BU547" s="399"/>
      <c r="BV547" s="399">
        <v>0</v>
      </c>
      <c r="BW547" s="399"/>
      <c r="BX547" s="399"/>
      <c r="BY547" s="399"/>
      <c r="BZ547" s="399"/>
      <c r="CA547" s="399"/>
      <c r="CB547" s="399"/>
      <c r="CC547" s="399"/>
      <c r="CD547" s="399"/>
      <c r="CE547" s="399"/>
      <c r="CF547" s="399"/>
      <c r="CG547" s="399"/>
      <c r="CH547" s="399"/>
      <c r="CI547" s="399">
        <v>10825.9872</v>
      </c>
      <c r="CJ547" s="399">
        <v>-924.76920000000246</v>
      </c>
      <c r="CK547" s="399"/>
      <c r="CL547" s="399"/>
      <c r="CM547" s="399"/>
      <c r="CN547" s="399"/>
      <c r="CO547" s="399">
        <v>-963.27000000000021</v>
      </c>
      <c r="CP547" s="399">
        <v>0</v>
      </c>
      <c r="CQ547" s="399">
        <v>31</v>
      </c>
      <c r="CR547" s="399">
        <v>290.39281794399994</v>
      </c>
      <c r="CS547" s="399">
        <v>0</v>
      </c>
      <c r="CT547" s="399">
        <v>0</v>
      </c>
      <c r="CU547" s="399">
        <v>0</v>
      </c>
      <c r="CV547" s="399">
        <v>0</v>
      </c>
      <c r="CW547" s="399"/>
      <c r="CX547" s="399"/>
      <c r="CY547" s="399"/>
      <c r="CZ547" s="399">
        <v>290.39281794399994</v>
      </c>
      <c r="DA547" s="399">
        <v>0</v>
      </c>
      <c r="DB547" s="399">
        <v>0</v>
      </c>
      <c r="DC547" s="399"/>
      <c r="DD547" s="399"/>
      <c r="DE547" s="399">
        <v>0</v>
      </c>
      <c r="DF547" s="399">
        <v>0</v>
      </c>
      <c r="DG547" s="399">
        <v>0</v>
      </c>
      <c r="DH547" s="399">
        <v>0</v>
      </c>
      <c r="DI547" s="399">
        <v>0</v>
      </c>
      <c r="DJ547" s="399"/>
      <c r="DK547" s="399">
        <v>0</v>
      </c>
      <c r="DL547" s="399">
        <v>0</v>
      </c>
      <c r="DM547" s="399"/>
      <c r="DN547" s="399">
        <v>0</v>
      </c>
      <c r="DO547" s="399">
        <v>0</v>
      </c>
      <c r="DP547" s="399">
        <v>0</v>
      </c>
      <c r="DQ547" s="399">
        <v>0</v>
      </c>
      <c r="DR547" s="399">
        <v>0</v>
      </c>
      <c r="DS547" s="399"/>
      <c r="DT547" s="399"/>
      <c r="DU547" s="399">
        <v>5789.0668817221886</v>
      </c>
      <c r="DV547" s="399"/>
      <c r="DW547" s="399">
        <v>0</v>
      </c>
      <c r="DX547" s="399">
        <v>0</v>
      </c>
      <c r="DY547" s="399">
        <v>-963.27000000000044</v>
      </c>
      <c r="DZ547" s="399"/>
      <c r="EA547" s="399">
        <v>0</v>
      </c>
      <c r="EB547" s="399"/>
      <c r="EC547" s="399">
        <v>-1251.5650244453827</v>
      </c>
      <c r="ED547" s="399"/>
      <c r="EE547" s="399">
        <v>0</v>
      </c>
      <c r="EF547" s="399">
        <v>0</v>
      </c>
      <c r="EG547" s="399"/>
      <c r="EH547" s="399">
        <v>0</v>
      </c>
      <c r="EI547" s="399">
        <v>0</v>
      </c>
      <c r="EJ547" s="399">
        <v>0</v>
      </c>
      <c r="EK547" s="399">
        <v>0</v>
      </c>
      <c r="EL547" s="399">
        <v>0</v>
      </c>
      <c r="EM547" s="399"/>
      <c r="EN547" s="399"/>
      <c r="EO547" s="399">
        <v>0</v>
      </c>
      <c r="EP547" s="399">
        <v>0</v>
      </c>
      <c r="EQ547" s="399"/>
      <c r="ER547" s="399">
        <v>0</v>
      </c>
      <c r="ES547" s="399"/>
      <c r="ET547" s="399">
        <v>0</v>
      </c>
      <c r="EU547" s="399"/>
      <c r="EV547" s="399">
        <v>215</v>
      </c>
      <c r="EW547" s="399"/>
      <c r="EX547" s="399"/>
      <c r="EY547" s="399"/>
      <c r="EZ547" s="399"/>
      <c r="FA547" s="399">
        <v>0</v>
      </c>
      <c r="FB547" s="399"/>
      <c r="FC547" s="399"/>
      <c r="FD547" s="399"/>
      <c r="FE547" s="399"/>
      <c r="FF547" s="399">
        <v>0</v>
      </c>
      <c r="FG547" s="399">
        <v>0</v>
      </c>
      <c r="FH547" s="399">
        <v>0</v>
      </c>
      <c r="FI547" s="399">
        <v>0</v>
      </c>
    </row>
    <row r="548" spans="1:165">
      <c r="A548" s="399">
        <v>552</v>
      </c>
      <c r="B548" s="399" t="s">
        <v>2346</v>
      </c>
      <c r="C548" s="399" t="s">
        <v>2352</v>
      </c>
      <c r="D548" s="399" t="s">
        <v>533</v>
      </c>
      <c r="E548" s="399" t="s">
        <v>894</v>
      </c>
      <c r="F548" s="399" t="s">
        <v>1239</v>
      </c>
      <c r="G548" s="399" t="s">
        <v>1239</v>
      </c>
      <c r="H548" s="399" t="s">
        <v>1239</v>
      </c>
      <c r="I548" s="399" t="s">
        <v>1239</v>
      </c>
      <c r="J548" s="399" t="s">
        <v>2344</v>
      </c>
      <c r="K548" s="791">
        <v>44774</v>
      </c>
      <c r="L548" s="399">
        <v>85</v>
      </c>
      <c r="M548" s="399">
        <v>81.599999999999994</v>
      </c>
      <c r="N548" s="399">
        <v>0</v>
      </c>
      <c r="O548" s="399">
        <v>0</v>
      </c>
      <c r="P548" s="399">
        <v>0</v>
      </c>
      <c r="Q548" s="399">
        <v>0</v>
      </c>
      <c r="R548" s="399">
        <v>12.58</v>
      </c>
      <c r="S548" s="399"/>
      <c r="T548" s="399"/>
      <c r="U548" s="399">
        <v>1069.3</v>
      </c>
      <c r="V548" s="399"/>
      <c r="W548" s="399">
        <v>1069.3</v>
      </c>
      <c r="X548" s="399">
        <v>985.15</v>
      </c>
      <c r="Y548" s="399">
        <v>0</v>
      </c>
      <c r="Z548" s="399">
        <v>0</v>
      </c>
      <c r="AA548" s="399">
        <v>0</v>
      </c>
      <c r="AB548" s="399">
        <v>0</v>
      </c>
      <c r="AC548" s="399">
        <v>0</v>
      </c>
      <c r="AD548" s="399">
        <v>563.33235091177914</v>
      </c>
      <c r="AE548" s="399">
        <v>505.72526715969786</v>
      </c>
      <c r="AF548" s="399"/>
      <c r="AG548" s="399"/>
      <c r="AH548" s="399"/>
      <c r="AI548" s="399">
        <v>0</v>
      </c>
      <c r="AJ548" s="399">
        <v>0</v>
      </c>
      <c r="AK548" s="399">
        <v>0</v>
      </c>
      <c r="AL548" s="399">
        <v>0</v>
      </c>
      <c r="AM548" s="399"/>
      <c r="AN548" s="399">
        <v>0</v>
      </c>
      <c r="AO548" s="399">
        <v>0</v>
      </c>
      <c r="AP548" s="399">
        <v>0</v>
      </c>
      <c r="AQ548" s="399">
        <v>0</v>
      </c>
      <c r="AR548" s="399">
        <v>0</v>
      </c>
      <c r="AS548" s="399"/>
      <c r="AT548" s="399"/>
      <c r="AU548" s="399">
        <v>0</v>
      </c>
      <c r="AV548" s="399">
        <v>0</v>
      </c>
      <c r="AW548" s="399">
        <v>0</v>
      </c>
      <c r="AX548" s="399"/>
      <c r="AY548" s="399"/>
      <c r="AZ548" s="399">
        <v>0</v>
      </c>
      <c r="BA548" s="399"/>
      <c r="BB548" s="399">
        <v>0</v>
      </c>
      <c r="BC548" s="399">
        <v>0</v>
      </c>
      <c r="BD548" s="399">
        <v>0</v>
      </c>
      <c r="BE548" s="399">
        <v>0</v>
      </c>
      <c r="BF548" s="399"/>
      <c r="BG548" s="399">
        <v>0</v>
      </c>
      <c r="BH548" s="399">
        <v>0</v>
      </c>
      <c r="BI548" s="399">
        <v>0</v>
      </c>
      <c r="BJ548" s="399">
        <v>0</v>
      </c>
      <c r="BK548" s="399">
        <v>1197.96</v>
      </c>
      <c r="BL548" s="399">
        <v>1</v>
      </c>
      <c r="BM548" s="399"/>
      <c r="BN548" s="399"/>
      <c r="BO548" s="399"/>
      <c r="BP548" s="399"/>
      <c r="BQ548" s="399"/>
      <c r="BR548" s="399">
        <v>39.406000000000063</v>
      </c>
      <c r="BS548" s="399"/>
      <c r="BT548" s="399"/>
      <c r="BU548" s="399"/>
      <c r="BV548" s="399">
        <v>0</v>
      </c>
      <c r="BW548" s="399"/>
      <c r="BX548" s="399"/>
      <c r="BY548" s="399"/>
      <c r="BZ548" s="399"/>
      <c r="CA548" s="399"/>
      <c r="CB548" s="399"/>
      <c r="CC548" s="399"/>
      <c r="CD548" s="399"/>
      <c r="CE548" s="399"/>
      <c r="CF548" s="399"/>
      <c r="CG548" s="399"/>
      <c r="CH548" s="399"/>
      <c r="CI548" s="399">
        <v>945.74399999999991</v>
      </c>
      <c r="CJ548" s="399">
        <v>-80.814000000000078</v>
      </c>
      <c r="CK548" s="399"/>
      <c r="CL548" s="399"/>
      <c r="CM548" s="399"/>
      <c r="CN548" s="399"/>
      <c r="CO548" s="399">
        <v>-84.15000000000002</v>
      </c>
      <c r="CP548" s="399">
        <v>0</v>
      </c>
      <c r="CQ548" s="399">
        <v>31</v>
      </c>
      <c r="CR548" s="399">
        <v>25.368334558314473</v>
      </c>
      <c r="CS548" s="399">
        <v>0</v>
      </c>
      <c r="CT548" s="399">
        <v>0</v>
      </c>
      <c r="CU548" s="399">
        <v>0</v>
      </c>
      <c r="CV548" s="399">
        <v>0</v>
      </c>
      <c r="CW548" s="399"/>
      <c r="CX548" s="399"/>
      <c r="CY548" s="399"/>
      <c r="CZ548" s="399">
        <v>25.368334558314473</v>
      </c>
      <c r="DA548" s="399">
        <v>0</v>
      </c>
      <c r="DB548" s="399">
        <v>0</v>
      </c>
      <c r="DC548" s="399"/>
      <c r="DD548" s="399"/>
      <c r="DE548" s="399">
        <v>0</v>
      </c>
      <c r="DF548" s="399">
        <v>0</v>
      </c>
      <c r="DG548" s="399">
        <v>0</v>
      </c>
      <c r="DH548" s="399">
        <v>0</v>
      </c>
      <c r="DI548" s="399">
        <v>0</v>
      </c>
      <c r="DJ548" s="399"/>
      <c r="DK548" s="399">
        <v>0</v>
      </c>
      <c r="DL548" s="399">
        <v>0</v>
      </c>
      <c r="DM548" s="399"/>
      <c r="DN548" s="399">
        <v>0</v>
      </c>
      <c r="DO548" s="399">
        <v>0</v>
      </c>
      <c r="DP548" s="399">
        <v>0</v>
      </c>
      <c r="DQ548" s="399">
        <v>0</v>
      </c>
      <c r="DR548" s="399">
        <v>0</v>
      </c>
      <c r="DS548" s="399"/>
      <c r="DT548" s="399"/>
      <c r="DU548" s="399">
        <v>505.72526715969786</v>
      </c>
      <c r="DV548" s="399"/>
      <c r="DW548" s="399">
        <v>0</v>
      </c>
      <c r="DX548" s="399">
        <v>0</v>
      </c>
      <c r="DY548" s="399">
        <v>-84.149999999999977</v>
      </c>
      <c r="DZ548" s="399"/>
      <c r="EA548" s="399">
        <v>0</v>
      </c>
      <c r="EB548" s="399"/>
      <c r="EC548" s="399">
        <v>-109.33507407796253</v>
      </c>
      <c r="ED548" s="399"/>
      <c r="EE548" s="399">
        <v>0</v>
      </c>
      <c r="EF548" s="399">
        <v>0</v>
      </c>
      <c r="EG548" s="399"/>
      <c r="EH548" s="399">
        <v>0</v>
      </c>
      <c r="EI548" s="399">
        <v>0</v>
      </c>
      <c r="EJ548" s="399">
        <v>0</v>
      </c>
      <c r="EK548" s="399">
        <v>0</v>
      </c>
      <c r="EL548" s="399">
        <v>0</v>
      </c>
      <c r="EM548" s="399"/>
      <c r="EN548" s="399"/>
      <c r="EO548" s="399">
        <v>0</v>
      </c>
      <c r="EP548" s="399">
        <v>0</v>
      </c>
      <c r="EQ548" s="399"/>
      <c r="ER548" s="399">
        <v>0</v>
      </c>
      <c r="ES548" s="399"/>
      <c r="ET548" s="399">
        <v>0</v>
      </c>
      <c r="EU548" s="399"/>
      <c r="EV548" s="399">
        <v>215</v>
      </c>
      <c r="EW548" s="399"/>
      <c r="EX548" s="399"/>
      <c r="EY548" s="399"/>
      <c r="EZ548" s="399"/>
      <c r="FA548" s="399">
        <v>0</v>
      </c>
      <c r="FB548" s="399"/>
      <c r="FC548" s="399"/>
      <c r="FD548" s="399"/>
      <c r="FE548" s="399"/>
      <c r="FF548" s="399">
        <v>0</v>
      </c>
      <c r="FG548" s="399">
        <v>0</v>
      </c>
      <c r="FH548" s="399">
        <v>0</v>
      </c>
      <c r="FI548" s="399">
        <v>0</v>
      </c>
    </row>
    <row r="549" spans="1:165">
      <c r="A549" s="399">
        <v>553</v>
      </c>
      <c r="B549" s="399" t="s">
        <v>956</v>
      </c>
      <c r="C549" s="399" t="s">
        <v>2343</v>
      </c>
      <c r="D549" s="399" t="s">
        <v>1826</v>
      </c>
      <c r="E549" s="399" t="s">
        <v>2354</v>
      </c>
      <c r="F549" s="399" t="s">
        <v>1239</v>
      </c>
      <c r="G549" s="399" t="s">
        <v>1239</v>
      </c>
      <c r="H549" s="399" t="s">
        <v>1239</v>
      </c>
      <c r="I549" s="399" t="s">
        <v>1239</v>
      </c>
      <c r="J549" s="399" t="s">
        <v>2344</v>
      </c>
      <c r="K549" s="791">
        <v>44774</v>
      </c>
      <c r="L549" s="399">
        <v>0</v>
      </c>
      <c r="M549" s="399">
        <v>0</v>
      </c>
      <c r="N549" s="399">
        <v>42.073999999999998</v>
      </c>
      <c r="O549" s="399">
        <v>42.073999999999998</v>
      </c>
      <c r="P549" s="399">
        <v>42.073999999999998</v>
      </c>
      <c r="Q549" s="399">
        <v>42.073999999999998</v>
      </c>
      <c r="R549" s="399"/>
      <c r="S549" s="399">
        <v>239.69</v>
      </c>
      <c r="T549" s="399">
        <v>171.61</v>
      </c>
      <c r="U549" s="399"/>
      <c r="V549" s="399">
        <v>17305.036199999999</v>
      </c>
      <c r="W549" s="399">
        <v>17305.036199999999</v>
      </c>
      <c r="X549" s="399">
        <v>17241.504459999996</v>
      </c>
      <c r="Y549" s="399">
        <v>0</v>
      </c>
      <c r="Z549" s="399">
        <v>2543.6804113302096</v>
      </c>
      <c r="AA549" s="399">
        <v>0</v>
      </c>
      <c r="AB549" s="399">
        <v>0</v>
      </c>
      <c r="AC549" s="399">
        <v>0</v>
      </c>
      <c r="AD549" s="399">
        <v>2244.0585706702918</v>
      </c>
      <c r="AE549" s="399">
        <v>3728.3759921547289</v>
      </c>
      <c r="AF549" s="399">
        <v>6957.955256322588</v>
      </c>
      <c r="AG549" s="399">
        <v>262.34640817275294</v>
      </c>
      <c r="AH549" s="399">
        <v>0</v>
      </c>
      <c r="AI549" s="399">
        <v>0</v>
      </c>
      <c r="AJ549" s="399">
        <v>0</v>
      </c>
      <c r="AK549" s="399">
        <v>0</v>
      </c>
      <c r="AL549" s="399">
        <v>393.31241284877063</v>
      </c>
      <c r="AM549" s="399"/>
      <c r="AN549" s="399">
        <v>16.663476971384494</v>
      </c>
      <c r="AO549" s="399">
        <v>0</v>
      </c>
      <c r="AP549" s="399">
        <v>0</v>
      </c>
      <c r="AQ549" s="399">
        <v>0</v>
      </c>
      <c r="AR549" s="399">
        <v>0</v>
      </c>
      <c r="AS549" s="399">
        <v>0</v>
      </c>
      <c r="AT549" s="399">
        <v>0</v>
      </c>
      <c r="AU549" s="399">
        <v>0</v>
      </c>
      <c r="AV549" s="399">
        <v>0</v>
      </c>
      <c r="AW549" s="399">
        <v>0</v>
      </c>
      <c r="AX549" s="399">
        <v>0</v>
      </c>
      <c r="AY549" s="399">
        <v>0</v>
      </c>
      <c r="AZ549" s="399">
        <v>0</v>
      </c>
      <c r="BA549" s="399"/>
      <c r="BB549" s="399">
        <v>0</v>
      </c>
      <c r="BC549" s="399">
        <v>0</v>
      </c>
      <c r="BD549" s="399">
        <v>0</v>
      </c>
      <c r="BE549" s="399">
        <v>0</v>
      </c>
      <c r="BF549" s="399">
        <v>0</v>
      </c>
      <c r="BG549" s="399">
        <v>673.60107630765594</v>
      </c>
      <c r="BH549" s="399">
        <v>0</v>
      </c>
      <c r="BI549" s="399">
        <v>0</v>
      </c>
      <c r="BJ549" s="399">
        <v>0</v>
      </c>
      <c r="BK549" s="399">
        <v>3326.35</v>
      </c>
      <c r="BL549" s="399">
        <v>44</v>
      </c>
      <c r="BM549" s="399"/>
      <c r="BN549" s="399"/>
      <c r="BO549" s="399"/>
      <c r="BP549" s="399"/>
      <c r="BQ549" s="399"/>
      <c r="BR549" s="399"/>
      <c r="BS549" s="399"/>
      <c r="BT549" s="399"/>
      <c r="BU549" s="399"/>
      <c r="BV549" s="399">
        <v>7631.5563326302436</v>
      </c>
      <c r="BW549" s="399"/>
      <c r="BX549" s="399"/>
      <c r="BY549" s="399"/>
      <c r="BZ549" s="399"/>
      <c r="CA549" s="399"/>
      <c r="CB549" s="399"/>
      <c r="CC549" s="399"/>
      <c r="CD549" s="399"/>
      <c r="CE549" s="399"/>
      <c r="CF549" s="399"/>
      <c r="CG549" s="399"/>
      <c r="CH549" s="399"/>
      <c r="CI549" s="399">
        <v>17239.865300000001</v>
      </c>
      <c r="CJ549" s="399">
        <v>-65.200899999996182</v>
      </c>
      <c r="CK549" s="399"/>
      <c r="CL549" s="399"/>
      <c r="CM549" s="399"/>
      <c r="CN549" s="399"/>
      <c r="CO549" s="399">
        <v>-1010.6174800000003</v>
      </c>
      <c r="CP549" s="399">
        <v>947.08573999999953</v>
      </c>
      <c r="CQ549" s="399">
        <v>31</v>
      </c>
      <c r="CR549" s="399">
        <v>742.75938062534624</v>
      </c>
      <c r="CS549" s="399">
        <v>0</v>
      </c>
      <c r="CT549" s="399">
        <v>0</v>
      </c>
      <c r="CU549" s="399">
        <v>0</v>
      </c>
      <c r="CV549" s="399">
        <v>0</v>
      </c>
      <c r="CW549" s="399">
        <v>0</v>
      </c>
      <c r="CX549" s="399">
        <v>0</v>
      </c>
      <c r="CY549" s="399">
        <v>0</v>
      </c>
      <c r="CZ549" s="399">
        <v>101.055848287564</v>
      </c>
      <c r="DA549" s="399">
        <v>0</v>
      </c>
      <c r="DB549" s="399">
        <v>0</v>
      </c>
      <c r="DC549" s="399">
        <v>947.31069497086446</v>
      </c>
      <c r="DD549" s="399">
        <v>0</v>
      </c>
      <c r="DE549" s="399">
        <v>0</v>
      </c>
      <c r="DF549" s="399">
        <v>0</v>
      </c>
      <c r="DG549" s="399">
        <v>91.709342791516974</v>
      </c>
      <c r="DH549" s="399">
        <v>0</v>
      </c>
      <c r="DI549" s="399">
        <v>-349.38150858009567</v>
      </c>
      <c r="DJ549" s="399"/>
      <c r="DK549" s="399">
        <v>0</v>
      </c>
      <c r="DL549" s="399">
        <v>0</v>
      </c>
      <c r="DM549" s="399">
        <v>0</v>
      </c>
      <c r="DN549" s="399">
        <v>0</v>
      </c>
      <c r="DO549" s="399">
        <v>-45.326742816576143</v>
      </c>
      <c r="DP549" s="399">
        <v>-2.6082540279283322</v>
      </c>
      <c r="DQ549" s="399">
        <v>0</v>
      </c>
      <c r="DR549" s="399">
        <v>0</v>
      </c>
      <c r="DS549" s="399"/>
      <c r="DT549" s="399"/>
      <c r="DU549" s="399"/>
      <c r="DV549" s="399">
        <v>3728.3759921547289</v>
      </c>
      <c r="DW549" s="399">
        <v>0</v>
      </c>
      <c r="DX549" s="399">
        <v>0</v>
      </c>
      <c r="DY549" s="399">
        <v>-1010.6174800000008</v>
      </c>
      <c r="DZ549" s="399">
        <v>947.08573999999953</v>
      </c>
      <c r="EA549" s="399">
        <v>0</v>
      </c>
      <c r="EB549" s="399">
        <v>0</v>
      </c>
      <c r="EC549" s="399">
        <v>-806.05477274681834</v>
      </c>
      <c r="ED549" s="399">
        <v>0</v>
      </c>
      <c r="EE549" s="399">
        <v>0</v>
      </c>
      <c r="EF549" s="399">
        <v>0</v>
      </c>
      <c r="EG549" s="399">
        <v>0</v>
      </c>
      <c r="EH549" s="399">
        <v>0</v>
      </c>
      <c r="EI549" s="399">
        <v>0</v>
      </c>
      <c r="EJ549" s="399">
        <v>0</v>
      </c>
      <c r="EK549" s="399">
        <v>0</v>
      </c>
      <c r="EL549" s="399">
        <v>0</v>
      </c>
      <c r="EM549" s="399">
        <v>0</v>
      </c>
      <c r="EN549" s="399">
        <v>0</v>
      </c>
      <c r="EO549" s="399">
        <v>0</v>
      </c>
      <c r="EP549" s="399">
        <v>485.0710027981537</v>
      </c>
      <c r="EQ549" s="399">
        <v>0</v>
      </c>
      <c r="ER549" s="399">
        <v>0</v>
      </c>
      <c r="ES549" s="399">
        <v>0</v>
      </c>
      <c r="ET549" s="399">
        <v>0</v>
      </c>
      <c r="EU549" s="399">
        <v>0</v>
      </c>
      <c r="EV549" s="399">
        <v>215</v>
      </c>
      <c r="EW549" s="399">
        <v>0</v>
      </c>
      <c r="EX549" s="399">
        <v>0</v>
      </c>
      <c r="EY549" s="399">
        <v>0</v>
      </c>
      <c r="EZ549" s="399"/>
      <c r="FA549" s="399">
        <v>0</v>
      </c>
      <c r="FB549" s="399"/>
      <c r="FC549" s="399"/>
      <c r="FD549" s="399"/>
      <c r="FE549" s="399"/>
      <c r="FF549" s="399">
        <v>0</v>
      </c>
      <c r="FG549" s="399">
        <v>0</v>
      </c>
      <c r="FH549" s="399">
        <v>0</v>
      </c>
      <c r="FI549" s="399">
        <v>0</v>
      </c>
    </row>
    <row r="550" spans="1:165">
      <c r="A550" s="399">
        <v>554</v>
      </c>
      <c r="B550" s="399" t="s">
        <v>956</v>
      </c>
      <c r="C550" s="399" t="s">
        <v>2352</v>
      </c>
      <c r="D550" s="399" t="s">
        <v>533</v>
      </c>
      <c r="E550" s="399" t="s">
        <v>2354</v>
      </c>
      <c r="F550" s="399" t="s">
        <v>1239</v>
      </c>
      <c r="G550" s="399" t="s">
        <v>1239</v>
      </c>
      <c r="H550" s="399" t="s">
        <v>1239</v>
      </c>
      <c r="I550" s="399" t="s">
        <v>893</v>
      </c>
      <c r="J550" s="399" t="s">
        <v>2344</v>
      </c>
      <c r="K550" s="791">
        <v>44774</v>
      </c>
      <c r="L550" s="399">
        <v>0</v>
      </c>
      <c r="M550" s="399">
        <v>0</v>
      </c>
      <c r="N550" s="399">
        <v>1.044</v>
      </c>
      <c r="O550" s="399">
        <v>1.044</v>
      </c>
      <c r="P550" s="399">
        <v>1.044</v>
      </c>
      <c r="Q550" s="399">
        <v>1.044</v>
      </c>
      <c r="R550" s="399"/>
      <c r="S550" s="399">
        <v>984.21</v>
      </c>
      <c r="T550" s="399">
        <v>171.61</v>
      </c>
      <c r="U550" s="399"/>
      <c r="V550" s="399">
        <v>1206.6760800000002</v>
      </c>
      <c r="W550" s="399">
        <v>1206.6760800000002</v>
      </c>
      <c r="X550" s="399">
        <v>1125.2754</v>
      </c>
      <c r="Y550" s="399">
        <v>0</v>
      </c>
      <c r="Z550" s="399">
        <v>54.912155820768227</v>
      </c>
      <c r="AA550" s="399">
        <v>0</v>
      </c>
      <c r="AB550" s="399">
        <v>0</v>
      </c>
      <c r="AC550" s="399">
        <v>0</v>
      </c>
      <c r="AD550" s="399">
        <v>411.03184667744029</v>
      </c>
      <c r="AE550" s="399">
        <v>534.61373412363127</v>
      </c>
      <c r="AF550" s="399">
        <v>172.65069372060614</v>
      </c>
      <c r="AG550" s="399">
        <v>6.5097126522877344</v>
      </c>
      <c r="AH550" s="399">
        <v>0</v>
      </c>
      <c r="AI550" s="399">
        <v>0</v>
      </c>
      <c r="AJ550" s="399">
        <v>0</v>
      </c>
      <c r="AK550" s="399">
        <v>0</v>
      </c>
      <c r="AL550" s="399">
        <v>9.7594276516165941</v>
      </c>
      <c r="AM550" s="399"/>
      <c r="AN550" s="399">
        <v>0.2756791357618214</v>
      </c>
      <c r="AO550" s="399">
        <v>0</v>
      </c>
      <c r="AP550" s="399">
        <v>0</v>
      </c>
      <c r="AQ550" s="399">
        <v>0</v>
      </c>
      <c r="AR550" s="399">
        <v>0</v>
      </c>
      <c r="AS550" s="399">
        <v>0</v>
      </c>
      <c r="AT550" s="399">
        <v>0</v>
      </c>
      <c r="AU550" s="399">
        <v>0</v>
      </c>
      <c r="AV550" s="399">
        <v>0</v>
      </c>
      <c r="AW550" s="399">
        <v>0</v>
      </c>
      <c r="AX550" s="399">
        <v>0</v>
      </c>
      <c r="AY550" s="399">
        <v>0</v>
      </c>
      <c r="AZ550" s="399">
        <v>0</v>
      </c>
      <c r="BA550" s="399"/>
      <c r="BB550" s="399">
        <v>0</v>
      </c>
      <c r="BC550" s="399">
        <v>0</v>
      </c>
      <c r="BD550" s="399">
        <v>0</v>
      </c>
      <c r="BE550" s="399">
        <v>0</v>
      </c>
      <c r="BF550" s="399">
        <v>0</v>
      </c>
      <c r="BG550" s="399">
        <v>6.4532654707814592</v>
      </c>
      <c r="BH550" s="399">
        <v>0</v>
      </c>
      <c r="BI550" s="399">
        <v>0</v>
      </c>
      <c r="BJ550" s="399">
        <v>0</v>
      </c>
      <c r="BK550" s="399">
        <v>0</v>
      </c>
      <c r="BL550" s="399">
        <v>0</v>
      </c>
      <c r="BM550" s="399"/>
      <c r="BN550" s="399"/>
      <c r="BO550" s="399"/>
      <c r="BP550" s="399"/>
      <c r="BQ550" s="399"/>
      <c r="BR550" s="399"/>
      <c r="BS550" s="399"/>
      <c r="BT550" s="399"/>
      <c r="BU550" s="399"/>
      <c r="BV550" s="399">
        <v>179.10395919138759</v>
      </c>
      <c r="BW550" s="399"/>
      <c r="BX550" s="399"/>
      <c r="BY550" s="399"/>
      <c r="BZ550" s="399"/>
      <c r="CA550" s="399"/>
      <c r="CB550" s="399"/>
      <c r="CC550" s="399"/>
      <c r="CD550" s="399"/>
      <c r="CE550" s="399"/>
      <c r="CF550" s="399"/>
      <c r="CG550" s="399"/>
      <c r="CH550" s="399"/>
      <c r="CI550" s="399">
        <v>1120.9639999999999</v>
      </c>
      <c r="CJ550" s="399">
        <v>-85.742080000000215</v>
      </c>
      <c r="CK550" s="399"/>
      <c r="CL550" s="399"/>
      <c r="CM550" s="399"/>
      <c r="CN550" s="399"/>
      <c r="CO550" s="399">
        <v>-104.90112000000002</v>
      </c>
      <c r="CP550" s="399">
        <v>23.50043999999999</v>
      </c>
      <c r="CQ550" s="399">
        <v>31</v>
      </c>
      <c r="CR550" s="399">
        <v>34.18426499423424</v>
      </c>
      <c r="CS550" s="399">
        <v>0</v>
      </c>
      <c r="CT550" s="399">
        <v>0</v>
      </c>
      <c r="CU550" s="399">
        <v>0</v>
      </c>
      <c r="CV550" s="399">
        <v>0</v>
      </c>
      <c r="CW550" s="399">
        <v>0</v>
      </c>
      <c r="CX550" s="399">
        <v>0</v>
      </c>
      <c r="CY550" s="399">
        <v>0</v>
      </c>
      <c r="CZ550" s="399">
        <v>18.509843050481095</v>
      </c>
      <c r="DA550" s="399">
        <v>0</v>
      </c>
      <c r="DB550" s="399">
        <v>0</v>
      </c>
      <c r="DC550" s="399">
        <v>23.506021903065601</v>
      </c>
      <c r="DD550" s="399">
        <v>0</v>
      </c>
      <c r="DE550" s="399">
        <v>0</v>
      </c>
      <c r="DF550" s="399">
        <v>0</v>
      </c>
      <c r="DG550" s="399">
        <v>0.87859826238495842</v>
      </c>
      <c r="DH550" s="399">
        <v>0</v>
      </c>
      <c r="DI550" s="399">
        <v>-7.5423358038961439</v>
      </c>
      <c r="DJ550" s="399"/>
      <c r="DK550" s="399">
        <v>0</v>
      </c>
      <c r="DL550" s="399">
        <v>0</v>
      </c>
      <c r="DM550" s="399">
        <v>0</v>
      </c>
      <c r="DN550" s="399">
        <v>0</v>
      </c>
      <c r="DO550" s="399">
        <v>-1.1247116865642788</v>
      </c>
      <c r="DP550" s="399">
        <v>-4.3150731237025647E-2</v>
      </c>
      <c r="DQ550" s="399">
        <v>0</v>
      </c>
      <c r="DR550" s="399">
        <v>0</v>
      </c>
      <c r="DS550" s="399"/>
      <c r="DT550" s="399"/>
      <c r="DU550" s="399"/>
      <c r="DV550" s="399">
        <v>534.61373412363127</v>
      </c>
      <c r="DW550" s="399">
        <v>0</v>
      </c>
      <c r="DX550" s="399">
        <v>0</v>
      </c>
      <c r="DY550" s="399">
        <v>-104.90112000000011</v>
      </c>
      <c r="DZ550" s="399">
        <v>23.500439999999998</v>
      </c>
      <c r="EA550" s="399">
        <v>0</v>
      </c>
      <c r="EB550" s="399">
        <v>0</v>
      </c>
      <c r="EC550" s="399">
        <v>-115.58060476548292</v>
      </c>
      <c r="ED550" s="399">
        <v>0</v>
      </c>
      <c r="EE550" s="399">
        <v>0</v>
      </c>
      <c r="EF550" s="399">
        <v>0</v>
      </c>
      <c r="EG550" s="399">
        <v>0</v>
      </c>
      <c r="EH550" s="399">
        <v>0</v>
      </c>
      <c r="EI550" s="399">
        <v>0</v>
      </c>
      <c r="EJ550" s="399">
        <v>0</v>
      </c>
      <c r="EK550" s="399">
        <v>0</v>
      </c>
      <c r="EL550" s="399">
        <v>0</v>
      </c>
      <c r="EM550" s="399">
        <v>0</v>
      </c>
      <c r="EN550" s="399">
        <v>0</v>
      </c>
      <c r="EO550" s="399">
        <v>0</v>
      </c>
      <c r="EP550" s="399">
        <v>10.471557028604501</v>
      </c>
      <c r="EQ550" s="399">
        <v>0</v>
      </c>
      <c r="ER550" s="399">
        <v>0</v>
      </c>
      <c r="ES550" s="399">
        <v>0</v>
      </c>
      <c r="ET550" s="399">
        <v>0</v>
      </c>
      <c r="EU550" s="399">
        <v>0</v>
      </c>
      <c r="EV550" s="399">
        <v>215</v>
      </c>
      <c r="EW550" s="399">
        <v>0</v>
      </c>
      <c r="EX550" s="399">
        <v>0</v>
      </c>
      <c r="EY550" s="399">
        <v>0</v>
      </c>
      <c r="EZ550" s="399"/>
      <c r="FA550" s="399">
        <v>0</v>
      </c>
      <c r="FB550" s="399"/>
      <c r="FC550" s="399"/>
      <c r="FD550" s="399"/>
      <c r="FE550" s="399"/>
      <c r="FF550" s="399">
        <v>0</v>
      </c>
      <c r="FG550" s="399">
        <v>0</v>
      </c>
      <c r="FH550" s="399">
        <v>0</v>
      </c>
      <c r="FI550" s="399">
        <v>0</v>
      </c>
    </row>
    <row r="551" spans="1:165">
      <c r="A551" s="399">
        <v>555</v>
      </c>
      <c r="B551" s="399" t="s">
        <v>956</v>
      </c>
      <c r="C551" s="399" t="s">
        <v>2352</v>
      </c>
      <c r="D551" s="399" t="s">
        <v>533</v>
      </c>
      <c r="E551" s="399" t="s">
        <v>2354</v>
      </c>
      <c r="F551" s="399" t="s">
        <v>1239</v>
      </c>
      <c r="G551" s="399" t="s">
        <v>1239</v>
      </c>
      <c r="H551" s="399" t="s">
        <v>1239</v>
      </c>
      <c r="I551" s="399" t="s">
        <v>2326</v>
      </c>
      <c r="J551" s="399" t="s">
        <v>2344</v>
      </c>
      <c r="K551" s="791">
        <v>44774</v>
      </c>
      <c r="L551" s="399">
        <v>0</v>
      </c>
      <c r="M551" s="399">
        <v>0</v>
      </c>
      <c r="N551" s="399">
        <v>8.2579999999999991</v>
      </c>
      <c r="O551" s="399">
        <v>8.2579999999999991</v>
      </c>
      <c r="P551" s="399">
        <v>8.2579999999999991</v>
      </c>
      <c r="Q551" s="399">
        <v>8.2579999999999991</v>
      </c>
      <c r="R551" s="399"/>
      <c r="S551" s="399">
        <v>78.42</v>
      </c>
      <c r="T551" s="399">
        <v>171.61</v>
      </c>
      <c r="U551" s="399"/>
      <c r="V551" s="399">
        <v>2064.7477399999998</v>
      </c>
      <c r="W551" s="399">
        <v>2064.7477399999998</v>
      </c>
      <c r="X551" s="399">
        <v>2188.7003199999999</v>
      </c>
      <c r="Y551" s="399">
        <v>0</v>
      </c>
      <c r="Z551" s="399">
        <v>434.35304862826047</v>
      </c>
      <c r="AA551" s="399">
        <v>0</v>
      </c>
      <c r="AB551" s="399">
        <v>0</v>
      </c>
      <c r="AC551" s="399">
        <v>0</v>
      </c>
      <c r="AD551" s="399">
        <v>0</v>
      </c>
      <c r="AE551" s="399">
        <v>0</v>
      </c>
      <c r="AF551" s="399">
        <v>1365.6603723608862</v>
      </c>
      <c r="AG551" s="399">
        <v>51.491577665318104</v>
      </c>
      <c r="AH551" s="399">
        <v>0</v>
      </c>
      <c r="AI551" s="399">
        <v>0</v>
      </c>
      <c r="AJ551" s="399">
        <v>0</v>
      </c>
      <c r="AK551" s="399">
        <v>0</v>
      </c>
      <c r="AL551" s="399">
        <v>77.196698799856151</v>
      </c>
      <c r="AM551" s="399"/>
      <c r="AN551" s="399">
        <v>2.1806114014570124</v>
      </c>
      <c r="AO551" s="399">
        <v>0</v>
      </c>
      <c r="AP551" s="399">
        <v>0</v>
      </c>
      <c r="AQ551" s="399">
        <v>0</v>
      </c>
      <c r="AR551" s="399">
        <v>0</v>
      </c>
      <c r="AS551" s="399">
        <v>0</v>
      </c>
      <c r="AT551" s="399">
        <v>0</v>
      </c>
      <c r="AU551" s="399">
        <v>0</v>
      </c>
      <c r="AV551" s="399">
        <v>0</v>
      </c>
      <c r="AW551" s="399">
        <v>0</v>
      </c>
      <c r="AX551" s="399">
        <v>0</v>
      </c>
      <c r="AY551" s="399">
        <v>0</v>
      </c>
      <c r="AZ551" s="399">
        <v>0</v>
      </c>
      <c r="BA551" s="399"/>
      <c r="BB551" s="399">
        <v>0</v>
      </c>
      <c r="BC551" s="399">
        <v>0</v>
      </c>
      <c r="BD551" s="399">
        <v>0</v>
      </c>
      <c r="BE551" s="399">
        <v>0</v>
      </c>
      <c r="BF551" s="399">
        <v>0</v>
      </c>
      <c r="BG551" s="399">
        <v>51.045082622330732</v>
      </c>
      <c r="BH551" s="399">
        <v>0</v>
      </c>
      <c r="BI551" s="399">
        <v>0</v>
      </c>
      <c r="BJ551" s="399">
        <v>0</v>
      </c>
      <c r="BK551" s="399">
        <v>0</v>
      </c>
      <c r="BL551" s="399">
        <v>0</v>
      </c>
      <c r="BM551" s="399"/>
      <c r="BN551" s="399"/>
      <c r="BO551" s="399"/>
      <c r="BP551" s="399"/>
      <c r="BQ551" s="399"/>
      <c r="BR551" s="399"/>
      <c r="BS551" s="399"/>
      <c r="BT551" s="399"/>
      <c r="BU551" s="399"/>
      <c r="BV551" s="399">
        <v>1416.7054549832169</v>
      </c>
      <c r="BW551" s="399"/>
      <c r="BX551" s="399"/>
      <c r="BY551" s="399"/>
      <c r="BZ551" s="399"/>
      <c r="CA551" s="399"/>
      <c r="CB551" s="399"/>
      <c r="CC551" s="399"/>
      <c r="CD551" s="399"/>
      <c r="CE551" s="399"/>
      <c r="CF551" s="399"/>
      <c r="CG551" s="399"/>
      <c r="CH551" s="399"/>
      <c r="CI551" s="399">
        <v>2189.2303999999999</v>
      </c>
      <c r="CJ551" s="399">
        <v>124.45265999999992</v>
      </c>
      <c r="CK551" s="399"/>
      <c r="CL551" s="399"/>
      <c r="CM551" s="399"/>
      <c r="CN551" s="399"/>
      <c r="CO551" s="399">
        <v>-61.934999999999995</v>
      </c>
      <c r="CP551" s="399">
        <v>185.8875799999999</v>
      </c>
      <c r="CQ551" s="399">
        <v>31</v>
      </c>
      <c r="CR551" s="399">
        <v>123.98407702252234</v>
      </c>
      <c r="CS551" s="399">
        <v>0</v>
      </c>
      <c r="CT551" s="399">
        <v>0</v>
      </c>
      <c r="CU551" s="399">
        <v>0</v>
      </c>
      <c r="CV551" s="399">
        <v>0</v>
      </c>
      <c r="CW551" s="399">
        <v>0</v>
      </c>
      <c r="CX551" s="399">
        <v>0</v>
      </c>
      <c r="CY551" s="399">
        <v>0</v>
      </c>
      <c r="CZ551" s="399">
        <v>0</v>
      </c>
      <c r="DA551" s="399">
        <v>0</v>
      </c>
      <c r="DB551" s="399">
        <v>0</v>
      </c>
      <c r="DC551" s="399">
        <v>185.93173263938297</v>
      </c>
      <c r="DD551" s="399">
        <v>0</v>
      </c>
      <c r="DE551" s="399">
        <v>0</v>
      </c>
      <c r="DF551" s="399">
        <v>0</v>
      </c>
      <c r="DG551" s="399">
        <v>6.9496785926963511</v>
      </c>
      <c r="DH551" s="399">
        <v>0</v>
      </c>
      <c r="DI551" s="399">
        <v>-59.659587230435136</v>
      </c>
      <c r="DJ551" s="399"/>
      <c r="DK551" s="399">
        <v>0</v>
      </c>
      <c r="DL551" s="399">
        <v>0</v>
      </c>
      <c r="DM551" s="399">
        <v>0</v>
      </c>
      <c r="DN551" s="399">
        <v>0</v>
      </c>
      <c r="DO551" s="399">
        <v>-8.8964263483216683</v>
      </c>
      <c r="DP551" s="399">
        <v>-0.34132063080015129</v>
      </c>
      <c r="DQ551" s="399">
        <v>0</v>
      </c>
      <c r="DR551" s="399">
        <v>0</v>
      </c>
      <c r="DS551" s="399"/>
      <c r="DT551" s="399"/>
      <c r="DU551" s="399"/>
      <c r="DV551" s="399">
        <v>0</v>
      </c>
      <c r="DW551" s="399">
        <v>0</v>
      </c>
      <c r="DX551" s="399">
        <v>0</v>
      </c>
      <c r="DY551" s="399">
        <v>-61.935000000000059</v>
      </c>
      <c r="DZ551" s="399">
        <v>185.88757999999984</v>
      </c>
      <c r="EA551" s="399">
        <v>0</v>
      </c>
      <c r="EB551" s="399">
        <v>0</v>
      </c>
      <c r="EC551" s="399">
        <v>0</v>
      </c>
      <c r="ED551" s="399">
        <v>0</v>
      </c>
      <c r="EE551" s="399">
        <v>0</v>
      </c>
      <c r="EF551" s="399">
        <v>0</v>
      </c>
      <c r="EG551" s="399">
        <v>0</v>
      </c>
      <c r="EH551" s="399">
        <v>0</v>
      </c>
      <c r="EI551" s="399">
        <v>0</v>
      </c>
      <c r="EJ551" s="399">
        <v>0</v>
      </c>
      <c r="EK551" s="399">
        <v>0</v>
      </c>
      <c r="EL551" s="399">
        <v>0</v>
      </c>
      <c r="EM551" s="399">
        <v>0</v>
      </c>
      <c r="EN551" s="399">
        <v>0</v>
      </c>
      <c r="EO551" s="399">
        <v>0</v>
      </c>
      <c r="EP551" s="399">
        <v>82.829614887180028</v>
      </c>
      <c r="EQ551" s="399">
        <v>0</v>
      </c>
      <c r="ER551" s="399">
        <v>0</v>
      </c>
      <c r="ES551" s="399">
        <v>0</v>
      </c>
      <c r="ET551" s="399">
        <v>0</v>
      </c>
      <c r="EU551" s="399">
        <v>0</v>
      </c>
      <c r="EV551" s="399">
        <v>215</v>
      </c>
      <c r="EW551" s="399">
        <v>0</v>
      </c>
      <c r="EX551" s="399">
        <v>0</v>
      </c>
      <c r="EY551" s="399">
        <v>0</v>
      </c>
      <c r="EZ551" s="399"/>
      <c r="FA551" s="399">
        <v>0</v>
      </c>
      <c r="FB551" s="399"/>
      <c r="FC551" s="399"/>
      <c r="FD551" s="399"/>
      <c r="FE551" s="399"/>
      <c r="FF551" s="399">
        <v>0</v>
      </c>
      <c r="FG551" s="399">
        <v>0</v>
      </c>
      <c r="FH551" s="399">
        <v>0</v>
      </c>
      <c r="FI551" s="399">
        <v>0</v>
      </c>
    </row>
    <row r="552" spans="1:165">
      <c r="A552" s="399">
        <v>556</v>
      </c>
      <c r="B552" s="399" t="s">
        <v>956</v>
      </c>
      <c r="C552" s="399" t="s">
        <v>2352</v>
      </c>
      <c r="D552" s="399" t="s">
        <v>533</v>
      </c>
      <c r="E552" s="399" t="s">
        <v>2354</v>
      </c>
      <c r="F552" s="399" t="s">
        <v>1239</v>
      </c>
      <c r="G552" s="399" t="s">
        <v>1239</v>
      </c>
      <c r="H552" s="399" t="s">
        <v>1239</v>
      </c>
      <c r="I552" s="399" t="s">
        <v>1239</v>
      </c>
      <c r="J552" s="399" t="s">
        <v>2344</v>
      </c>
      <c r="K552" s="791">
        <v>44774</v>
      </c>
      <c r="L552" s="399">
        <v>155</v>
      </c>
      <c r="M552" s="399">
        <v>155</v>
      </c>
      <c r="N552" s="399">
        <v>0</v>
      </c>
      <c r="O552" s="399">
        <v>0</v>
      </c>
      <c r="P552" s="399">
        <v>0</v>
      </c>
      <c r="Q552" s="399">
        <v>0</v>
      </c>
      <c r="R552" s="399">
        <v>12.58</v>
      </c>
      <c r="S552" s="399"/>
      <c r="T552" s="399"/>
      <c r="U552" s="399">
        <v>1949.9</v>
      </c>
      <c r="V552" s="399"/>
      <c r="W552" s="399">
        <v>1949.9</v>
      </c>
      <c r="X552" s="399">
        <v>1796.45</v>
      </c>
      <c r="Y552" s="399">
        <v>0</v>
      </c>
      <c r="Z552" s="399">
        <v>0</v>
      </c>
      <c r="AA552" s="399">
        <v>0</v>
      </c>
      <c r="AB552" s="399">
        <v>0</v>
      </c>
      <c r="AC552" s="399">
        <v>0</v>
      </c>
      <c r="AD552" s="399">
        <v>1027.2531104861855</v>
      </c>
      <c r="AE552" s="399">
        <v>922.20489893827255</v>
      </c>
      <c r="AF552" s="399"/>
      <c r="AG552" s="399"/>
      <c r="AH552" s="399"/>
      <c r="AI552" s="399">
        <v>0</v>
      </c>
      <c r="AJ552" s="399">
        <v>0</v>
      </c>
      <c r="AK552" s="399">
        <v>0</v>
      </c>
      <c r="AL552" s="399">
        <v>0</v>
      </c>
      <c r="AM552" s="399"/>
      <c r="AN552" s="399">
        <v>0</v>
      </c>
      <c r="AO552" s="399">
        <v>0</v>
      </c>
      <c r="AP552" s="399">
        <v>0</v>
      </c>
      <c r="AQ552" s="399">
        <v>0</v>
      </c>
      <c r="AR552" s="399">
        <v>0</v>
      </c>
      <c r="AS552" s="399"/>
      <c r="AT552" s="399"/>
      <c r="AU552" s="399">
        <v>0</v>
      </c>
      <c r="AV552" s="399">
        <v>0</v>
      </c>
      <c r="AW552" s="399">
        <v>0</v>
      </c>
      <c r="AX552" s="399"/>
      <c r="AY552" s="399"/>
      <c r="AZ552" s="399">
        <v>0</v>
      </c>
      <c r="BA552" s="399"/>
      <c r="BB552" s="399">
        <v>0</v>
      </c>
      <c r="BC552" s="399">
        <v>0</v>
      </c>
      <c r="BD552" s="399">
        <v>0</v>
      </c>
      <c r="BE552" s="399">
        <v>0</v>
      </c>
      <c r="BF552" s="399"/>
      <c r="BG552" s="399">
        <v>0</v>
      </c>
      <c r="BH552" s="399">
        <v>0</v>
      </c>
      <c r="BI552" s="399">
        <v>0</v>
      </c>
      <c r="BJ552" s="399">
        <v>0</v>
      </c>
      <c r="BK552" s="399">
        <v>422.91</v>
      </c>
      <c r="BL552" s="399">
        <v>3</v>
      </c>
      <c r="BM552" s="399"/>
      <c r="BN552" s="399"/>
      <c r="BO552" s="399"/>
      <c r="BP552" s="399"/>
      <c r="BQ552" s="399"/>
      <c r="BR552" s="399"/>
      <c r="BS552" s="399"/>
      <c r="BT552" s="399"/>
      <c r="BU552" s="399"/>
      <c r="BV552" s="399">
        <v>0</v>
      </c>
      <c r="BW552" s="399"/>
      <c r="BX552" s="399"/>
      <c r="BY552" s="399"/>
      <c r="BZ552" s="399"/>
      <c r="CA552" s="399"/>
      <c r="CB552" s="399"/>
      <c r="CC552" s="399"/>
      <c r="CD552" s="399"/>
      <c r="CE552" s="399"/>
      <c r="CF552" s="399"/>
      <c r="CG552" s="399"/>
      <c r="CH552" s="399"/>
      <c r="CI552" s="399">
        <v>1796.45</v>
      </c>
      <c r="CJ552" s="399">
        <v>-153.48000000000002</v>
      </c>
      <c r="CK552" s="399"/>
      <c r="CL552" s="399"/>
      <c r="CM552" s="399"/>
      <c r="CN552" s="399"/>
      <c r="CO552" s="399">
        <v>-153.45000000000005</v>
      </c>
      <c r="CP552" s="399">
        <v>0</v>
      </c>
      <c r="CQ552" s="399">
        <v>31</v>
      </c>
      <c r="CR552" s="399">
        <v>46.259904194573437</v>
      </c>
      <c r="CS552" s="399">
        <v>0</v>
      </c>
      <c r="CT552" s="399">
        <v>0</v>
      </c>
      <c r="CU552" s="399">
        <v>0</v>
      </c>
      <c r="CV552" s="399">
        <v>0</v>
      </c>
      <c r="CW552" s="399"/>
      <c r="CX552" s="399"/>
      <c r="CY552" s="399"/>
      <c r="CZ552" s="399">
        <v>46.259904194573437</v>
      </c>
      <c r="DA552" s="399">
        <v>0</v>
      </c>
      <c r="DB552" s="399">
        <v>0</v>
      </c>
      <c r="DC552" s="399"/>
      <c r="DD552" s="399"/>
      <c r="DE552" s="399">
        <v>0</v>
      </c>
      <c r="DF552" s="399">
        <v>0</v>
      </c>
      <c r="DG552" s="399">
        <v>0</v>
      </c>
      <c r="DH552" s="399">
        <v>0</v>
      </c>
      <c r="DI552" s="399">
        <v>0</v>
      </c>
      <c r="DJ552" s="399"/>
      <c r="DK552" s="399">
        <v>0</v>
      </c>
      <c r="DL552" s="399">
        <v>0</v>
      </c>
      <c r="DM552" s="399"/>
      <c r="DN552" s="399">
        <v>0</v>
      </c>
      <c r="DO552" s="399">
        <v>0</v>
      </c>
      <c r="DP552" s="399">
        <v>0</v>
      </c>
      <c r="DQ552" s="399">
        <v>0</v>
      </c>
      <c r="DR552" s="399">
        <v>0</v>
      </c>
      <c r="DS552" s="399"/>
      <c r="DT552" s="399"/>
      <c r="DU552" s="399">
        <v>922.20489893827255</v>
      </c>
      <c r="DV552" s="399"/>
      <c r="DW552" s="399">
        <v>0</v>
      </c>
      <c r="DX552" s="399">
        <v>0</v>
      </c>
      <c r="DY552" s="399">
        <v>-153.45000000000005</v>
      </c>
      <c r="DZ552" s="399"/>
      <c r="EA552" s="399">
        <v>0</v>
      </c>
      <c r="EB552" s="399"/>
      <c r="EC552" s="399">
        <v>-199.37572331863748</v>
      </c>
      <c r="ED552" s="399"/>
      <c r="EE552" s="399">
        <v>0</v>
      </c>
      <c r="EF552" s="399">
        <v>0</v>
      </c>
      <c r="EG552" s="399"/>
      <c r="EH552" s="399">
        <v>0</v>
      </c>
      <c r="EI552" s="399">
        <v>0</v>
      </c>
      <c r="EJ552" s="399">
        <v>0</v>
      </c>
      <c r="EK552" s="399">
        <v>0</v>
      </c>
      <c r="EL552" s="399">
        <v>0</v>
      </c>
      <c r="EM552" s="399"/>
      <c r="EN552" s="399"/>
      <c r="EO552" s="399">
        <v>0</v>
      </c>
      <c r="EP552" s="399">
        <v>0</v>
      </c>
      <c r="EQ552" s="399"/>
      <c r="ER552" s="399">
        <v>0</v>
      </c>
      <c r="ES552" s="399"/>
      <c r="ET552" s="399">
        <v>0</v>
      </c>
      <c r="EU552" s="399"/>
      <c r="EV552" s="399">
        <v>215</v>
      </c>
      <c r="EW552" s="399"/>
      <c r="EX552" s="399"/>
      <c r="EY552" s="399"/>
      <c r="EZ552" s="399"/>
      <c r="FA552" s="399">
        <v>0</v>
      </c>
      <c r="FB552" s="399"/>
      <c r="FC552" s="399"/>
      <c r="FD552" s="399"/>
      <c r="FE552" s="399"/>
      <c r="FF552" s="399">
        <v>0</v>
      </c>
      <c r="FG552" s="399">
        <v>0</v>
      </c>
      <c r="FH552" s="399">
        <v>0</v>
      </c>
      <c r="FI552" s="399">
        <v>0</v>
      </c>
    </row>
    <row r="553" spans="1:165">
      <c r="A553" s="399">
        <v>557</v>
      </c>
      <c r="B553" s="399" t="s">
        <v>956</v>
      </c>
      <c r="C553" s="399" t="s">
        <v>2343</v>
      </c>
      <c r="D553" s="399" t="s">
        <v>2355</v>
      </c>
      <c r="E553" s="399" t="s">
        <v>2356</v>
      </c>
      <c r="F553" s="399" t="s">
        <v>2357</v>
      </c>
      <c r="G553" s="399" t="s">
        <v>1239</v>
      </c>
      <c r="H553" s="399" t="s">
        <v>1239</v>
      </c>
      <c r="I553" s="399" t="s">
        <v>1239</v>
      </c>
      <c r="J553" s="399" t="s">
        <v>2344</v>
      </c>
      <c r="K553" s="791">
        <v>44774</v>
      </c>
      <c r="L553" s="399">
        <v>0</v>
      </c>
      <c r="M553" s="399">
        <v>0</v>
      </c>
      <c r="N553" s="399">
        <v>110.35599999999999</v>
      </c>
      <c r="O553" s="399">
        <v>110.35599999999999</v>
      </c>
      <c r="P553" s="399">
        <v>110.35599999999999</v>
      </c>
      <c r="Q553" s="399">
        <v>110.35599999999999</v>
      </c>
      <c r="R553" s="399"/>
      <c r="S553" s="399">
        <v>131.83000000000001</v>
      </c>
      <c r="T553" s="399">
        <v>94.39</v>
      </c>
      <c r="U553" s="399"/>
      <c r="V553" s="399">
        <v>24964.73432</v>
      </c>
      <c r="W553" s="399">
        <v>24964.73432</v>
      </c>
      <c r="X553" s="399">
        <v>24873.13884</v>
      </c>
      <c r="Y553" s="399">
        <v>0</v>
      </c>
      <c r="Z553" s="399">
        <v>3669.5041476925503</v>
      </c>
      <c r="AA553" s="399">
        <v>0</v>
      </c>
      <c r="AB553" s="399">
        <v>0</v>
      </c>
      <c r="AC553" s="399">
        <v>0</v>
      </c>
      <c r="AD553" s="399">
        <v>3237.270765643626</v>
      </c>
      <c r="AE553" s="399">
        <v>5378.5417013981269</v>
      </c>
      <c r="AF553" s="399">
        <v>10037.521049738674</v>
      </c>
      <c r="AG553" s="399">
        <v>378.45997816161497</v>
      </c>
      <c r="AH553" s="399">
        <v>0</v>
      </c>
      <c r="AI553" s="399">
        <v>0</v>
      </c>
      <c r="AJ553" s="399">
        <v>0</v>
      </c>
      <c r="AK553" s="399">
        <v>0</v>
      </c>
      <c r="AL553" s="399">
        <v>567.39106212355387</v>
      </c>
      <c r="AM553" s="399"/>
      <c r="AN553" s="399">
        <v>24.038671520648375</v>
      </c>
      <c r="AO553" s="399">
        <v>0</v>
      </c>
      <c r="AP553" s="399">
        <v>0</v>
      </c>
      <c r="AQ553" s="399">
        <v>0</v>
      </c>
      <c r="AR553" s="399">
        <v>0</v>
      </c>
      <c r="AS553" s="399">
        <v>0</v>
      </c>
      <c r="AT553" s="399">
        <v>0</v>
      </c>
      <c r="AU553" s="399">
        <v>0</v>
      </c>
      <c r="AV553" s="399">
        <v>0</v>
      </c>
      <c r="AW553" s="399">
        <v>0</v>
      </c>
      <c r="AX553" s="399">
        <v>0</v>
      </c>
      <c r="AY553" s="399">
        <v>0</v>
      </c>
      <c r="AZ553" s="399">
        <v>0</v>
      </c>
      <c r="BA553" s="399"/>
      <c r="BB553" s="399">
        <v>0</v>
      </c>
      <c r="BC553" s="399">
        <v>0</v>
      </c>
      <c r="BD553" s="399">
        <v>0</v>
      </c>
      <c r="BE553" s="399">
        <v>0</v>
      </c>
      <c r="BF553" s="399">
        <v>0</v>
      </c>
      <c r="BG553" s="399">
        <v>971.73447277069351</v>
      </c>
      <c r="BH553" s="399">
        <v>0</v>
      </c>
      <c r="BI553" s="399">
        <v>0</v>
      </c>
      <c r="BJ553" s="399">
        <v>0</v>
      </c>
      <c r="BK553" s="399">
        <v>5094.5</v>
      </c>
      <c r="BL553" s="399">
        <v>7</v>
      </c>
      <c r="BM553" s="399"/>
      <c r="BN553" s="399"/>
      <c r="BO553" s="399"/>
      <c r="BP553" s="399"/>
      <c r="BQ553" s="399"/>
      <c r="BR553" s="399"/>
      <c r="BS553" s="399"/>
      <c r="BT553" s="399"/>
      <c r="BU553" s="399"/>
      <c r="BV553" s="399">
        <v>11009.255522509367</v>
      </c>
      <c r="BW553" s="399"/>
      <c r="BX553" s="399"/>
      <c r="BY553" s="399"/>
      <c r="BZ553" s="399"/>
      <c r="CA553" s="399"/>
      <c r="CB553" s="399"/>
      <c r="CC553" s="399"/>
      <c r="CD553" s="399"/>
      <c r="CE553" s="399"/>
      <c r="CF553" s="399"/>
      <c r="CG553" s="399"/>
      <c r="CH553" s="399"/>
      <c r="CI553" s="399">
        <v>24874.040399999998</v>
      </c>
      <c r="CJ553" s="399">
        <v>-90.723920000000362</v>
      </c>
      <c r="CK553" s="399"/>
      <c r="CL553" s="399"/>
      <c r="CM553" s="399"/>
      <c r="CN553" s="399"/>
      <c r="CO553" s="399">
        <v>-1457.8027600000007</v>
      </c>
      <c r="CP553" s="399">
        <v>1366.2072799999994</v>
      </c>
      <c r="CQ553" s="399">
        <v>31</v>
      </c>
      <c r="CR553" s="399">
        <v>1071.5019920749219</v>
      </c>
      <c r="CS553" s="399">
        <v>0</v>
      </c>
      <c r="CT553" s="399">
        <v>0</v>
      </c>
      <c r="CU553" s="399">
        <v>0</v>
      </c>
      <c r="CV553" s="399">
        <v>0</v>
      </c>
      <c r="CW553" s="399">
        <v>0</v>
      </c>
      <c r="CX553" s="399">
        <v>0</v>
      </c>
      <c r="CY553" s="399">
        <v>0</v>
      </c>
      <c r="CZ553" s="399">
        <v>145.78280069620632</v>
      </c>
      <c r="DA553" s="399">
        <v>0</v>
      </c>
      <c r="DB553" s="399">
        <v>0</v>
      </c>
      <c r="DC553" s="399">
        <v>1366.5869772261522</v>
      </c>
      <c r="DD553" s="399">
        <v>0</v>
      </c>
      <c r="DE553" s="399">
        <v>0</v>
      </c>
      <c r="DF553" s="399">
        <v>0</v>
      </c>
      <c r="DG553" s="399">
        <v>132.29956572242816</v>
      </c>
      <c r="DH553" s="399">
        <v>0</v>
      </c>
      <c r="DI553" s="399">
        <v>-504.01649875162366</v>
      </c>
      <c r="DJ553" s="399"/>
      <c r="DK553" s="399">
        <v>0</v>
      </c>
      <c r="DL553" s="399">
        <v>0</v>
      </c>
      <c r="DM553" s="399">
        <v>0</v>
      </c>
      <c r="DN553" s="399">
        <v>0</v>
      </c>
      <c r="DO553" s="399">
        <v>-65.388195005141938</v>
      </c>
      <c r="DP553" s="399">
        <v>-3.7626578130991071</v>
      </c>
      <c r="DQ553" s="399">
        <v>0</v>
      </c>
      <c r="DR553" s="399">
        <v>0</v>
      </c>
      <c r="DS553" s="399"/>
      <c r="DT553" s="399"/>
      <c r="DU553" s="399"/>
      <c r="DV553" s="399">
        <v>5378.5417013981269</v>
      </c>
      <c r="DW553" s="399">
        <v>0</v>
      </c>
      <c r="DX553" s="399">
        <v>0</v>
      </c>
      <c r="DY553" s="399">
        <v>-1457.8027600000005</v>
      </c>
      <c r="DZ553" s="399">
        <v>1366.2072800000005</v>
      </c>
      <c r="EA553" s="399">
        <v>0</v>
      </c>
      <c r="EB553" s="399">
        <v>0</v>
      </c>
      <c r="EC553" s="399">
        <v>-1162.8116954814377</v>
      </c>
      <c r="ED553" s="399">
        <v>0</v>
      </c>
      <c r="EE553" s="399">
        <v>0</v>
      </c>
      <c r="EF553" s="399">
        <v>0</v>
      </c>
      <c r="EG553" s="399">
        <v>0</v>
      </c>
      <c r="EH553" s="399">
        <v>0</v>
      </c>
      <c r="EI553" s="399">
        <v>0</v>
      </c>
      <c r="EJ553" s="399">
        <v>0</v>
      </c>
      <c r="EK553" s="399">
        <v>0</v>
      </c>
      <c r="EL553" s="399">
        <v>0</v>
      </c>
      <c r="EM553" s="399">
        <v>0</v>
      </c>
      <c r="EN553" s="399">
        <v>0</v>
      </c>
      <c r="EO553" s="399">
        <v>0</v>
      </c>
      <c r="EP553" s="399">
        <v>699.76167161753312</v>
      </c>
      <c r="EQ553" s="399">
        <v>0</v>
      </c>
      <c r="ER553" s="399">
        <v>0</v>
      </c>
      <c r="ES553" s="399">
        <v>0</v>
      </c>
      <c r="ET553" s="399">
        <v>0</v>
      </c>
      <c r="EU553" s="399">
        <v>0</v>
      </c>
      <c r="EV553" s="399">
        <v>215</v>
      </c>
      <c r="EW553" s="399">
        <v>0</v>
      </c>
      <c r="EX553" s="399">
        <v>0</v>
      </c>
      <c r="EY553" s="399">
        <v>0</v>
      </c>
      <c r="EZ553" s="399"/>
      <c r="FA553" s="399">
        <v>0</v>
      </c>
      <c r="FB553" s="399"/>
      <c r="FC553" s="399"/>
      <c r="FD553" s="399"/>
      <c r="FE553" s="399"/>
      <c r="FF553" s="399">
        <v>0</v>
      </c>
      <c r="FG553" s="399">
        <v>0</v>
      </c>
      <c r="FH553" s="399">
        <v>0</v>
      </c>
      <c r="FI553" s="399">
        <v>0</v>
      </c>
    </row>
    <row r="554" spans="1:165">
      <c r="A554" s="399">
        <v>558</v>
      </c>
      <c r="B554" s="399" t="s">
        <v>956</v>
      </c>
      <c r="C554" s="399" t="s">
        <v>2343</v>
      </c>
      <c r="D554" s="399" t="s">
        <v>1826</v>
      </c>
      <c r="E554" s="399" t="s">
        <v>921</v>
      </c>
      <c r="F554" s="399" t="s">
        <v>2358</v>
      </c>
      <c r="G554" s="399" t="s">
        <v>1239</v>
      </c>
      <c r="H554" s="399" t="s">
        <v>1239</v>
      </c>
      <c r="I554" s="399" t="s">
        <v>1239</v>
      </c>
      <c r="J554" s="399" t="s">
        <v>2344</v>
      </c>
      <c r="K554" s="791">
        <v>44774</v>
      </c>
      <c r="L554" s="399">
        <v>0</v>
      </c>
      <c r="M554" s="399">
        <v>0</v>
      </c>
      <c r="N554" s="399">
        <v>35.835999999999999</v>
      </c>
      <c r="O554" s="399">
        <v>33.685839999999999</v>
      </c>
      <c r="P554" s="399">
        <v>35.835999999999999</v>
      </c>
      <c r="Q554" s="399">
        <v>33.685839999999999</v>
      </c>
      <c r="R554" s="399"/>
      <c r="S554" s="399">
        <v>239.69</v>
      </c>
      <c r="T554" s="399">
        <v>171.61</v>
      </c>
      <c r="U554" s="399"/>
      <c r="V554" s="399">
        <v>14739.346799999999</v>
      </c>
      <c r="W554" s="399">
        <v>14739.346799999999</v>
      </c>
      <c r="X554" s="399">
        <v>14685.234439999998</v>
      </c>
      <c r="Y554" s="399">
        <v>0</v>
      </c>
      <c r="Z554" s="399">
        <v>2166.547778210519</v>
      </c>
      <c r="AA554" s="399">
        <v>0</v>
      </c>
      <c r="AB554" s="399">
        <v>0</v>
      </c>
      <c r="AC554" s="399">
        <v>0</v>
      </c>
      <c r="AD554" s="399">
        <v>1911.3486461601126</v>
      </c>
      <c r="AE554" s="399">
        <v>3175.5973298202421</v>
      </c>
      <c r="AF554" s="399">
        <v>5926.350823919196</v>
      </c>
      <c r="AG554" s="399">
        <v>223.45025153963911</v>
      </c>
      <c r="AH554" s="399">
        <v>0</v>
      </c>
      <c r="AI554" s="399">
        <v>0</v>
      </c>
      <c r="AJ554" s="399">
        <v>0</v>
      </c>
      <c r="AK554" s="399">
        <v>0</v>
      </c>
      <c r="AL554" s="399">
        <v>334.99889781928374</v>
      </c>
      <c r="AM554" s="399"/>
      <c r="AN554" s="399">
        <v>14.192906801029965</v>
      </c>
      <c r="AO554" s="399">
        <v>0</v>
      </c>
      <c r="AP554" s="399">
        <v>0</v>
      </c>
      <c r="AQ554" s="399">
        <v>0</v>
      </c>
      <c r="AR554" s="399">
        <v>0</v>
      </c>
      <c r="AS554" s="399">
        <v>0</v>
      </c>
      <c r="AT554" s="399">
        <v>0</v>
      </c>
      <c r="AU554" s="399">
        <v>0</v>
      </c>
      <c r="AV554" s="399">
        <v>0</v>
      </c>
      <c r="AW554" s="399">
        <v>0</v>
      </c>
      <c r="AX554" s="399">
        <v>0</v>
      </c>
      <c r="AY554" s="399">
        <v>0</v>
      </c>
      <c r="AZ554" s="399">
        <v>0</v>
      </c>
      <c r="BA554" s="399"/>
      <c r="BB554" s="399">
        <v>0</v>
      </c>
      <c r="BC554" s="399">
        <v>0</v>
      </c>
      <c r="BD554" s="399">
        <v>0</v>
      </c>
      <c r="BE554" s="399">
        <v>0</v>
      </c>
      <c r="BF554" s="399">
        <v>0</v>
      </c>
      <c r="BG554" s="399">
        <v>573.73123949615342</v>
      </c>
      <c r="BH554" s="399">
        <v>0</v>
      </c>
      <c r="BI554" s="399">
        <v>0</v>
      </c>
      <c r="BJ554" s="399">
        <v>0</v>
      </c>
      <c r="BK554" s="399">
        <v>3007.8</v>
      </c>
      <c r="BL554" s="399">
        <v>40</v>
      </c>
      <c r="BM554" s="399"/>
      <c r="BN554" s="399"/>
      <c r="BO554" s="399"/>
      <c r="BP554" s="399"/>
      <c r="BQ554" s="399">
        <v>881.11406639999984</v>
      </c>
      <c r="BR554" s="399"/>
      <c r="BS554" s="399"/>
      <c r="BT554" s="399"/>
      <c r="BU554" s="399"/>
      <c r="BV554" s="399">
        <v>6500.0820634153497</v>
      </c>
      <c r="BW554" s="399"/>
      <c r="BX554" s="399"/>
      <c r="BY554" s="399"/>
      <c r="BZ554" s="399"/>
      <c r="CA554" s="399"/>
      <c r="CB554" s="399"/>
      <c r="CC554" s="399"/>
      <c r="CD554" s="399"/>
      <c r="CE554" s="399"/>
      <c r="CF554" s="399"/>
      <c r="CG554" s="399"/>
      <c r="CH554" s="399"/>
      <c r="CI554" s="399">
        <v>13805.825099999998</v>
      </c>
      <c r="CJ554" s="399">
        <v>-49.19089200000235</v>
      </c>
      <c r="CK554" s="399"/>
      <c r="CL554" s="399"/>
      <c r="CM554" s="399"/>
      <c r="CN554" s="399"/>
      <c r="CO554" s="399">
        <v>-860.78072000000031</v>
      </c>
      <c r="CP554" s="399">
        <v>806.66835999999967</v>
      </c>
      <c r="CQ554" s="399">
        <v>31</v>
      </c>
      <c r="CR554" s="399">
        <v>632.63595484360303</v>
      </c>
      <c r="CS554" s="399">
        <v>0</v>
      </c>
      <c r="CT554" s="399">
        <v>0</v>
      </c>
      <c r="CU554" s="399">
        <v>0</v>
      </c>
      <c r="CV554" s="399">
        <v>0</v>
      </c>
      <c r="CW554" s="399">
        <v>0</v>
      </c>
      <c r="CX554" s="399">
        <v>0</v>
      </c>
      <c r="CY554" s="399">
        <v>0</v>
      </c>
      <c r="CZ554" s="399">
        <v>86.073046994180459</v>
      </c>
      <c r="DA554" s="399">
        <v>0</v>
      </c>
      <c r="DB554" s="399">
        <v>0</v>
      </c>
      <c r="DC554" s="399">
        <v>806.85996256538238</v>
      </c>
      <c r="DD554" s="399">
        <v>0</v>
      </c>
      <c r="DE554" s="399">
        <v>0</v>
      </c>
      <c r="DF554" s="399">
        <v>0</v>
      </c>
      <c r="DG554" s="399">
        <v>78.112278563407358</v>
      </c>
      <c r="DH554" s="399">
        <v>0</v>
      </c>
      <c r="DI554" s="399">
        <v>-297.58130297752291</v>
      </c>
      <c r="DJ554" s="399"/>
      <c r="DK554" s="399">
        <v>0</v>
      </c>
      <c r="DL554" s="399">
        <v>0</v>
      </c>
      <c r="DM554" s="399">
        <v>0</v>
      </c>
      <c r="DN554" s="399">
        <v>0</v>
      </c>
      <c r="DO554" s="399">
        <v>-38.606482758350069</v>
      </c>
      <c r="DP554" s="399">
        <v>-2.2215475434909848</v>
      </c>
      <c r="DQ554" s="399">
        <v>0</v>
      </c>
      <c r="DR554" s="399">
        <v>0</v>
      </c>
      <c r="DS554" s="399"/>
      <c r="DT554" s="399"/>
      <c r="DU554" s="399"/>
      <c r="DV554" s="399">
        <v>3175.5973298202421</v>
      </c>
      <c r="DW554" s="399">
        <v>0</v>
      </c>
      <c r="DX554" s="399">
        <v>0</v>
      </c>
      <c r="DY554" s="399">
        <v>-860.78072000000066</v>
      </c>
      <c r="DZ554" s="399">
        <v>806.66835999999967</v>
      </c>
      <c r="EA554" s="399">
        <v>0</v>
      </c>
      <c r="EB554" s="399">
        <v>0</v>
      </c>
      <c r="EC554" s="399">
        <v>-686.54700851250118</v>
      </c>
      <c r="ED554" s="399">
        <v>0</v>
      </c>
      <c r="EE554" s="399">
        <v>0</v>
      </c>
      <c r="EF554" s="399">
        <v>0</v>
      </c>
      <c r="EG554" s="399">
        <v>0</v>
      </c>
      <c r="EH554" s="399">
        <v>0</v>
      </c>
      <c r="EI554" s="399">
        <v>0</v>
      </c>
      <c r="EJ554" s="399">
        <v>0</v>
      </c>
      <c r="EK554" s="399">
        <v>0</v>
      </c>
      <c r="EL554" s="399">
        <v>0</v>
      </c>
      <c r="EM554" s="399">
        <v>0</v>
      </c>
      <c r="EN554" s="399">
        <v>0</v>
      </c>
      <c r="EO554" s="399">
        <v>0</v>
      </c>
      <c r="EP554" s="399">
        <v>413.15312202962963</v>
      </c>
      <c r="EQ554" s="399">
        <v>0</v>
      </c>
      <c r="ER554" s="399">
        <v>0</v>
      </c>
      <c r="ES554" s="399">
        <v>0</v>
      </c>
      <c r="ET554" s="399">
        <v>0</v>
      </c>
      <c r="EU554" s="399">
        <v>0</v>
      </c>
      <c r="EV554" s="399">
        <v>215</v>
      </c>
      <c r="EW554" s="399">
        <v>0</v>
      </c>
      <c r="EX554" s="399">
        <v>0</v>
      </c>
      <c r="EY554" s="399">
        <v>0</v>
      </c>
      <c r="EZ554" s="399"/>
      <c r="FA554" s="399">
        <v>0</v>
      </c>
      <c r="FB554" s="399"/>
      <c r="FC554" s="399"/>
      <c r="FD554" s="399"/>
      <c r="FE554" s="399"/>
      <c r="FF554" s="399">
        <v>0</v>
      </c>
      <c r="FG554" s="399">
        <v>0</v>
      </c>
      <c r="FH554" s="399">
        <v>0</v>
      </c>
      <c r="FI554" s="399">
        <v>0</v>
      </c>
    </row>
    <row r="555" spans="1:165">
      <c r="A555" s="399">
        <v>559</v>
      </c>
      <c r="B555" s="399" t="s">
        <v>956</v>
      </c>
      <c r="C555" s="399" t="s">
        <v>2343</v>
      </c>
      <c r="D555" s="399" t="s">
        <v>1826</v>
      </c>
      <c r="E555" s="399" t="s">
        <v>2359</v>
      </c>
      <c r="F555" s="399" t="s">
        <v>1239</v>
      </c>
      <c r="G555" s="399" t="s">
        <v>1239</v>
      </c>
      <c r="H555" s="399" t="s">
        <v>1239</v>
      </c>
      <c r="I555" s="399" t="s">
        <v>1239</v>
      </c>
      <c r="J555" s="399" t="s">
        <v>2344</v>
      </c>
      <c r="K555" s="791">
        <v>44774</v>
      </c>
      <c r="L555" s="399">
        <v>0</v>
      </c>
      <c r="M555" s="399">
        <v>0</v>
      </c>
      <c r="N555" s="399">
        <v>8.7430000000000003</v>
      </c>
      <c r="O555" s="399">
        <v>8.7430000000000003</v>
      </c>
      <c r="P555" s="399">
        <v>8.7430000000000003</v>
      </c>
      <c r="Q555" s="399">
        <v>8.7430000000000003</v>
      </c>
      <c r="R555" s="399"/>
      <c r="S555" s="399">
        <v>239.69</v>
      </c>
      <c r="T555" s="399">
        <v>171.61</v>
      </c>
      <c r="U555" s="399"/>
      <c r="V555" s="399">
        <v>3595.9959000000003</v>
      </c>
      <c r="W555" s="399">
        <v>3595.9959000000003</v>
      </c>
      <c r="X555" s="399">
        <v>3582.7939699999997</v>
      </c>
      <c r="Y555" s="399">
        <v>0</v>
      </c>
      <c r="Z555" s="399">
        <v>528.57816790084189</v>
      </c>
      <c r="AA555" s="399">
        <v>0</v>
      </c>
      <c r="AB555" s="399">
        <v>0</v>
      </c>
      <c r="AC555" s="399">
        <v>0</v>
      </c>
      <c r="AD555" s="399">
        <v>466.31658704592775</v>
      </c>
      <c r="AE555" s="399">
        <v>774.75855158551121</v>
      </c>
      <c r="AF555" s="399">
        <v>1445.8668727962256</v>
      </c>
      <c r="AG555" s="399">
        <v>54.515725784436455</v>
      </c>
      <c r="AH555" s="399">
        <v>0</v>
      </c>
      <c r="AI555" s="399">
        <v>0</v>
      </c>
      <c r="AJ555" s="399">
        <v>0</v>
      </c>
      <c r="AK555" s="399">
        <v>0</v>
      </c>
      <c r="AL555" s="399">
        <v>81.730532526900276</v>
      </c>
      <c r="AM555" s="399"/>
      <c r="AN555" s="399">
        <v>3.4626795446312366</v>
      </c>
      <c r="AO555" s="399">
        <v>0</v>
      </c>
      <c r="AP555" s="399">
        <v>0</v>
      </c>
      <c r="AQ555" s="399">
        <v>0</v>
      </c>
      <c r="AR555" s="399">
        <v>0</v>
      </c>
      <c r="AS555" s="399">
        <v>0</v>
      </c>
      <c r="AT555" s="399">
        <v>0</v>
      </c>
      <c r="AU555" s="399">
        <v>0</v>
      </c>
      <c r="AV555" s="399">
        <v>0</v>
      </c>
      <c r="AW555" s="399">
        <v>0</v>
      </c>
      <c r="AX555" s="399">
        <v>0</v>
      </c>
      <c r="AY555" s="399">
        <v>0</v>
      </c>
      <c r="AZ555" s="399">
        <v>0</v>
      </c>
      <c r="BA555" s="399"/>
      <c r="BB555" s="399">
        <v>0</v>
      </c>
      <c r="BC555" s="399">
        <v>0</v>
      </c>
      <c r="BD555" s="399">
        <v>0</v>
      </c>
      <c r="BE555" s="399">
        <v>0</v>
      </c>
      <c r="BF555" s="399">
        <v>0</v>
      </c>
      <c r="BG555" s="399">
        <v>139.97466868274557</v>
      </c>
      <c r="BH555" s="399">
        <v>0</v>
      </c>
      <c r="BI555" s="399">
        <v>0</v>
      </c>
      <c r="BJ555" s="399">
        <v>0</v>
      </c>
      <c r="BK555" s="399">
        <v>733.82</v>
      </c>
      <c r="BL555" s="399">
        <v>4</v>
      </c>
      <c r="BM555" s="399"/>
      <c r="BN555" s="399"/>
      <c r="BO555" s="399"/>
      <c r="BP555" s="399"/>
      <c r="BQ555" s="399"/>
      <c r="BR555" s="399"/>
      <c r="BS555" s="399"/>
      <c r="BT555" s="399"/>
      <c r="BU555" s="399"/>
      <c r="BV555" s="399">
        <v>1585.8415414789711</v>
      </c>
      <c r="BW555" s="399"/>
      <c r="BX555" s="399"/>
      <c r="BY555" s="399"/>
      <c r="BZ555" s="399"/>
      <c r="CA555" s="399"/>
      <c r="CB555" s="399"/>
      <c r="CC555" s="399"/>
      <c r="CD555" s="399"/>
      <c r="CE555" s="399"/>
      <c r="CF555" s="399"/>
      <c r="CG555" s="399"/>
      <c r="CH555" s="399"/>
      <c r="CI555" s="399">
        <v>3581.5645999999997</v>
      </c>
      <c r="CJ555" s="399">
        <v>-14.461300000001302</v>
      </c>
      <c r="CK555" s="399"/>
      <c r="CL555" s="399"/>
      <c r="CM555" s="399"/>
      <c r="CN555" s="399"/>
      <c r="CO555" s="399">
        <v>-210.0068600000001</v>
      </c>
      <c r="CP555" s="399">
        <v>196.80492999999993</v>
      </c>
      <c r="CQ555" s="399">
        <v>31</v>
      </c>
      <c r="CR555" s="399">
        <v>154.3458017970097</v>
      </c>
      <c r="CS555" s="399">
        <v>0</v>
      </c>
      <c r="CT555" s="399">
        <v>0</v>
      </c>
      <c r="CU555" s="399">
        <v>0</v>
      </c>
      <c r="CV555" s="399">
        <v>0</v>
      </c>
      <c r="CW555" s="399">
        <v>0</v>
      </c>
      <c r="CX555" s="399">
        <v>0</v>
      </c>
      <c r="CY555" s="399">
        <v>0</v>
      </c>
      <c r="CZ555" s="399">
        <v>20.99946003655873</v>
      </c>
      <c r="DA555" s="399">
        <v>0</v>
      </c>
      <c r="DB555" s="399">
        <v>0</v>
      </c>
      <c r="DC555" s="399">
        <v>196.85167576484923</v>
      </c>
      <c r="DD555" s="399">
        <v>0</v>
      </c>
      <c r="DE555" s="399">
        <v>0</v>
      </c>
      <c r="DF555" s="399">
        <v>0</v>
      </c>
      <c r="DG555" s="399">
        <v>19.057251129586717</v>
      </c>
      <c r="DH555" s="399">
        <v>0</v>
      </c>
      <c r="DI555" s="399">
        <v>-72.601666813608745</v>
      </c>
      <c r="DJ555" s="399"/>
      <c r="DK555" s="399">
        <v>0</v>
      </c>
      <c r="DL555" s="399">
        <v>0</v>
      </c>
      <c r="DM555" s="399">
        <v>0</v>
      </c>
      <c r="DN555" s="399">
        <v>0</v>
      </c>
      <c r="DO555" s="399">
        <v>-9.4189217199535449</v>
      </c>
      <c r="DP555" s="399">
        <v>-0.5419966004225274</v>
      </c>
      <c r="DQ555" s="399">
        <v>0</v>
      </c>
      <c r="DR555" s="399">
        <v>0</v>
      </c>
      <c r="DS555" s="399"/>
      <c r="DT555" s="399"/>
      <c r="DU555" s="399"/>
      <c r="DV555" s="399">
        <v>774.75855158551121</v>
      </c>
      <c r="DW555" s="399">
        <v>0</v>
      </c>
      <c r="DX555" s="399">
        <v>0</v>
      </c>
      <c r="DY555" s="399">
        <v>-210.00686000000042</v>
      </c>
      <c r="DZ555" s="399">
        <v>196.80493000000001</v>
      </c>
      <c r="EA555" s="399">
        <v>0</v>
      </c>
      <c r="EB555" s="399">
        <v>0</v>
      </c>
      <c r="EC555" s="399">
        <v>-167.49861857977453</v>
      </c>
      <c r="ED555" s="399">
        <v>0</v>
      </c>
      <c r="EE555" s="399">
        <v>0</v>
      </c>
      <c r="EF555" s="399">
        <v>0</v>
      </c>
      <c r="EG555" s="399">
        <v>0</v>
      </c>
      <c r="EH555" s="399">
        <v>0</v>
      </c>
      <c r="EI555" s="399">
        <v>0</v>
      </c>
      <c r="EJ555" s="399">
        <v>0</v>
      </c>
      <c r="EK555" s="399">
        <v>0</v>
      </c>
      <c r="EL555" s="399">
        <v>0</v>
      </c>
      <c r="EM555" s="399">
        <v>0</v>
      </c>
      <c r="EN555" s="399">
        <v>0</v>
      </c>
      <c r="EO555" s="399">
        <v>0</v>
      </c>
      <c r="EP555" s="399">
        <v>100.79801724257875</v>
      </c>
      <c r="EQ555" s="399">
        <v>0</v>
      </c>
      <c r="ER555" s="399">
        <v>0</v>
      </c>
      <c r="ES555" s="399">
        <v>0</v>
      </c>
      <c r="ET555" s="399">
        <v>0</v>
      </c>
      <c r="EU555" s="399">
        <v>0</v>
      </c>
      <c r="EV555" s="399">
        <v>215</v>
      </c>
      <c r="EW555" s="399">
        <v>0</v>
      </c>
      <c r="EX555" s="399">
        <v>0</v>
      </c>
      <c r="EY555" s="399">
        <v>0</v>
      </c>
      <c r="EZ555" s="399"/>
      <c r="FA555" s="399">
        <v>0</v>
      </c>
      <c r="FB555" s="399"/>
      <c r="FC555" s="399"/>
      <c r="FD555" s="399"/>
      <c r="FE555" s="399"/>
      <c r="FF555" s="399">
        <v>0</v>
      </c>
      <c r="FG555" s="399">
        <v>0</v>
      </c>
      <c r="FH555" s="399">
        <v>0</v>
      </c>
      <c r="FI555" s="399">
        <v>0</v>
      </c>
    </row>
    <row r="556" spans="1:165">
      <c r="A556" s="399">
        <v>560</v>
      </c>
      <c r="B556" s="399" t="s">
        <v>956</v>
      </c>
      <c r="C556" s="399" t="s">
        <v>2343</v>
      </c>
      <c r="D556" s="399" t="s">
        <v>2353</v>
      </c>
      <c r="E556" s="399" t="s">
        <v>894</v>
      </c>
      <c r="F556" s="399" t="s">
        <v>2363</v>
      </c>
      <c r="G556" s="399" t="s">
        <v>2361</v>
      </c>
      <c r="H556" s="399" t="s">
        <v>1239</v>
      </c>
      <c r="I556" s="399" t="s">
        <v>1239</v>
      </c>
      <c r="J556" s="399" t="s">
        <v>2344</v>
      </c>
      <c r="K556" s="791">
        <v>44774</v>
      </c>
      <c r="L556" s="399">
        <v>0</v>
      </c>
      <c r="M556" s="399">
        <v>0</v>
      </c>
      <c r="N556" s="399">
        <v>0</v>
      </c>
      <c r="O556" s="399">
        <v>0</v>
      </c>
      <c r="P556" s="399">
        <v>0</v>
      </c>
      <c r="Q556" s="399">
        <v>0</v>
      </c>
      <c r="R556" s="399"/>
      <c r="S556" s="399"/>
      <c r="T556" s="399"/>
      <c r="U556" s="399"/>
      <c r="V556" s="399"/>
      <c r="W556" s="399"/>
      <c r="X556" s="399"/>
      <c r="Y556" s="399"/>
      <c r="Z556" s="399"/>
      <c r="AA556" s="399">
        <v>0</v>
      </c>
      <c r="AB556" s="399"/>
      <c r="AC556" s="399"/>
      <c r="AD556" s="399"/>
      <c r="AE556" s="399"/>
      <c r="AF556" s="399"/>
      <c r="AG556" s="399"/>
      <c r="AH556" s="399"/>
      <c r="AI556" s="399"/>
      <c r="AJ556" s="399"/>
      <c r="AK556" s="399"/>
      <c r="AL556" s="399"/>
      <c r="AM556" s="399"/>
      <c r="AN556" s="399"/>
      <c r="AO556" s="399"/>
      <c r="AP556" s="399"/>
      <c r="AQ556" s="399"/>
      <c r="AR556" s="399"/>
      <c r="AS556" s="399"/>
      <c r="AT556" s="399"/>
      <c r="AU556" s="399"/>
      <c r="AV556" s="399"/>
      <c r="AW556" s="399"/>
      <c r="AX556" s="399"/>
      <c r="AY556" s="399"/>
      <c r="AZ556" s="399">
        <v>0</v>
      </c>
      <c r="BA556" s="399"/>
      <c r="BB556" s="399"/>
      <c r="BC556" s="399"/>
      <c r="BD556" s="399"/>
      <c r="BE556" s="399"/>
      <c r="BF556" s="399"/>
      <c r="BG556" s="399"/>
      <c r="BH556" s="399"/>
      <c r="BI556" s="399">
        <v>0</v>
      </c>
      <c r="BJ556" s="399">
        <v>0</v>
      </c>
      <c r="BK556" s="399">
        <v>5842.16</v>
      </c>
      <c r="BL556" s="399">
        <v>20</v>
      </c>
      <c r="BM556" s="399"/>
      <c r="BN556" s="399"/>
      <c r="BO556" s="399"/>
      <c r="BP556" s="399"/>
      <c r="BQ556" s="399"/>
      <c r="BR556" s="399"/>
      <c r="BS556" s="399"/>
      <c r="BT556" s="399"/>
      <c r="BU556" s="399"/>
      <c r="BV556" s="399"/>
      <c r="BW556" s="399"/>
      <c r="BX556" s="399"/>
      <c r="BY556" s="399"/>
      <c r="BZ556" s="399"/>
      <c r="CA556" s="399"/>
      <c r="CB556" s="399"/>
      <c r="CC556" s="399"/>
      <c r="CD556" s="399"/>
      <c r="CE556" s="399"/>
      <c r="CF556" s="399"/>
      <c r="CG556" s="399"/>
      <c r="CH556" s="399"/>
      <c r="CI556" s="399"/>
      <c r="CJ556" s="399">
        <v>-0.03</v>
      </c>
      <c r="CK556" s="399"/>
      <c r="CL556" s="399"/>
      <c r="CM556" s="399"/>
      <c r="CN556" s="399"/>
      <c r="CO556" s="399">
        <v>0</v>
      </c>
      <c r="CP556" s="399">
        <v>0</v>
      </c>
      <c r="CQ556" s="399">
        <v>31</v>
      </c>
      <c r="CR556" s="399"/>
      <c r="CS556" s="399"/>
      <c r="CT556" s="399"/>
      <c r="CU556" s="399"/>
      <c r="CV556" s="399"/>
      <c r="CW556" s="399"/>
      <c r="CX556" s="399"/>
      <c r="CY556" s="399"/>
      <c r="CZ556" s="399"/>
      <c r="DA556" s="399"/>
      <c r="DB556" s="399"/>
      <c r="DC556" s="399"/>
      <c r="DD556" s="399"/>
      <c r="DE556" s="399"/>
      <c r="DF556" s="399"/>
      <c r="DG556" s="399"/>
      <c r="DH556" s="399"/>
      <c r="DI556" s="399"/>
      <c r="DJ556" s="399"/>
      <c r="DK556" s="399">
        <v>0</v>
      </c>
      <c r="DL556" s="399"/>
      <c r="DM556" s="399"/>
      <c r="DN556" s="399"/>
      <c r="DO556" s="399"/>
      <c r="DP556" s="399"/>
      <c r="DQ556" s="399"/>
      <c r="DR556" s="399"/>
      <c r="DS556" s="399"/>
      <c r="DT556" s="399"/>
      <c r="DU556" s="399"/>
      <c r="DV556" s="399"/>
      <c r="DW556" s="399"/>
      <c r="DX556" s="399"/>
      <c r="DY556" s="399"/>
      <c r="DZ556" s="399"/>
      <c r="EA556" s="399"/>
      <c r="EB556" s="399"/>
      <c r="EC556" s="399"/>
      <c r="ED556" s="399"/>
      <c r="EE556" s="399"/>
      <c r="EF556" s="399"/>
      <c r="EG556" s="399"/>
      <c r="EH556" s="399"/>
      <c r="EI556" s="399"/>
      <c r="EJ556" s="399"/>
      <c r="EK556" s="399"/>
      <c r="EL556" s="399"/>
      <c r="EM556" s="399"/>
      <c r="EN556" s="399"/>
      <c r="EO556" s="399"/>
      <c r="EP556" s="399"/>
      <c r="EQ556" s="399"/>
      <c r="ER556" s="399"/>
      <c r="ES556" s="399"/>
      <c r="ET556" s="399"/>
      <c r="EU556" s="399"/>
      <c r="EV556" s="399">
        <v>215</v>
      </c>
      <c r="EW556" s="399"/>
      <c r="EX556" s="399"/>
      <c r="EY556" s="399"/>
      <c r="EZ556" s="399"/>
      <c r="FA556" s="399">
        <v>0</v>
      </c>
      <c r="FB556" s="399"/>
      <c r="FC556" s="399"/>
      <c r="FD556" s="399"/>
      <c r="FE556" s="399"/>
      <c r="FF556" s="399">
        <v>0</v>
      </c>
      <c r="FG556" s="399">
        <v>0</v>
      </c>
      <c r="FH556" s="399">
        <v>0</v>
      </c>
      <c r="FI556" s="399">
        <v>0</v>
      </c>
    </row>
    <row r="557" spans="1:165">
      <c r="A557" s="399">
        <v>561</v>
      </c>
      <c r="B557" s="399" t="s">
        <v>956</v>
      </c>
      <c r="C557" s="399" t="s">
        <v>2343</v>
      </c>
      <c r="D557" s="399" t="s">
        <v>2353</v>
      </c>
      <c r="E557" s="399" t="s">
        <v>894</v>
      </c>
      <c r="F557" s="399" t="s">
        <v>2363</v>
      </c>
      <c r="G557" s="399" t="s">
        <v>2361</v>
      </c>
      <c r="H557" s="399" t="s">
        <v>1239</v>
      </c>
      <c r="I557" s="399" t="s">
        <v>1239</v>
      </c>
      <c r="J557" s="399" t="s">
        <v>2344</v>
      </c>
      <c r="K557" s="791">
        <v>44774</v>
      </c>
      <c r="L557" s="399">
        <v>0</v>
      </c>
      <c r="M557" s="399">
        <v>0</v>
      </c>
      <c r="N557" s="399">
        <v>26.533999999999999</v>
      </c>
      <c r="O557" s="399">
        <v>26.533999999999999</v>
      </c>
      <c r="P557" s="399">
        <v>26.533999999999999</v>
      </c>
      <c r="Q557" s="399">
        <v>26.533999999999999</v>
      </c>
      <c r="R557" s="399"/>
      <c r="S557" s="399">
        <v>239.69</v>
      </c>
      <c r="T557" s="399">
        <v>171.61</v>
      </c>
      <c r="U557" s="399"/>
      <c r="V557" s="399">
        <v>10913.4342</v>
      </c>
      <c r="W557" s="399">
        <v>10913.4342</v>
      </c>
      <c r="X557" s="399">
        <v>10873.367859999998</v>
      </c>
      <c r="Y557" s="399">
        <v>0</v>
      </c>
      <c r="Z557" s="399">
        <v>1604.1739799932448</v>
      </c>
      <c r="AA557" s="399">
        <v>0</v>
      </c>
      <c r="AB557" s="399">
        <v>0</v>
      </c>
      <c r="AC557" s="399">
        <v>0</v>
      </c>
      <c r="AD557" s="399">
        <v>1415.2172390113972</v>
      </c>
      <c r="AE557" s="399">
        <v>2351.303146262147</v>
      </c>
      <c r="AF557" s="399">
        <v>4388.0397578377042</v>
      </c>
      <c r="AG557" s="399">
        <v>165.44896122203326</v>
      </c>
      <c r="AH557" s="399">
        <v>0</v>
      </c>
      <c r="AI557" s="399">
        <v>0</v>
      </c>
      <c r="AJ557" s="399">
        <v>0</v>
      </c>
      <c r="AK557" s="399">
        <v>0</v>
      </c>
      <c r="AL557" s="399">
        <v>248.04277136781101</v>
      </c>
      <c r="AM557" s="399"/>
      <c r="AN557" s="399">
        <v>10.508834386051152</v>
      </c>
      <c r="AO557" s="399">
        <v>0</v>
      </c>
      <c r="AP557" s="399">
        <v>0</v>
      </c>
      <c r="AQ557" s="399">
        <v>0</v>
      </c>
      <c r="AR557" s="399">
        <v>0</v>
      </c>
      <c r="AS557" s="399">
        <v>0</v>
      </c>
      <c r="AT557" s="399">
        <v>0</v>
      </c>
      <c r="AU557" s="399">
        <v>0</v>
      </c>
      <c r="AV557" s="399">
        <v>0</v>
      </c>
      <c r="AW557" s="399">
        <v>0</v>
      </c>
      <c r="AX557" s="399">
        <v>0</v>
      </c>
      <c r="AY557" s="399">
        <v>0</v>
      </c>
      <c r="AZ557" s="399">
        <v>0</v>
      </c>
      <c r="BA557" s="399"/>
      <c r="BB557" s="399">
        <v>0</v>
      </c>
      <c r="BC557" s="399">
        <v>0</v>
      </c>
      <c r="BD557" s="399">
        <v>0</v>
      </c>
      <c r="BE557" s="399">
        <v>0</v>
      </c>
      <c r="BF557" s="399">
        <v>0</v>
      </c>
      <c r="BG557" s="399">
        <v>424.80702948964552</v>
      </c>
      <c r="BH557" s="399">
        <v>0</v>
      </c>
      <c r="BI557" s="399">
        <v>0</v>
      </c>
      <c r="BJ557" s="399">
        <v>0</v>
      </c>
      <c r="BK557" s="399">
        <v>0</v>
      </c>
      <c r="BL557" s="399">
        <v>0</v>
      </c>
      <c r="BM557" s="399"/>
      <c r="BN557" s="399"/>
      <c r="BO557" s="399"/>
      <c r="BP557" s="399"/>
      <c r="BQ557" s="399"/>
      <c r="BR557" s="399">
        <v>1304.6767799999998</v>
      </c>
      <c r="BS557" s="399"/>
      <c r="BT557" s="399"/>
      <c r="BU557" s="399"/>
      <c r="BV557" s="399">
        <v>4812.8467873273494</v>
      </c>
      <c r="BW557" s="399"/>
      <c r="BX557" s="399"/>
      <c r="BY557" s="399"/>
      <c r="BZ557" s="399"/>
      <c r="CA557" s="399"/>
      <c r="CB557" s="399"/>
      <c r="CC557" s="399"/>
      <c r="CD557" s="399"/>
      <c r="CE557" s="399"/>
      <c r="CF557" s="399"/>
      <c r="CG557" s="399"/>
      <c r="CH557" s="399"/>
      <c r="CI557" s="399">
        <v>9567.2486000000008</v>
      </c>
      <c r="CJ557" s="399">
        <v>-36.762699999999313</v>
      </c>
      <c r="CK557" s="399"/>
      <c r="CL557" s="399"/>
      <c r="CM557" s="399"/>
      <c r="CN557" s="399"/>
      <c r="CO557" s="399">
        <v>-637.34668000000022</v>
      </c>
      <c r="CP557" s="399">
        <v>597.28033999999968</v>
      </c>
      <c r="CQ557" s="399">
        <v>31</v>
      </c>
      <c r="CR557" s="399">
        <v>468.42176654258947</v>
      </c>
      <c r="CS557" s="399">
        <v>0</v>
      </c>
      <c r="CT557" s="399">
        <v>0</v>
      </c>
      <c r="CU557" s="399">
        <v>0</v>
      </c>
      <c r="CV557" s="399">
        <v>0</v>
      </c>
      <c r="CW557" s="399">
        <v>0</v>
      </c>
      <c r="CX557" s="399">
        <v>0</v>
      </c>
      <c r="CY557" s="399">
        <v>0</v>
      </c>
      <c r="CZ557" s="399">
        <v>63.730947341879073</v>
      </c>
      <c r="DA557" s="399">
        <v>0</v>
      </c>
      <c r="DB557" s="399">
        <v>0</v>
      </c>
      <c r="DC557" s="399">
        <v>597.42220802293377</v>
      </c>
      <c r="DD557" s="399">
        <v>0</v>
      </c>
      <c r="DE557" s="399">
        <v>0</v>
      </c>
      <c r="DF557" s="399">
        <v>0</v>
      </c>
      <c r="DG557" s="399">
        <v>57.836566564389102</v>
      </c>
      <c r="DH557" s="399">
        <v>0</v>
      </c>
      <c r="DI557" s="399">
        <v>-220.33771328288867</v>
      </c>
      <c r="DJ557" s="399"/>
      <c r="DK557" s="399">
        <v>0</v>
      </c>
      <c r="DL557" s="399">
        <v>0</v>
      </c>
      <c r="DM557" s="399">
        <v>0</v>
      </c>
      <c r="DN557" s="399">
        <v>0</v>
      </c>
      <c r="DO557" s="399">
        <v>-28.585344723464175</v>
      </c>
      <c r="DP557" s="399">
        <v>-1.6448973802597884</v>
      </c>
      <c r="DQ557" s="399">
        <v>0</v>
      </c>
      <c r="DR557" s="399">
        <v>0</v>
      </c>
      <c r="DS557" s="399"/>
      <c r="DT557" s="399"/>
      <c r="DU557" s="399"/>
      <c r="DV557" s="399">
        <v>2351.303146262147</v>
      </c>
      <c r="DW557" s="399">
        <v>0</v>
      </c>
      <c r="DX557" s="399">
        <v>0</v>
      </c>
      <c r="DY557" s="399">
        <v>-637.34667999999965</v>
      </c>
      <c r="DZ557" s="399">
        <v>597.28033999999934</v>
      </c>
      <c r="EA557" s="399">
        <v>0</v>
      </c>
      <c r="EB557" s="399">
        <v>0</v>
      </c>
      <c r="EC557" s="399">
        <v>-508.33905357380036</v>
      </c>
      <c r="ED557" s="399">
        <v>0</v>
      </c>
      <c r="EE557" s="399">
        <v>0</v>
      </c>
      <c r="EF557" s="399">
        <v>0</v>
      </c>
      <c r="EG557" s="399">
        <v>0</v>
      </c>
      <c r="EH557" s="399">
        <v>0</v>
      </c>
      <c r="EI557" s="399">
        <v>0</v>
      </c>
      <c r="EJ557" s="399">
        <v>0</v>
      </c>
      <c r="EK557" s="399">
        <v>0</v>
      </c>
      <c r="EL557" s="399">
        <v>0</v>
      </c>
      <c r="EM557" s="399">
        <v>0</v>
      </c>
      <c r="EN557" s="399">
        <v>0</v>
      </c>
      <c r="EO557" s="399">
        <v>0</v>
      </c>
      <c r="EP557" s="399">
        <v>305.91039568964709</v>
      </c>
      <c r="EQ557" s="399">
        <v>0</v>
      </c>
      <c r="ER557" s="399">
        <v>0</v>
      </c>
      <c r="ES557" s="399">
        <v>0</v>
      </c>
      <c r="ET557" s="399">
        <v>0</v>
      </c>
      <c r="EU557" s="399">
        <v>0</v>
      </c>
      <c r="EV557" s="399">
        <v>215</v>
      </c>
      <c r="EW557" s="399">
        <v>0</v>
      </c>
      <c r="EX557" s="399">
        <v>0</v>
      </c>
      <c r="EY557" s="399">
        <v>0</v>
      </c>
      <c r="EZ557" s="399"/>
      <c r="FA557" s="399">
        <v>0</v>
      </c>
      <c r="FB557" s="399"/>
      <c r="FC557" s="399"/>
      <c r="FD557" s="399"/>
      <c r="FE557" s="399"/>
      <c r="FF557" s="399">
        <v>0</v>
      </c>
      <c r="FG557" s="399">
        <v>0</v>
      </c>
      <c r="FH557" s="399">
        <v>0</v>
      </c>
      <c r="FI557" s="399">
        <v>0</v>
      </c>
    </row>
    <row r="558" spans="1:165">
      <c r="A558" s="399">
        <v>562</v>
      </c>
      <c r="B558" s="399" t="s">
        <v>956</v>
      </c>
      <c r="C558" s="399" t="s">
        <v>2343</v>
      </c>
      <c r="D558" s="399" t="s">
        <v>2353</v>
      </c>
      <c r="E558" s="399" t="s">
        <v>894</v>
      </c>
      <c r="F558" s="399" t="s">
        <v>2363</v>
      </c>
      <c r="G558" s="399" t="s">
        <v>2362</v>
      </c>
      <c r="H558" s="399" t="s">
        <v>1239</v>
      </c>
      <c r="I558" s="399" t="s">
        <v>1239</v>
      </c>
      <c r="J558" s="399" t="s">
        <v>2344</v>
      </c>
      <c r="K558" s="791">
        <v>44774</v>
      </c>
      <c r="L558" s="399">
        <v>0</v>
      </c>
      <c r="M558" s="399">
        <v>0</v>
      </c>
      <c r="N558" s="399">
        <v>45.037999999999997</v>
      </c>
      <c r="O558" s="399">
        <v>18.0152</v>
      </c>
      <c r="P558" s="399">
        <v>45.037999999999997</v>
      </c>
      <c r="Q558" s="399">
        <v>18.0152</v>
      </c>
      <c r="R558" s="399"/>
      <c r="S558" s="399">
        <v>239.69</v>
      </c>
      <c r="T558" s="399">
        <v>171.61</v>
      </c>
      <c r="U558" s="399"/>
      <c r="V558" s="399">
        <v>18524.129399999998</v>
      </c>
      <c r="W558" s="399">
        <v>18524.129399999998</v>
      </c>
      <c r="X558" s="399">
        <v>18456.122019999999</v>
      </c>
      <c r="Y558" s="399">
        <v>0</v>
      </c>
      <c r="Z558" s="399">
        <v>2722.8758464964103</v>
      </c>
      <c r="AA558" s="399">
        <v>0</v>
      </c>
      <c r="AB558" s="399">
        <v>0</v>
      </c>
      <c r="AC558" s="399">
        <v>0</v>
      </c>
      <c r="AD558" s="399">
        <v>2402.1464540060038</v>
      </c>
      <c r="AE558" s="399">
        <v>3991.0300407535456</v>
      </c>
      <c r="AF558" s="399">
        <v>7448.1244672305156</v>
      </c>
      <c r="AG558" s="399">
        <v>280.82800616258135</v>
      </c>
      <c r="AH558" s="399">
        <v>0</v>
      </c>
      <c r="AI558" s="399">
        <v>0</v>
      </c>
      <c r="AJ558" s="399">
        <v>0</v>
      </c>
      <c r="AK558" s="399">
        <v>0</v>
      </c>
      <c r="AL558" s="399">
        <v>421.02021319301548</v>
      </c>
      <c r="AM558" s="399"/>
      <c r="AN558" s="399">
        <v>17.837374051366993</v>
      </c>
      <c r="AO558" s="399">
        <v>0</v>
      </c>
      <c r="AP558" s="399">
        <v>0</v>
      </c>
      <c r="AQ558" s="399">
        <v>0</v>
      </c>
      <c r="AR558" s="399">
        <v>0</v>
      </c>
      <c r="AS558" s="399">
        <v>0</v>
      </c>
      <c r="AT558" s="399">
        <v>0</v>
      </c>
      <c r="AU558" s="399">
        <v>0</v>
      </c>
      <c r="AV558" s="399">
        <v>0</v>
      </c>
      <c r="AW558" s="399">
        <v>0</v>
      </c>
      <c r="AX558" s="399">
        <v>0</v>
      </c>
      <c r="AY558" s="399">
        <v>0</v>
      </c>
      <c r="AZ558" s="399">
        <v>0</v>
      </c>
      <c r="BA558" s="399"/>
      <c r="BB558" s="399">
        <v>0</v>
      </c>
      <c r="BC558" s="399">
        <v>0</v>
      </c>
      <c r="BD558" s="399">
        <v>0</v>
      </c>
      <c r="BE558" s="399">
        <v>0</v>
      </c>
      <c r="BF558" s="399">
        <v>0</v>
      </c>
      <c r="BG558" s="399">
        <v>721.05445821039621</v>
      </c>
      <c r="BH558" s="399">
        <v>0</v>
      </c>
      <c r="BI558" s="399">
        <v>0</v>
      </c>
      <c r="BJ558" s="399">
        <v>0</v>
      </c>
      <c r="BK558" s="399">
        <v>0</v>
      </c>
      <c r="BL558" s="399">
        <v>0</v>
      </c>
      <c r="BM558" s="399"/>
      <c r="BN558" s="399"/>
      <c r="BO558" s="399"/>
      <c r="BP558" s="399"/>
      <c r="BQ558" s="399"/>
      <c r="BR558" s="399"/>
      <c r="BS558" s="399">
        <v>11959.480595999998</v>
      </c>
      <c r="BT558" s="399"/>
      <c r="BU558" s="399"/>
      <c r="BV558" s="399">
        <v>8169.1789254409123</v>
      </c>
      <c r="BW558" s="399"/>
      <c r="BX558" s="399"/>
      <c r="BY558" s="399"/>
      <c r="BZ558" s="399"/>
      <c r="CA558" s="399"/>
      <c r="CB558" s="399"/>
      <c r="CC558" s="399"/>
      <c r="CD558" s="399"/>
      <c r="CE558" s="399"/>
      <c r="CF558" s="399"/>
      <c r="CG558" s="399"/>
      <c r="CH558" s="399"/>
      <c r="CI558" s="399">
        <v>6498.3724000000002</v>
      </c>
      <c r="CJ558" s="399">
        <v>-22.259240000001228</v>
      </c>
      <c r="CK558" s="399"/>
      <c r="CL558" s="399"/>
      <c r="CM558" s="399"/>
      <c r="CN558" s="399"/>
      <c r="CO558" s="399">
        <v>-1081.8127600000005</v>
      </c>
      <c r="CP558" s="399">
        <v>1013.8053799999996</v>
      </c>
      <c r="CQ558" s="399">
        <v>31</v>
      </c>
      <c r="CR558" s="399">
        <v>795.08477883263549</v>
      </c>
      <c r="CS558" s="399">
        <v>0</v>
      </c>
      <c r="CT558" s="399">
        <v>0</v>
      </c>
      <c r="CU558" s="399">
        <v>0</v>
      </c>
      <c r="CV558" s="399">
        <v>0</v>
      </c>
      <c r="CW558" s="399">
        <v>0</v>
      </c>
      <c r="CX558" s="399">
        <v>0</v>
      </c>
      <c r="CY558" s="399">
        <v>0</v>
      </c>
      <c r="CZ558" s="399">
        <v>108.1749606687099</v>
      </c>
      <c r="DA558" s="399">
        <v>0</v>
      </c>
      <c r="DB558" s="399">
        <v>0</v>
      </c>
      <c r="DC558" s="399">
        <v>1014.0461824427866</v>
      </c>
      <c r="DD558" s="399">
        <v>0</v>
      </c>
      <c r="DE558" s="399">
        <v>0</v>
      </c>
      <c r="DF558" s="399">
        <v>0</v>
      </c>
      <c r="DG558" s="399">
        <v>98.17001902943241</v>
      </c>
      <c r="DH558" s="399">
        <v>0</v>
      </c>
      <c r="DI558" s="399">
        <v>-373.99449501902245</v>
      </c>
      <c r="DJ558" s="399"/>
      <c r="DK558" s="399">
        <v>0</v>
      </c>
      <c r="DL558" s="399">
        <v>0</v>
      </c>
      <c r="DM558" s="399">
        <v>0</v>
      </c>
      <c r="DN558" s="399">
        <v>0</v>
      </c>
      <c r="DO558" s="399">
        <v>-48.519889788775913</v>
      </c>
      <c r="DP558" s="399">
        <v>-2.7919985004952288</v>
      </c>
      <c r="DQ558" s="399">
        <v>0</v>
      </c>
      <c r="DR558" s="399">
        <v>0</v>
      </c>
      <c r="DS558" s="399"/>
      <c r="DT558" s="399"/>
      <c r="DU558" s="399"/>
      <c r="DV558" s="399">
        <v>3991.0300407535456</v>
      </c>
      <c r="DW558" s="399">
        <v>0</v>
      </c>
      <c r="DX558" s="399">
        <v>0</v>
      </c>
      <c r="DY558" s="399">
        <v>-1081.8127600000007</v>
      </c>
      <c r="DZ558" s="399">
        <v>1013.8053799999998</v>
      </c>
      <c r="EA558" s="399">
        <v>0</v>
      </c>
      <c r="EB558" s="399">
        <v>0</v>
      </c>
      <c r="EC558" s="399">
        <v>-862.83916088252136</v>
      </c>
      <c r="ED558" s="399">
        <v>0</v>
      </c>
      <c r="EE558" s="399">
        <v>0</v>
      </c>
      <c r="EF558" s="399">
        <v>0</v>
      </c>
      <c r="EG558" s="399">
        <v>0</v>
      </c>
      <c r="EH558" s="399">
        <v>0</v>
      </c>
      <c r="EI558" s="399">
        <v>0</v>
      </c>
      <c r="EJ558" s="399">
        <v>0</v>
      </c>
      <c r="EK558" s="399">
        <v>0</v>
      </c>
      <c r="EL558" s="399">
        <v>0</v>
      </c>
      <c r="EM558" s="399">
        <v>0</v>
      </c>
      <c r="EN558" s="399">
        <v>0</v>
      </c>
      <c r="EO558" s="399">
        <v>0</v>
      </c>
      <c r="EP558" s="399">
        <v>519.24294870996926</v>
      </c>
      <c r="EQ558" s="399">
        <v>0</v>
      </c>
      <c r="ER558" s="399">
        <v>0</v>
      </c>
      <c r="ES558" s="399">
        <v>0</v>
      </c>
      <c r="ET558" s="399">
        <v>0</v>
      </c>
      <c r="EU558" s="399">
        <v>0</v>
      </c>
      <c r="EV558" s="399">
        <v>215</v>
      </c>
      <c r="EW558" s="399">
        <v>0</v>
      </c>
      <c r="EX558" s="399">
        <v>0</v>
      </c>
      <c r="EY558" s="399">
        <v>0</v>
      </c>
      <c r="EZ558" s="399"/>
      <c r="FA558" s="399">
        <v>0</v>
      </c>
      <c r="FB558" s="399"/>
      <c r="FC558" s="399"/>
      <c r="FD558" s="399"/>
      <c r="FE558" s="399"/>
      <c r="FF558" s="399">
        <v>0</v>
      </c>
      <c r="FG558" s="399">
        <v>0</v>
      </c>
      <c r="FH558" s="399">
        <v>0</v>
      </c>
      <c r="FI558" s="399">
        <v>0</v>
      </c>
    </row>
    <row r="559" spans="1:165">
      <c r="A559" s="399">
        <v>563</v>
      </c>
      <c r="B559" s="399" t="s">
        <v>956</v>
      </c>
      <c r="C559" s="399" t="s">
        <v>913</v>
      </c>
      <c r="D559" s="399" t="s">
        <v>533</v>
      </c>
      <c r="E559" s="399" t="s">
        <v>1239</v>
      </c>
      <c r="F559" s="399" t="s">
        <v>1239</v>
      </c>
      <c r="G559" s="399" t="s">
        <v>1239</v>
      </c>
      <c r="H559" s="399" t="s">
        <v>2364</v>
      </c>
      <c r="I559" s="399" t="s">
        <v>1239</v>
      </c>
      <c r="J559" s="399" t="s">
        <v>2365</v>
      </c>
      <c r="K559" s="791">
        <v>44440</v>
      </c>
      <c r="L559" s="399">
        <v>155</v>
      </c>
      <c r="M559" s="399">
        <v>77.5</v>
      </c>
      <c r="N559" s="399">
        <v>0</v>
      </c>
      <c r="O559" s="399">
        <v>0</v>
      </c>
      <c r="P559" s="399">
        <v>0</v>
      </c>
      <c r="Q559" s="399">
        <v>0</v>
      </c>
      <c r="R559" s="399">
        <v>2.7</v>
      </c>
      <c r="S559" s="399"/>
      <c r="T559" s="399"/>
      <c r="U559" s="399">
        <v>418.5</v>
      </c>
      <c r="V559" s="399"/>
      <c r="W559" s="399">
        <v>418.5</v>
      </c>
      <c r="X559" s="399">
        <v>328.6</v>
      </c>
      <c r="Y559" s="399">
        <v>0</v>
      </c>
      <c r="Z559" s="399">
        <v>0</v>
      </c>
      <c r="AA559" s="399">
        <v>0</v>
      </c>
      <c r="AB559" s="399">
        <v>0</v>
      </c>
      <c r="AC559" s="399">
        <v>0</v>
      </c>
      <c r="AD559" s="399">
        <v>0</v>
      </c>
      <c r="AE559" s="399">
        <v>417.2101428152564</v>
      </c>
      <c r="AF559" s="399"/>
      <c r="AG559" s="399"/>
      <c r="AH559" s="399"/>
      <c r="AI559" s="399">
        <v>0</v>
      </c>
      <c r="AJ559" s="399">
        <v>0</v>
      </c>
      <c r="AK559" s="399">
        <v>0</v>
      </c>
      <c r="AL559" s="399">
        <v>0</v>
      </c>
      <c r="AM559" s="399"/>
      <c r="AN559" s="399">
        <v>1.5081603849342737</v>
      </c>
      <c r="AO559" s="399">
        <v>0</v>
      </c>
      <c r="AP559" s="399">
        <v>0</v>
      </c>
      <c r="AQ559" s="399">
        <v>0</v>
      </c>
      <c r="AR559" s="399">
        <v>0</v>
      </c>
      <c r="AS559" s="399"/>
      <c r="AT559" s="399"/>
      <c r="AU559" s="399">
        <v>0</v>
      </c>
      <c r="AV559" s="399">
        <v>0</v>
      </c>
      <c r="AW559" s="399">
        <v>0</v>
      </c>
      <c r="AX559" s="399"/>
      <c r="AY559" s="399"/>
      <c r="AZ559" s="399">
        <v>0</v>
      </c>
      <c r="BA559" s="399"/>
      <c r="BB559" s="399">
        <v>0</v>
      </c>
      <c r="BC559" s="399">
        <v>0</v>
      </c>
      <c r="BD559" s="399">
        <v>0</v>
      </c>
      <c r="BE559" s="399">
        <v>0</v>
      </c>
      <c r="BF559" s="399"/>
      <c r="BG559" s="399">
        <v>0</v>
      </c>
      <c r="BH559" s="399">
        <v>0</v>
      </c>
      <c r="BI559" s="399">
        <v>0</v>
      </c>
      <c r="BJ559" s="399">
        <v>0</v>
      </c>
      <c r="BK559" s="399">
        <v>0</v>
      </c>
      <c r="BL559" s="399">
        <v>0</v>
      </c>
      <c r="BM559" s="399"/>
      <c r="BN559" s="399"/>
      <c r="BO559" s="399">
        <v>164.3</v>
      </c>
      <c r="BP559" s="399"/>
      <c r="BQ559" s="399"/>
      <c r="BR559" s="399"/>
      <c r="BS559" s="399"/>
      <c r="BT559" s="399"/>
      <c r="BU559" s="399"/>
      <c r="BV559" s="399">
        <v>0</v>
      </c>
      <c r="BW559" s="399"/>
      <c r="BX559" s="399"/>
      <c r="BY559" s="399"/>
      <c r="BZ559" s="399"/>
      <c r="CA559" s="399"/>
      <c r="CB559" s="399"/>
      <c r="CC559" s="399"/>
      <c r="CD559" s="399"/>
      <c r="CE559" s="399"/>
      <c r="CF559" s="399"/>
      <c r="CG559" s="399"/>
      <c r="CH559" s="399"/>
      <c r="CI559" s="399">
        <v>164.3</v>
      </c>
      <c r="CJ559" s="399">
        <v>-44.979999999999961</v>
      </c>
      <c r="CK559" s="399"/>
      <c r="CL559" s="399"/>
      <c r="CM559" s="399"/>
      <c r="CN559" s="399"/>
      <c r="CO559" s="399">
        <v>-89.9</v>
      </c>
      <c r="CP559" s="399">
        <v>0</v>
      </c>
      <c r="CQ559" s="399">
        <v>30</v>
      </c>
      <c r="CR559" s="399">
        <v>-0.23606510247062551</v>
      </c>
      <c r="CS559" s="399">
        <v>0</v>
      </c>
      <c r="CT559" s="399">
        <v>0</v>
      </c>
      <c r="CU559" s="399">
        <v>0</v>
      </c>
      <c r="CV559" s="399">
        <v>0</v>
      </c>
      <c r="CW559" s="399"/>
      <c r="CX559" s="399"/>
      <c r="CY559" s="399"/>
      <c r="CZ559" s="399">
        <v>0</v>
      </c>
      <c r="DA559" s="399">
        <v>0</v>
      </c>
      <c r="DB559" s="399">
        <v>0</v>
      </c>
      <c r="DC559" s="399"/>
      <c r="DD559" s="399"/>
      <c r="DE559" s="399">
        <v>0</v>
      </c>
      <c r="DF559" s="399">
        <v>0</v>
      </c>
      <c r="DG559" s="399">
        <v>0</v>
      </c>
      <c r="DH559" s="399">
        <v>0</v>
      </c>
      <c r="DI559" s="399">
        <v>0</v>
      </c>
      <c r="DJ559" s="399"/>
      <c r="DK559" s="399">
        <v>0</v>
      </c>
      <c r="DL559" s="399">
        <v>0</v>
      </c>
      <c r="DM559" s="399"/>
      <c r="DN559" s="399">
        <v>0</v>
      </c>
      <c r="DO559" s="399">
        <v>0</v>
      </c>
      <c r="DP559" s="399">
        <v>-0.23606510247062551</v>
      </c>
      <c r="DQ559" s="399">
        <v>0</v>
      </c>
      <c r="DR559" s="399">
        <v>0</v>
      </c>
      <c r="DS559" s="399"/>
      <c r="DT559" s="399"/>
      <c r="DU559" s="399">
        <v>417.2101428152564</v>
      </c>
      <c r="DV559" s="399"/>
      <c r="DW559" s="399">
        <v>0</v>
      </c>
      <c r="DX559" s="399">
        <v>0</v>
      </c>
      <c r="DY559" s="399">
        <v>-89.899999999999977</v>
      </c>
      <c r="DZ559" s="399"/>
      <c r="EA559" s="399">
        <v>0</v>
      </c>
      <c r="EB559" s="399"/>
      <c r="EC559" s="399">
        <v>-90.198581785273632</v>
      </c>
      <c r="ED559" s="399"/>
      <c r="EE559" s="399">
        <v>0</v>
      </c>
      <c r="EF559" s="399">
        <v>0</v>
      </c>
      <c r="EG559" s="399"/>
      <c r="EH559" s="399">
        <v>0</v>
      </c>
      <c r="EI559" s="399">
        <v>0</v>
      </c>
      <c r="EJ559" s="399">
        <v>0</v>
      </c>
      <c r="EK559" s="399">
        <v>0</v>
      </c>
      <c r="EL559" s="399">
        <v>0</v>
      </c>
      <c r="EM559" s="399"/>
      <c r="EN559" s="399"/>
      <c r="EO559" s="399">
        <v>0</v>
      </c>
      <c r="EP559" s="399">
        <v>0</v>
      </c>
      <c r="EQ559" s="399"/>
      <c r="ER559" s="399">
        <v>0</v>
      </c>
      <c r="ES559" s="399"/>
      <c r="ET559" s="399">
        <v>0</v>
      </c>
      <c r="EU559" s="399"/>
      <c r="EV559" s="399">
        <v>215</v>
      </c>
      <c r="EW559" s="399"/>
      <c r="EX559" s="399"/>
      <c r="EY559" s="399"/>
      <c r="EZ559" s="399"/>
      <c r="FA559" s="399">
        <v>0</v>
      </c>
      <c r="FB559" s="399"/>
      <c r="FC559" s="399"/>
      <c r="FD559" s="399"/>
      <c r="FE559" s="399"/>
      <c r="FF559" s="399">
        <v>0</v>
      </c>
      <c r="FG559" s="399">
        <v>0</v>
      </c>
      <c r="FH559" s="399">
        <v>0</v>
      </c>
      <c r="FI559" s="399">
        <v>0</v>
      </c>
    </row>
    <row r="560" spans="1:165">
      <c r="A560" s="399">
        <v>564</v>
      </c>
      <c r="B560" s="399" t="s">
        <v>956</v>
      </c>
      <c r="C560" s="399" t="s">
        <v>913</v>
      </c>
      <c r="D560" s="399" t="s">
        <v>533</v>
      </c>
      <c r="E560" s="399" t="s">
        <v>1239</v>
      </c>
      <c r="F560" s="399" t="s">
        <v>1239</v>
      </c>
      <c r="G560" s="399" t="s">
        <v>1239</v>
      </c>
      <c r="H560" s="399" t="s">
        <v>2366</v>
      </c>
      <c r="I560" s="399" t="s">
        <v>1239</v>
      </c>
      <c r="J560" s="399" t="s">
        <v>2365</v>
      </c>
      <c r="K560" s="791">
        <v>44440</v>
      </c>
      <c r="L560" s="399">
        <v>290</v>
      </c>
      <c r="M560" s="399">
        <v>145</v>
      </c>
      <c r="N560" s="399">
        <v>0</v>
      </c>
      <c r="O560" s="399">
        <v>0</v>
      </c>
      <c r="P560" s="399">
        <v>0</v>
      </c>
      <c r="Q560" s="399">
        <v>0</v>
      </c>
      <c r="R560" s="399">
        <v>2.7</v>
      </c>
      <c r="S560" s="399"/>
      <c r="T560" s="399"/>
      <c r="U560" s="399">
        <v>783</v>
      </c>
      <c r="V560" s="399"/>
      <c r="W560" s="399">
        <v>783</v>
      </c>
      <c r="X560" s="399">
        <v>614.80000000000007</v>
      </c>
      <c r="Y560" s="399">
        <v>0</v>
      </c>
      <c r="Z560" s="399">
        <v>0</v>
      </c>
      <c r="AA560" s="399">
        <v>0</v>
      </c>
      <c r="AB560" s="399">
        <v>0</v>
      </c>
      <c r="AC560" s="399">
        <v>0</v>
      </c>
      <c r="AD560" s="399">
        <v>0</v>
      </c>
      <c r="AE560" s="399">
        <v>780.58671881564101</v>
      </c>
      <c r="AF560" s="399"/>
      <c r="AG560" s="399"/>
      <c r="AH560" s="399"/>
      <c r="AI560" s="399">
        <v>0</v>
      </c>
      <c r="AJ560" s="399">
        <v>0</v>
      </c>
      <c r="AK560" s="399">
        <v>0</v>
      </c>
      <c r="AL560" s="399">
        <v>0</v>
      </c>
      <c r="AM560" s="399"/>
      <c r="AN560" s="399">
        <v>2.8217194298770281</v>
      </c>
      <c r="AO560" s="399">
        <v>0</v>
      </c>
      <c r="AP560" s="399">
        <v>0</v>
      </c>
      <c r="AQ560" s="399">
        <v>0</v>
      </c>
      <c r="AR560" s="399">
        <v>0</v>
      </c>
      <c r="AS560" s="399"/>
      <c r="AT560" s="399"/>
      <c r="AU560" s="399">
        <v>0</v>
      </c>
      <c r="AV560" s="399">
        <v>0</v>
      </c>
      <c r="AW560" s="399">
        <v>0</v>
      </c>
      <c r="AX560" s="399"/>
      <c r="AY560" s="399"/>
      <c r="AZ560" s="399">
        <v>0</v>
      </c>
      <c r="BA560" s="399"/>
      <c r="BB560" s="399">
        <v>0</v>
      </c>
      <c r="BC560" s="399">
        <v>0</v>
      </c>
      <c r="BD560" s="399">
        <v>0</v>
      </c>
      <c r="BE560" s="399">
        <v>0</v>
      </c>
      <c r="BF560" s="399"/>
      <c r="BG560" s="399">
        <v>0</v>
      </c>
      <c r="BH560" s="399">
        <v>0</v>
      </c>
      <c r="BI560" s="399">
        <v>0</v>
      </c>
      <c r="BJ560" s="399">
        <v>0</v>
      </c>
      <c r="BK560" s="399">
        <v>0</v>
      </c>
      <c r="BL560" s="399">
        <v>0</v>
      </c>
      <c r="BM560" s="399"/>
      <c r="BN560" s="399"/>
      <c r="BO560" s="399">
        <v>307.40000000000003</v>
      </c>
      <c r="BP560" s="399"/>
      <c r="BQ560" s="399"/>
      <c r="BR560" s="399"/>
      <c r="BS560" s="399"/>
      <c r="BT560" s="399"/>
      <c r="BU560" s="399"/>
      <c r="BV560" s="399">
        <v>0</v>
      </c>
      <c r="BW560" s="399"/>
      <c r="BX560" s="399"/>
      <c r="BY560" s="399"/>
      <c r="BZ560" s="399"/>
      <c r="CA560" s="399"/>
      <c r="CB560" s="399"/>
      <c r="CC560" s="399"/>
      <c r="CD560" s="399"/>
      <c r="CE560" s="399"/>
      <c r="CF560" s="399"/>
      <c r="CG560" s="399"/>
      <c r="CH560" s="399"/>
      <c r="CI560" s="399">
        <v>307.40000000000003</v>
      </c>
      <c r="CJ560" s="399">
        <v>-84.129999999999939</v>
      </c>
      <c r="CK560" s="399"/>
      <c r="CL560" s="399"/>
      <c r="CM560" s="399"/>
      <c r="CN560" s="399"/>
      <c r="CO560" s="399">
        <v>-168.20000000000002</v>
      </c>
      <c r="CP560" s="399">
        <v>0</v>
      </c>
      <c r="CQ560" s="399">
        <v>30</v>
      </c>
      <c r="CR560" s="399">
        <v>-0.4416701917192345</v>
      </c>
      <c r="CS560" s="399">
        <v>0</v>
      </c>
      <c r="CT560" s="399">
        <v>0</v>
      </c>
      <c r="CU560" s="399">
        <v>0</v>
      </c>
      <c r="CV560" s="399">
        <v>0</v>
      </c>
      <c r="CW560" s="399"/>
      <c r="CX560" s="399"/>
      <c r="CY560" s="399"/>
      <c r="CZ560" s="399">
        <v>0</v>
      </c>
      <c r="DA560" s="399">
        <v>0</v>
      </c>
      <c r="DB560" s="399">
        <v>0</v>
      </c>
      <c r="DC560" s="399"/>
      <c r="DD560" s="399"/>
      <c r="DE560" s="399">
        <v>0</v>
      </c>
      <c r="DF560" s="399">
        <v>0</v>
      </c>
      <c r="DG560" s="399">
        <v>0</v>
      </c>
      <c r="DH560" s="399">
        <v>0</v>
      </c>
      <c r="DI560" s="399">
        <v>0</v>
      </c>
      <c r="DJ560" s="399"/>
      <c r="DK560" s="399">
        <v>0</v>
      </c>
      <c r="DL560" s="399">
        <v>0</v>
      </c>
      <c r="DM560" s="399"/>
      <c r="DN560" s="399">
        <v>0</v>
      </c>
      <c r="DO560" s="399">
        <v>0</v>
      </c>
      <c r="DP560" s="399">
        <v>-0.4416701917192345</v>
      </c>
      <c r="DQ560" s="399">
        <v>0</v>
      </c>
      <c r="DR560" s="399">
        <v>0</v>
      </c>
      <c r="DS560" s="399"/>
      <c r="DT560" s="399"/>
      <c r="DU560" s="399">
        <v>780.58671881564101</v>
      </c>
      <c r="DV560" s="399"/>
      <c r="DW560" s="399">
        <v>0</v>
      </c>
      <c r="DX560" s="399">
        <v>0</v>
      </c>
      <c r="DY560" s="399">
        <v>-168.19999999999993</v>
      </c>
      <c r="DZ560" s="399"/>
      <c r="EA560" s="399">
        <v>0</v>
      </c>
      <c r="EB560" s="399"/>
      <c r="EC560" s="399">
        <v>-168.75863688857646</v>
      </c>
      <c r="ED560" s="399"/>
      <c r="EE560" s="399">
        <v>0</v>
      </c>
      <c r="EF560" s="399">
        <v>0</v>
      </c>
      <c r="EG560" s="399"/>
      <c r="EH560" s="399">
        <v>0</v>
      </c>
      <c r="EI560" s="399">
        <v>0</v>
      </c>
      <c r="EJ560" s="399">
        <v>0</v>
      </c>
      <c r="EK560" s="399">
        <v>0</v>
      </c>
      <c r="EL560" s="399">
        <v>0</v>
      </c>
      <c r="EM560" s="399"/>
      <c r="EN560" s="399"/>
      <c r="EO560" s="399">
        <v>0</v>
      </c>
      <c r="EP560" s="399">
        <v>0</v>
      </c>
      <c r="EQ560" s="399"/>
      <c r="ER560" s="399">
        <v>0</v>
      </c>
      <c r="ES560" s="399"/>
      <c r="ET560" s="399">
        <v>0</v>
      </c>
      <c r="EU560" s="399"/>
      <c r="EV560" s="399">
        <v>215</v>
      </c>
      <c r="EW560" s="399"/>
      <c r="EX560" s="399"/>
      <c r="EY560" s="399"/>
      <c r="EZ560" s="399"/>
      <c r="FA560" s="399">
        <v>0</v>
      </c>
      <c r="FB560" s="399"/>
      <c r="FC560" s="399"/>
      <c r="FD560" s="399"/>
      <c r="FE560" s="399"/>
      <c r="FF560" s="399">
        <v>0</v>
      </c>
      <c r="FG560" s="399">
        <v>0</v>
      </c>
      <c r="FH560" s="399">
        <v>0</v>
      </c>
      <c r="FI560" s="399">
        <v>0</v>
      </c>
    </row>
    <row r="561" spans="1:165">
      <c r="A561" s="399">
        <v>565</v>
      </c>
      <c r="B561" s="399" t="s">
        <v>956</v>
      </c>
      <c r="C561" s="399" t="s">
        <v>913</v>
      </c>
      <c r="D561" s="399" t="s">
        <v>533</v>
      </c>
      <c r="E561" s="399" t="s">
        <v>1239</v>
      </c>
      <c r="F561" s="399" t="s">
        <v>1239</v>
      </c>
      <c r="G561" s="399" t="s">
        <v>1239</v>
      </c>
      <c r="H561" s="399" t="s">
        <v>2364</v>
      </c>
      <c r="I561" s="399" t="s">
        <v>1239</v>
      </c>
      <c r="J561" s="399" t="s">
        <v>2365</v>
      </c>
      <c r="K561" s="791">
        <v>44470</v>
      </c>
      <c r="L561" s="399">
        <v>155</v>
      </c>
      <c r="M561" s="399">
        <v>77.5</v>
      </c>
      <c r="N561" s="399">
        <v>0</v>
      </c>
      <c r="O561" s="399">
        <v>0</v>
      </c>
      <c r="P561" s="399">
        <v>0</v>
      </c>
      <c r="Q561" s="399">
        <v>0</v>
      </c>
      <c r="R561" s="399">
        <v>2.7</v>
      </c>
      <c r="S561" s="399"/>
      <c r="T561" s="399"/>
      <c r="U561" s="399">
        <v>418.5</v>
      </c>
      <c r="V561" s="399"/>
      <c r="W561" s="399">
        <v>418.5</v>
      </c>
      <c r="X561" s="399">
        <v>328.6</v>
      </c>
      <c r="Y561" s="399">
        <v>0</v>
      </c>
      <c r="Z561" s="399">
        <v>0</v>
      </c>
      <c r="AA561" s="399">
        <v>0</v>
      </c>
      <c r="AB561" s="399">
        <v>0</v>
      </c>
      <c r="AC561" s="399">
        <v>0</v>
      </c>
      <c r="AD561" s="399">
        <v>0</v>
      </c>
      <c r="AE561" s="399">
        <v>417.2101428152564</v>
      </c>
      <c r="AF561" s="399"/>
      <c r="AG561" s="399"/>
      <c r="AH561" s="399"/>
      <c r="AI561" s="399">
        <v>0</v>
      </c>
      <c r="AJ561" s="399">
        <v>0</v>
      </c>
      <c r="AK561" s="399">
        <v>0</v>
      </c>
      <c r="AL561" s="399">
        <v>0</v>
      </c>
      <c r="AM561" s="399"/>
      <c r="AN561" s="399">
        <v>1.5081603849342737</v>
      </c>
      <c r="AO561" s="399">
        <v>0</v>
      </c>
      <c r="AP561" s="399">
        <v>0</v>
      </c>
      <c r="AQ561" s="399">
        <v>0</v>
      </c>
      <c r="AR561" s="399">
        <v>0</v>
      </c>
      <c r="AS561" s="399"/>
      <c r="AT561" s="399"/>
      <c r="AU561" s="399">
        <v>0</v>
      </c>
      <c r="AV561" s="399">
        <v>0</v>
      </c>
      <c r="AW561" s="399">
        <v>0</v>
      </c>
      <c r="AX561" s="399"/>
      <c r="AY561" s="399"/>
      <c r="AZ561" s="399">
        <v>0</v>
      </c>
      <c r="BA561" s="399"/>
      <c r="BB561" s="399">
        <v>0</v>
      </c>
      <c r="BC561" s="399">
        <v>0</v>
      </c>
      <c r="BD561" s="399">
        <v>0</v>
      </c>
      <c r="BE561" s="399">
        <v>0</v>
      </c>
      <c r="BF561" s="399"/>
      <c r="BG561" s="399">
        <v>0</v>
      </c>
      <c r="BH561" s="399">
        <v>0</v>
      </c>
      <c r="BI561" s="399">
        <v>0</v>
      </c>
      <c r="BJ561" s="399">
        <v>0</v>
      </c>
      <c r="BK561" s="399">
        <v>0</v>
      </c>
      <c r="BL561" s="399">
        <v>0</v>
      </c>
      <c r="BM561" s="399"/>
      <c r="BN561" s="399"/>
      <c r="BO561" s="399">
        <v>164.3</v>
      </c>
      <c r="BP561" s="399"/>
      <c r="BQ561" s="399"/>
      <c r="BR561" s="399"/>
      <c r="BS561" s="399"/>
      <c r="BT561" s="399"/>
      <c r="BU561" s="399"/>
      <c r="BV561" s="399">
        <v>0</v>
      </c>
      <c r="BW561" s="399"/>
      <c r="BX561" s="399"/>
      <c r="BY561" s="399"/>
      <c r="BZ561" s="399"/>
      <c r="CA561" s="399"/>
      <c r="CB561" s="399"/>
      <c r="CC561" s="399"/>
      <c r="CD561" s="399"/>
      <c r="CE561" s="399"/>
      <c r="CF561" s="399"/>
      <c r="CG561" s="399"/>
      <c r="CH561" s="399"/>
      <c r="CI561" s="399">
        <v>164.3</v>
      </c>
      <c r="CJ561" s="399">
        <v>-44.979999999999961</v>
      </c>
      <c r="CK561" s="399"/>
      <c r="CL561" s="399"/>
      <c r="CM561" s="399"/>
      <c r="CN561" s="399"/>
      <c r="CO561" s="399">
        <v>-89.9</v>
      </c>
      <c r="CP561" s="399">
        <v>0</v>
      </c>
      <c r="CQ561" s="399">
        <v>31</v>
      </c>
      <c r="CR561" s="399">
        <v>-0.23606510247062551</v>
      </c>
      <c r="CS561" s="399">
        <v>0</v>
      </c>
      <c r="CT561" s="399">
        <v>0</v>
      </c>
      <c r="CU561" s="399">
        <v>0</v>
      </c>
      <c r="CV561" s="399">
        <v>0</v>
      </c>
      <c r="CW561" s="399"/>
      <c r="CX561" s="399"/>
      <c r="CY561" s="399"/>
      <c r="CZ561" s="399">
        <v>0</v>
      </c>
      <c r="DA561" s="399">
        <v>0</v>
      </c>
      <c r="DB561" s="399">
        <v>0</v>
      </c>
      <c r="DC561" s="399"/>
      <c r="DD561" s="399"/>
      <c r="DE561" s="399">
        <v>0</v>
      </c>
      <c r="DF561" s="399">
        <v>0</v>
      </c>
      <c r="DG561" s="399">
        <v>0</v>
      </c>
      <c r="DH561" s="399">
        <v>0</v>
      </c>
      <c r="DI561" s="399">
        <v>0</v>
      </c>
      <c r="DJ561" s="399"/>
      <c r="DK561" s="399">
        <v>0</v>
      </c>
      <c r="DL561" s="399">
        <v>0</v>
      </c>
      <c r="DM561" s="399"/>
      <c r="DN561" s="399">
        <v>0</v>
      </c>
      <c r="DO561" s="399">
        <v>0</v>
      </c>
      <c r="DP561" s="399">
        <v>-0.23606510247062551</v>
      </c>
      <c r="DQ561" s="399">
        <v>0</v>
      </c>
      <c r="DR561" s="399">
        <v>0</v>
      </c>
      <c r="DS561" s="399"/>
      <c r="DT561" s="399"/>
      <c r="DU561" s="399">
        <v>417.2101428152564</v>
      </c>
      <c r="DV561" s="399"/>
      <c r="DW561" s="399">
        <v>0</v>
      </c>
      <c r="DX561" s="399">
        <v>0</v>
      </c>
      <c r="DY561" s="399">
        <v>-89.899999999999977</v>
      </c>
      <c r="DZ561" s="399"/>
      <c r="EA561" s="399">
        <v>0</v>
      </c>
      <c r="EB561" s="399"/>
      <c r="EC561" s="399">
        <v>-90.198581785273632</v>
      </c>
      <c r="ED561" s="399"/>
      <c r="EE561" s="399">
        <v>0</v>
      </c>
      <c r="EF561" s="399">
        <v>0</v>
      </c>
      <c r="EG561" s="399"/>
      <c r="EH561" s="399">
        <v>0</v>
      </c>
      <c r="EI561" s="399">
        <v>0</v>
      </c>
      <c r="EJ561" s="399">
        <v>0</v>
      </c>
      <c r="EK561" s="399">
        <v>0</v>
      </c>
      <c r="EL561" s="399">
        <v>0</v>
      </c>
      <c r="EM561" s="399"/>
      <c r="EN561" s="399"/>
      <c r="EO561" s="399">
        <v>0</v>
      </c>
      <c r="EP561" s="399">
        <v>0</v>
      </c>
      <c r="EQ561" s="399"/>
      <c r="ER561" s="399">
        <v>0</v>
      </c>
      <c r="ES561" s="399"/>
      <c r="ET561" s="399">
        <v>0</v>
      </c>
      <c r="EU561" s="399"/>
      <c r="EV561" s="399">
        <v>215</v>
      </c>
      <c r="EW561" s="399"/>
      <c r="EX561" s="399"/>
      <c r="EY561" s="399"/>
      <c r="EZ561" s="399"/>
      <c r="FA561" s="399">
        <v>0</v>
      </c>
      <c r="FB561" s="399"/>
      <c r="FC561" s="399"/>
      <c r="FD561" s="399"/>
      <c r="FE561" s="399"/>
      <c r="FF561" s="399">
        <v>0</v>
      </c>
      <c r="FG561" s="399">
        <v>0</v>
      </c>
      <c r="FH561" s="399">
        <v>0</v>
      </c>
      <c r="FI561" s="399">
        <v>0</v>
      </c>
    </row>
    <row r="562" spans="1:165">
      <c r="A562" s="399">
        <v>566</v>
      </c>
      <c r="B562" s="399" t="s">
        <v>956</v>
      </c>
      <c r="C562" s="399" t="s">
        <v>913</v>
      </c>
      <c r="D562" s="399" t="s">
        <v>533</v>
      </c>
      <c r="E562" s="399" t="s">
        <v>1239</v>
      </c>
      <c r="F562" s="399" t="s">
        <v>1239</v>
      </c>
      <c r="G562" s="399" t="s">
        <v>1239</v>
      </c>
      <c r="H562" s="399" t="s">
        <v>2366</v>
      </c>
      <c r="I562" s="399" t="s">
        <v>1239</v>
      </c>
      <c r="J562" s="399" t="s">
        <v>2365</v>
      </c>
      <c r="K562" s="791">
        <v>44470</v>
      </c>
      <c r="L562" s="399">
        <v>290</v>
      </c>
      <c r="M562" s="399">
        <v>145</v>
      </c>
      <c r="N562" s="399">
        <v>0</v>
      </c>
      <c r="O562" s="399">
        <v>0</v>
      </c>
      <c r="P562" s="399">
        <v>0</v>
      </c>
      <c r="Q562" s="399">
        <v>0</v>
      </c>
      <c r="R562" s="399">
        <v>2.7</v>
      </c>
      <c r="S562" s="399"/>
      <c r="T562" s="399"/>
      <c r="U562" s="399">
        <v>783</v>
      </c>
      <c r="V562" s="399"/>
      <c r="W562" s="399">
        <v>783</v>
      </c>
      <c r="X562" s="399">
        <v>614.80000000000007</v>
      </c>
      <c r="Y562" s="399">
        <v>0</v>
      </c>
      <c r="Z562" s="399">
        <v>0</v>
      </c>
      <c r="AA562" s="399">
        <v>0</v>
      </c>
      <c r="AB562" s="399">
        <v>0</v>
      </c>
      <c r="AC562" s="399">
        <v>0</v>
      </c>
      <c r="AD562" s="399">
        <v>0</v>
      </c>
      <c r="AE562" s="399">
        <v>780.58671881564101</v>
      </c>
      <c r="AF562" s="399"/>
      <c r="AG562" s="399"/>
      <c r="AH562" s="399"/>
      <c r="AI562" s="399">
        <v>0</v>
      </c>
      <c r="AJ562" s="399">
        <v>0</v>
      </c>
      <c r="AK562" s="399">
        <v>0</v>
      </c>
      <c r="AL562" s="399">
        <v>0</v>
      </c>
      <c r="AM562" s="399"/>
      <c r="AN562" s="399">
        <v>2.8217194298770281</v>
      </c>
      <c r="AO562" s="399">
        <v>0</v>
      </c>
      <c r="AP562" s="399">
        <v>0</v>
      </c>
      <c r="AQ562" s="399">
        <v>0</v>
      </c>
      <c r="AR562" s="399">
        <v>0</v>
      </c>
      <c r="AS562" s="399"/>
      <c r="AT562" s="399"/>
      <c r="AU562" s="399">
        <v>0</v>
      </c>
      <c r="AV562" s="399">
        <v>0</v>
      </c>
      <c r="AW562" s="399">
        <v>0</v>
      </c>
      <c r="AX562" s="399"/>
      <c r="AY562" s="399"/>
      <c r="AZ562" s="399">
        <v>0</v>
      </c>
      <c r="BA562" s="399"/>
      <c r="BB562" s="399">
        <v>0</v>
      </c>
      <c r="BC562" s="399">
        <v>0</v>
      </c>
      <c r="BD562" s="399">
        <v>0</v>
      </c>
      <c r="BE562" s="399">
        <v>0</v>
      </c>
      <c r="BF562" s="399"/>
      <c r="BG562" s="399">
        <v>0</v>
      </c>
      <c r="BH562" s="399">
        <v>0</v>
      </c>
      <c r="BI562" s="399">
        <v>0</v>
      </c>
      <c r="BJ562" s="399">
        <v>0</v>
      </c>
      <c r="BK562" s="399">
        <v>0</v>
      </c>
      <c r="BL562" s="399">
        <v>0</v>
      </c>
      <c r="BM562" s="399"/>
      <c r="BN562" s="399"/>
      <c r="BO562" s="399">
        <v>307.40000000000003</v>
      </c>
      <c r="BP562" s="399"/>
      <c r="BQ562" s="399"/>
      <c r="BR562" s="399"/>
      <c r="BS562" s="399"/>
      <c r="BT562" s="399"/>
      <c r="BU562" s="399"/>
      <c r="BV562" s="399">
        <v>0</v>
      </c>
      <c r="BW562" s="399"/>
      <c r="BX562" s="399"/>
      <c r="BY562" s="399"/>
      <c r="BZ562" s="399"/>
      <c r="CA562" s="399"/>
      <c r="CB562" s="399"/>
      <c r="CC562" s="399"/>
      <c r="CD562" s="399"/>
      <c r="CE562" s="399"/>
      <c r="CF562" s="399"/>
      <c r="CG562" s="399"/>
      <c r="CH562" s="399"/>
      <c r="CI562" s="399">
        <v>307.40000000000003</v>
      </c>
      <c r="CJ562" s="399">
        <v>-84.129999999999939</v>
      </c>
      <c r="CK562" s="399"/>
      <c r="CL562" s="399"/>
      <c r="CM562" s="399"/>
      <c r="CN562" s="399"/>
      <c r="CO562" s="399">
        <v>-168.20000000000002</v>
      </c>
      <c r="CP562" s="399">
        <v>0</v>
      </c>
      <c r="CQ562" s="399">
        <v>31</v>
      </c>
      <c r="CR562" s="399">
        <v>-0.4416701917192345</v>
      </c>
      <c r="CS562" s="399">
        <v>0</v>
      </c>
      <c r="CT562" s="399">
        <v>0</v>
      </c>
      <c r="CU562" s="399">
        <v>0</v>
      </c>
      <c r="CV562" s="399">
        <v>0</v>
      </c>
      <c r="CW562" s="399"/>
      <c r="CX562" s="399"/>
      <c r="CY562" s="399"/>
      <c r="CZ562" s="399">
        <v>0</v>
      </c>
      <c r="DA562" s="399">
        <v>0</v>
      </c>
      <c r="DB562" s="399">
        <v>0</v>
      </c>
      <c r="DC562" s="399"/>
      <c r="DD562" s="399"/>
      <c r="DE562" s="399">
        <v>0</v>
      </c>
      <c r="DF562" s="399">
        <v>0</v>
      </c>
      <c r="DG562" s="399">
        <v>0</v>
      </c>
      <c r="DH562" s="399">
        <v>0</v>
      </c>
      <c r="DI562" s="399">
        <v>0</v>
      </c>
      <c r="DJ562" s="399"/>
      <c r="DK562" s="399">
        <v>0</v>
      </c>
      <c r="DL562" s="399">
        <v>0</v>
      </c>
      <c r="DM562" s="399"/>
      <c r="DN562" s="399">
        <v>0</v>
      </c>
      <c r="DO562" s="399">
        <v>0</v>
      </c>
      <c r="DP562" s="399">
        <v>-0.4416701917192345</v>
      </c>
      <c r="DQ562" s="399">
        <v>0</v>
      </c>
      <c r="DR562" s="399">
        <v>0</v>
      </c>
      <c r="DS562" s="399"/>
      <c r="DT562" s="399"/>
      <c r="DU562" s="399">
        <v>780.58671881564101</v>
      </c>
      <c r="DV562" s="399"/>
      <c r="DW562" s="399">
        <v>0</v>
      </c>
      <c r="DX562" s="399">
        <v>0</v>
      </c>
      <c r="DY562" s="399">
        <v>-168.19999999999993</v>
      </c>
      <c r="DZ562" s="399"/>
      <c r="EA562" s="399">
        <v>0</v>
      </c>
      <c r="EB562" s="399"/>
      <c r="EC562" s="399">
        <v>-168.75863688857646</v>
      </c>
      <c r="ED562" s="399"/>
      <c r="EE562" s="399">
        <v>0</v>
      </c>
      <c r="EF562" s="399">
        <v>0</v>
      </c>
      <c r="EG562" s="399"/>
      <c r="EH562" s="399">
        <v>0</v>
      </c>
      <c r="EI562" s="399">
        <v>0</v>
      </c>
      <c r="EJ562" s="399">
        <v>0</v>
      </c>
      <c r="EK562" s="399">
        <v>0</v>
      </c>
      <c r="EL562" s="399">
        <v>0</v>
      </c>
      <c r="EM562" s="399"/>
      <c r="EN562" s="399"/>
      <c r="EO562" s="399">
        <v>0</v>
      </c>
      <c r="EP562" s="399">
        <v>0</v>
      </c>
      <c r="EQ562" s="399"/>
      <c r="ER562" s="399">
        <v>0</v>
      </c>
      <c r="ES562" s="399"/>
      <c r="ET562" s="399">
        <v>0</v>
      </c>
      <c r="EU562" s="399"/>
      <c r="EV562" s="399">
        <v>215</v>
      </c>
      <c r="EW562" s="399"/>
      <c r="EX562" s="399"/>
      <c r="EY562" s="399"/>
      <c r="EZ562" s="399"/>
      <c r="FA562" s="399">
        <v>0</v>
      </c>
      <c r="FB562" s="399"/>
      <c r="FC562" s="399"/>
      <c r="FD562" s="399"/>
      <c r="FE562" s="399"/>
      <c r="FF562" s="399">
        <v>0</v>
      </c>
      <c r="FG562" s="399">
        <v>0</v>
      </c>
      <c r="FH562" s="399">
        <v>0</v>
      </c>
      <c r="FI562" s="399">
        <v>0</v>
      </c>
    </row>
    <row r="563" spans="1:165">
      <c r="A563" s="399">
        <v>567</v>
      </c>
      <c r="B563" s="399" t="s">
        <v>956</v>
      </c>
      <c r="C563" s="399" t="s">
        <v>913</v>
      </c>
      <c r="D563" s="399" t="s">
        <v>533</v>
      </c>
      <c r="E563" s="399" t="s">
        <v>1239</v>
      </c>
      <c r="F563" s="399" t="s">
        <v>1239</v>
      </c>
      <c r="G563" s="399" t="s">
        <v>1239</v>
      </c>
      <c r="H563" s="399" t="s">
        <v>2364</v>
      </c>
      <c r="I563" s="399" t="s">
        <v>1239</v>
      </c>
      <c r="J563" s="399" t="s">
        <v>2365</v>
      </c>
      <c r="K563" s="791">
        <v>44501</v>
      </c>
      <c r="L563" s="399">
        <v>155</v>
      </c>
      <c r="M563" s="399">
        <v>77.5</v>
      </c>
      <c r="N563" s="399">
        <v>0</v>
      </c>
      <c r="O563" s="399">
        <v>0</v>
      </c>
      <c r="P563" s="399">
        <v>0</v>
      </c>
      <c r="Q563" s="399">
        <v>0</v>
      </c>
      <c r="R563" s="399">
        <v>2.7</v>
      </c>
      <c r="S563" s="399"/>
      <c r="T563" s="399"/>
      <c r="U563" s="399">
        <v>418.5</v>
      </c>
      <c r="V563" s="399"/>
      <c r="W563" s="399">
        <v>418.5</v>
      </c>
      <c r="X563" s="399">
        <v>328.6</v>
      </c>
      <c r="Y563" s="399">
        <v>0</v>
      </c>
      <c r="Z563" s="399">
        <v>0</v>
      </c>
      <c r="AA563" s="399">
        <v>0</v>
      </c>
      <c r="AB563" s="399">
        <v>0</v>
      </c>
      <c r="AC563" s="399">
        <v>0</v>
      </c>
      <c r="AD563" s="399">
        <v>0</v>
      </c>
      <c r="AE563" s="399">
        <v>417.2101428152564</v>
      </c>
      <c r="AF563" s="399"/>
      <c r="AG563" s="399"/>
      <c r="AH563" s="399"/>
      <c r="AI563" s="399">
        <v>0</v>
      </c>
      <c r="AJ563" s="399">
        <v>0</v>
      </c>
      <c r="AK563" s="399">
        <v>0</v>
      </c>
      <c r="AL563" s="399">
        <v>0</v>
      </c>
      <c r="AM563" s="399"/>
      <c r="AN563" s="399">
        <v>1.5081603849342737</v>
      </c>
      <c r="AO563" s="399">
        <v>0</v>
      </c>
      <c r="AP563" s="399">
        <v>0</v>
      </c>
      <c r="AQ563" s="399">
        <v>0</v>
      </c>
      <c r="AR563" s="399">
        <v>0</v>
      </c>
      <c r="AS563" s="399"/>
      <c r="AT563" s="399"/>
      <c r="AU563" s="399">
        <v>0</v>
      </c>
      <c r="AV563" s="399">
        <v>0</v>
      </c>
      <c r="AW563" s="399">
        <v>0</v>
      </c>
      <c r="AX563" s="399"/>
      <c r="AY563" s="399"/>
      <c r="AZ563" s="399">
        <v>0</v>
      </c>
      <c r="BA563" s="399"/>
      <c r="BB563" s="399">
        <v>0</v>
      </c>
      <c r="BC563" s="399">
        <v>0</v>
      </c>
      <c r="BD563" s="399">
        <v>0</v>
      </c>
      <c r="BE563" s="399">
        <v>0</v>
      </c>
      <c r="BF563" s="399"/>
      <c r="BG563" s="399">
        <v>0</v>
      </c>
      <c r="BH563" s="399">
        <v>0</v>
      </c>
      <c r="BI563" s="399">
        <v>0</v>
      </c>
      <c r="BJ563" s="399">
        <v>0</v>
      </c>
      <c r="BK563" s="399">
        <v>0</v>
      </c>
      <c r="BL563" s="399">
        <v>0</v>
      </c>
      <c r="BM563" s="399"/>
      <c r="BN563" s="399"/>
      <c r="BO563" s="399">
        <v>164.3</v>
      </c>
      <c r="BP563" s="399"/>
      <c r="BQ563" s="399"/>
      <c r="BR563" s="399"/>
      <c r="BS563" s="399"/>
      <c r="BT563" s="399"/>
      <c r="BU563" s="399"/>
      <c r="BV563" s="399">
        <v>0</v>
      </c>
      <c r="BW563" s="399"/>
      <c r="BX563" s="399"/>
      <c r="BY563" s="399"/>
      <c r="BZ563" s="399"/>
      <c r="CA563" s="399"/>
      <c r="CB563" s="399"/>
      <c r="CC563" s="399"/>
      <c r="CD563" s="399"/>
      <c r="CE563" s="399"/>
      <c r="CF563" s="399"/>
      <c r="CG563" s="399"/>
      <c r="CH563" s="399"/>
      <c r="CI563" s="399">
        <v>164.3</v>
      </c>
      <c r="CJ563" s="399">
        <v>-44.979999999999961</v>
      </c>
      <c r="CK563" s="399"/>
      <c r="CL563" s="399"/>
      <c r="CM563" s="399"/>
      <c r="CN563" s="399"/>
      <c r="CO563" s="399">
        <v>-89.9</v>
      </c>
      <c r="CP563" s="399">
        <v>0</v>
      </c>
      <c r="CQ563" s="399">
        <v>30</v>
      </c>
      <c r="CR563" s="399">
        <v>-0.23606510247062551</v>
      </c>
      <c r="CS563" s="399">
        <v>0</v>
      </c>
      <c r="CT563" s="399">
        <v>0</v>
      </c>
      <c r="CU563" s="399">
        <v>0</v>
      </c>
      <c r="CV563" s="399">
        <v>0</v>
      </c>
      <c r="CW563" s="399"/>
      <c r="CX563" s="399"/>
      <c r="CY563" s="399"/>
      <c r="CZ563" s="399">
        <v>0</v>
      </c>
      <c r="DA563" s="399">
        <v>0</v>
      </c>
      <c r="DB563" s="399">
        <v>0</v>
      </c>
      <c r="DC563" s="399"/>
      <c r="DD563" s="399"/>
      <c r="DE563" s="399">
        <v>0</v>
      </c>
      <c r="DF563" s="399">
        <v>0</v>
      </c>
      <c r="DG563" s="399">
        <v>0</v>
      </c>
      <c r="DH563" s="399">
        <v>0</v>
      </c>
      <c r="DI563" s="399">
        <v>0</v>
      </c>
      <c r="DJ563" s="399"/>
      <c r="DK563" s="399">
        <v>0</v>
      </c>
      <c r="DL563" s="399">
        <v>0</v>
      </c>
      <c r="DM563" s="399"/>
      <c r="DN563" s="399">
        <v>0</v>
      </c>
      <c r="DO563" s="399">
        <v>0</v>
      </c>
      <c r="DP563" s="399">
        <v>-0.23606510247062551</v>
      </c>
      <c r="DQ563" s="399">
        <v>0</v>
      </c>
      <c r="DR563" s="399">
        <v>0</v>
      </c>
      <c r="DS563" s="399"/>
      <c r="DT563" s="399"/>
      <c r="DU563" s="399">
        <v>417.2101428152564</v>
      </c>
      <c r="DV563" s="399"/>
      <c r="DW563" s="399">
        <v>0</v>
      </c>
      <c r="DX563" s="399">
        <v>0</v>
      </c>
      <c r="DY563" s="399">
        <v>-89.899999999999977</v>
      </c>
      <c r="DZ563" s="399"/>
      <c r="EA563" s="399">
        <v>0</v>
      </c>
      <c r="EB563" s="399"/>
      <c r="EC563" s="399">
        <v>-90.198581785273632</v>
      </c>
      <c r="ED563" s="399"/>
      <c r="EE563" s="399">
        <v>0</v>
      </c>
      <c r="EF563" s="399">
        <v>0</v>
      </c>
      <c r="EG563" s="399"/>
      <c r="EH563" s="399">
        <v>0</v>
      </c>
      <c r="EI563" s="399">
        <v>0</v>
      </c>
      <c r="EJ563" s="399">
        <v>0</v>
      </c>
      <c r="EK563" s="399">
        <v>0</v>
      </c>
      <c r="EL563" s="399">
        <v>0</v>
      </c>
      <c r="EM563" s="399"/>
      <c r="EN563" s="399"/>
      <c r="EO563" s="399">
        <v>0</v>
      </c>
      <c r="EP563" s="399">
        <v>0</v>
      </c>
      <c r="EQ563" s="399"/>
      <c r="ER563" s="399">
        <v>0</v>
      </c>
      <c r="ES563" s="399"/>
      <c r="ET563" s="399">
        <v>0</v>
      </c>
      <c r="EU563" s="399"/>
      <c r="EV563" s="399">
        <v>215</v>
      </c>
      <c r="EW563" s="399"/>
      <c r="EX563" s="399"/>
      <c r="EY563" s="399"/>
      <c r="EZ563" s="399"/>
      <c r="FA563" s="399">
        <v>0</v>
      </c>
      <c r="FB563" s="399"/>
      <c r="FC563" s="399"/>
      <c r="FD563" s="399"/>
      <c r="FE563" s="399"/>
      <c r="FF563" s="399">
        <v>0</v>
      </c>
      <c r="FG563" s="399">
        <v>0</v>
      </c>
      <c r="FH563" s="399">
        <v>0</v>
      </c>
      <c r="FI563" s="399">
        <v>0</v>
      </c>
    </row>
    <row r="564" spans="1:165">
      <c r="A564" s="399">
        <v>568</v>
      </c>
      <c r="B564" s="399" t="s">
        <v>956</v>
      </c>
      <c r="C564" s="399" t="s">
        <v>913</v>
      </c>
      <c r="D564" s="399" t="s">
        <v>533</v>
      </c>
      <c r="E564" s="399" t="s">
        <v>1239</v>
      </c>
      <c r="F564" s="399" t="s">
        <v>1239</v>
      </c>
      <c r="G564" s="399" t="s">
        <v>1239</v>
      </c>
      <c r="H564" s="399" t="s">
        <v>2366</v>
      </c>
      <c r="I564" s="399" t="s">
        <v>1239</v>
      </c>
      <c r="J564" s="399" t="s">
        <v>2365</v>
      </c>
      <c r="K564" s="791">
        <v>44501</v>
      </c>
      <c r="L564" s="399">
        <v>290</v>
      </c>
      <c r="M564" s="399">
        <v>145</v>
      </c>
      <c r="N564" s="399">
        <v>0</v>
      </c>
      <c r="O564" s="399">
        <v>0</v>
      </c>
      <c r="P564" s="399">
        <v>0</v>
      </c>
      <c r="Q564" s="399">
        <v>0</v>
      </c>
      <c r="R564" s="399">
        <v>2.7</v>
      </c>
      <c r="S564" s="399"/>
      <c r="T564" s="399"/>
      <c r="U564" s="399">
        <v>783</v>
      </c>
      <c r="V564" s="399"/>
      <c r="W564" s="399">
        <v>783</v>
      </c>
      <c r="X564" s="399">
        <v>614.80000000000007</v>
      </c>
      <c r="Y564" s="399">
        <v>0</v>
      </c>
      <c r="Z564" s="399">
        <v>0</v>
      </c>
      <c r="AA564" s="399">
        <v>0</v>
      </c>
      <c r="AB564" s="399">
        <v>0</v>
      </c>
      <c r="AC564" s="399">
        <v>0</v>
      </c>
      <c r="AD564" s="399">
        <v>0</v>
      </c>
      <c r="AE564" s="399">
        <v>780.58671881564101</v>
      </c>
      <c r="AF564" s="399"/>
      <c r="AG564" s="399"/>
      <c r="AH564" s="399"/>
      <c r="AI564" s="399">
        <v>0</v>
      </c>
      <c r="AJ564" s="399">
        <v>0</v>
      </c>
      <c r="AK564" s="399">
        <v>0</v>
      </c>
      <c r="AL564" s="399">
        <v>0</v>
      </c>
      <c r="AM564" s="399"/>
      <c r="AN564" s="399">
        <v>2.8217194298770281</v>
      </c>
      <c r="AO564" s="399">
        <v>0</v>
      </c>
      <c r="AP564" s="399">
        <v>0</v>
      </c>
      <c r="AQ564" s="399">
        <v>0</v>
      </c>
      <c r="AR564" s="399">
        <v>0</v>
      </c>
      <c r="AS564" s="399"/>
      <c r="AT564" s="399"/>
      <c r="AU564" s="399">
        <v>0</v>
      </c>
      <c r="AV564" s="399">
        <v>0</v>
      </c>
      <c r="AW564" s="399">
        <v>0</v>
      </c>
      <c r="AX564" s="399"/>
      <c r="AY564" s="399"/>
      <c r="AZ564" s="399">
        <v>0</v>
      </c>
      <c r="BA564" s="399"/>
      <c r="BB564" s="399">
        <v>0</v>
      </c>
      <c r="BC564" s="399">
        <v>0</v>
      </c>
      <c r="BD564" s="399">
        <v>0</v>
      </c>
      <c r="BE564" s="399">
        <v>0</v>
      </c>
      <c r="BF564" s="399"/>
      <c r="BG564" s="399">
        <v>0</v>
      </c>
      <c r="BH564" s="399">
        <v>0</v>
      </c>
      <c r="BI564" s="399">
        <v>0</v>
      </c>
      <c r="BJ564" s="399">
        <v>0</v>
      </c>
      <c r="BK564" s="399">
        <v>0</v>
      </c>
      <c r="BL564" s="399">
        <v>0</v>
      </c>
      <c r="BM564" s="399"/>
      <c r="BN564" s="399"/>
      <c r="BO564" s="399">
        <v>307.40000000000003</v>
      </c>
      <c r="BP564" s="399"/>
      <c r="BQ564" s="399"/>
      <c r="BR564" s="399"/>
      <c r="BS564" s="399"/>
      <c r="BT564" s="399"/>
      <c r="BU564" s="399"/>
      <c r="BV564" s="399">
        <v>0</v>
      </c>
      <c r="BW564" s="399"/>
      <c r="BX564" s="399"/>
      <c r="BY564" s="399"/>
      <c r="BZ564" s="399"/>
      <c r="CA564" s="399"/>
      <c r="CB564" s="399"/>
      <c r="CC564" s="399"/>
      <c r="CD564" s="399"/>
      <c r="CE564" s="399"/>
      <c r="CF564" s="399"/>
      <c r="CG564" s="399"/>
      <c r="CH564" s="399"/>
      <c r="CI564" s="399">
        <v>307.40000000000003</v>
      </c>
      <c r="CJ564" s="399">
        <v>-84.129999999999939</v>
      </c>
      <c r="CK564" s="399"/>
      <c r="CL564" s="399"/>
      <c r="CM564" s="399"/>
      <c r="CN564" s="399"/>
      <c r="CO564" s="399">
        <v>-168.20000000000002</v>
      </c>
      <c r="CP564" s="399">
        <v>0</v>
      </c>
      <c r="CQ564" s="399">
        <v>30</v>
      </c>
      <c r="CR564" s="399">
        <v>-0.4416701917192345</v>
      </c>
      <c r="CS564" s="399">
        <v>0</v>
      </c>
      <c r="CT564" s="399">
        <v>0</v>
      </c>
      <c r="CU564" s="399">
        <v>0</v>
      </c>
      <c r="CV564" s="399">
        <v>0</v>
      </c>
      <c r="CW564" s="399"/>
      <c r="CX564" s="399"/>
      <c r="CY564" s="399"/>
      <c r="CZ564" s="399">
        <v>0</v>
      </c>
      <c r="DA564" s="399">
        <v>0</v>
      </c>
      <c r="DB564" s="399">
        <v>0</v>
      </c>
      <c r="DC564" s="399"/>
      <c r="DD564" s="399"/>
      <c r="DE564" s="399">
        <v>0</v>
      </c>
      <c r="DF564" s="399">
        <v>0</v>
      </c>
      <c r="DG564" s="399">
        <v>0</v>
      </c>
      <c r="DH564" s="399">
        <v>0</v>
      </c>
      <c r="DI564" s="399">
        <v>0</v>
      </c>
      <c r="DJ564" s="399"/>
      <c r="DK564" s="399">
        <v>0</v>
      </c>
      <c r="DL564" s="399">
        <v>0</v>
      </c>
      <c r="DM564" s="399"/>
      <c r="DN564" s="399">
        <v>0</v>
      </c>
      <c r="DO564" s="399">
        <v>0</v>
      </c>
      <c r="DP564" s="399">
        <v>-0.4416701917192345</v>
      </c>
      <c r="DQ564" s="399">
        <v>0</v>
      </c>
      <c r="DR564" s="399">
        <v>0</v>
      </c>
      <c r="DS564" s="399"/>
      <c r="DT564" s="399"/>
      <c r="DU564" s="399">
        <v>780.58671881564101</v>
      </c>
      <c r="DV564" s="399"/>
      <c r="DW564" s="399">
        <v>0</v>
      </c>
      <c r="DX564" s="399">
        <v>0</v>
      </c>
      <c r="DY564" s="399">
        <v>-168.19999999999993</v>
      </c>
      <c r="DZ564" s="399"/>
      <c r="EA564" s="399">
        <v>0</v>
      </c>
      <c r="EB564" s="399"/>
      <c r="EC564" s="399">
        <v>-168.75863688857646</v>
      </c>
      <c r="ED564" s="399"/>
      <c r="EE564" s="399">
        <v>0</v>
      </c>
      <c r="EF564" s="399">
        <v>0</v>
      </c>
      <c r="EG564" s="399"/>
      <c r="EH564" s="399">
        <v>0</v>
      </c>
      <c r="EI564" s="399">
        <v>0</v>
      </c>
      <c r="EJ564" s="399">
        <v>0</v>
      </c>
      <c r="EK564" s="399">
        <v>0</v>
      </c>
      <c r="EL564" s="399">
        <v>0</v>
      </c>
      <c r="EM564" s="399"/>
      <c r="EN564" s="399"/>
      <c r="EO564" s="399">
        <v>0</v>
      </c>
      <c r="EP564" s="399">
        <v>0</v>
      </c>
      <c r="EQ564" s="399"/>
      <c r="ER564" s="399">
        <v>0</v>
      </c>
      <c r="ES564" s="399"/>
      <c r="ET564" s="399">
        <v>0</v>
      </c>
      <c r="EU564" s="399"/>
      <c r="EV564" s="399">
        <v>215</v>
      </c>
      <c r="EW564" s="399"/>
      <c r="EX564" s="399"/>
      <c r="EY564" s="399"/>
      <c r="EZ564" s="399"/>
      <c r="FA564" s="399">
        <v>0</v>
      </c>
      <c r="FB564" s="399"/>
      <c r="FC564" s="399"/>
      <c r="FD564" s="399"/>
      <c r="FE564" s="399"/>
      <c r="FF564" s="399">
        <v>0</v>
      </c>
      <c r="FG564" s="399">
        <v>0</v>
      </c>
      <c r="FH564" s="399">
        <v>0</v>
      </c>
      <c r="FI564" s="399">
        <v>0</v>
      </c>
    </row>
    <row r="565" spans="1:165">
      <c r="A565" s="399">
        <v>569</v>
      </c>
      <c r="B565" s="399" t="s">
        <v>956</v>
      </c>
      <c r="C565" s="399" t="s">
        <v>913</v>
      </c>
      <c r="D565" s="399" t="s">
        <v>533</v>
      </c>
      <c r="E565" s="399" t="s">
        <v>1239</v>
      </c>
      <c r="F565" s="399" t="s">
        <v>1239</v>
      </c>
      <c r="G565" s="399" t="s">
        <v>1239</v>
      </c>
      <c r="H565" s="399" t="s">
        <v>2364</v>
      </c>
      <c r="I565" s="399" t="s">
        <v>1239</v>
      </c>
      <c r="J565" s="399" t="s">
        <v>2365</v>
      </c>
      <c r="K565" s="791">
        <v>44531</v>
      </c>
      <c r="L565" s="399">
        <v>155</v>
      </c>
      <c r="M565" s="399">
        <v>77.5</v>
      </c>
      <c r="N565" s="399">
        <v>0</v>
      </c>
      <c r="O565" s="399">
        <v>0</v>
      </c>
      <c r="P565" s="399">
        <v>0</v>
      </c>
      <c r="Q565" s="399">
        <v>0</v>
      </c>
      <c r="R565" s="399">
        <v>2.7</v>
      </c>
      <c r="S565" s="399"/>
      <c r="T565" s="399"/>
      <c r="U565" s="399">
        <v>418.5</v>
      </c>
      <c r="V565" s="399"/>
      <c r="W565" s="399">
        <v>418.5</v>
      </c>
      <c r="X565" s="399">
        <v>328.6</v>
      </c>
      <c r="Y565" s="399">
        <v>0</v>
      </c>
      <c r="Z565" s="399">
        <v>0</v>
      </c>
      <c r="AA565" s="399">
        <v>0</v>
      </c>
      <c r="AB565" s="399">
        <v>0</v>
      </c>
      <c r="AC565" s="399">
        <v>0</v>
      </c>
      <c r="AD565" s="399">
        <v>0</v>
      </c>
      <c r="AE565" s="399">
        <v>417.2101428152564</v>
      </c>
      <c r="AF565" s="399"/>
      <c r="AG565" s="399"/>
      <c r="AH565" s="399"/>
      <c r="AI565" s="399">
        <v>0</v>
      </c>
      <c r="AJ565" s="399">
        <v>0</v>
      </c>
      <c r="AK565" s="399">
        <v>0</v>
      </c>
      <c r="AL565" s="399">
        <v>0</v>
      </c>
      <c r="AM565" s="399"/>
      <c r="AN565" s="399">
        <v>1.5081603849342737</v>
      </c>
      <c r="AO565" s="399">
        <v>0</v>
      </c>
      <c r="AP565" s="399">
        <v>0</v>
      </c>
      <c r="AQ565" s="399">
        <v>0</v>
      </c>
      <c r="AR565" s="399">
        <v>0</v>
      </c>
      <c r="AS565" s="399"/>
      <c r="AT565" s="399"/>
      <c r="AU565" s="399">
        <v>0</v>
      </c>
      <c r="AV565" s="399">
        <v>0</v>
      </c>
      <c r="AW565" s="399">
        <v>0</v>
      </c>
      <c r="AX565" s="399"/>
      <c r="AY565" s="399"/>
      <c r="AZ565" s="399">
        <v>0</v>
      </c>
      <c r="BA565" s="399"/>
      <c r="BB565" s="399">
        <v>0</v>
      </c>
      <c r="BC565" s="399">
        <v>0</v>
      </c>
      <c r="BD565" s="399">
        <v>0</v>
      </c>
      <c r="BE565" s="399">
        <v>0</v>
      </c>
      <c r="BF565" s="399"/>
      <c r="BG565" s="399">
        <v>0</v>
      </c>
      <c r="BH565" s="399">
        <v>0</v>
      </c>
      <c r="BI565" s="399">
        <v>0</v>
      </c>
      <c r="BJ565" s="399">
        <v>0</v>
      </c>
      <c r="BK565" s="399">
        <v>0</v>
      </c>
      <c r="BL565" s="399">
        <v>0</v>
      </c>
      <c r="BM565" s="399"/>
      <c r="BN565" s="399"/>
      <c r="BO565" s="399">
        <v>164.3</v>
      </c>
      <c r="BP565" s="399"/>
      <c r="BQ565" s="399"/>
      <c r="BR565" s="399"/>
      <c r="BS565" s="399"/>
      <c r="BT565" s="399"/>
      <c r="BU565" s="399"/>
      <c r="BV565" s="399">
        <v>0</v>
      </c>
      <c r="BW565" s="399"/>
      <c r="BX565" s="399"/>
      <c r="BY565" s="399"/>
      <c r="BZ565" s="399"/>
      <c r="CA565" s="399"/>
      <c r="CB565" s="399"/>
      <c r="CC565" s="399"/>
      <c r="CD565" s="399"/>
      <c r="CE565" s="399"/>
      <c r="CF565" s="399"/>
      <c r="CG565" s="399"/>
      <c r="CH565" s="399"/>
      <c r="CI565" s="399">
        <v>164.3</v>
      </c>
      <c r="CJ565" s="399">
        <v>-44.979999999999961</v>
      </c>
      <c r="CK565" s="399"/>
      <c r="CL565" s="399"/>
      <c r="CM565" s="399"/>
      <c r="CN565" s="399"/>
      <c r="CO565" s="399">
        <v>-89.9</v>
      </c>
      <c r="CP565" s="399">
        <v>0</v>
      </c>
      <c r="CQ565" s="399"/>
      <c r="CR565" s="399">
        <v>-0.23606510247062551</v>
      </c>
      <c r="CS565" s="399">
        <v>0</v>
      </c>
      <c r="CT565" s="399">
        <v>0</v>
      </c>
      <c r="CU565" s="399">
        <v>0</v>
      </c>
      <c r="CV565" s="399">
        <v>0</v>
      </c>
      <c r="CW565" s="399"/>
      <c r="CX565" s="399"/>
      <c r="CY565" s="399"/>
      <c r="CZ565" s="399">
        <v>0</v>
      </c>
      <c r="DA565" s="399">
        <v>0</v>
      </c>
      <c r="DB565" s="399">
        <v>0</v>
      </c>
      <c r="DC565" s="399"/>
      <c r="DD565" s="399"/>
      <c r="DE565" s="399">
        <v>0</v>
      </c>
      <c r="DF565" s="399">
        <v>0</v>
      </c>
      <c r="DG565" s="399">
        <v>0</v>
      </c>
      <c r="DH565" s="399">
        <v>0</v>
      </c>
      <c r="DI565" s="399">
        <v>0</v>
      </c>
      <c r="DJ565" s="399"/>
      <c r="DK565" s="399">
        <v>0</v>
      </c>
      <c r="DL565" s="399">
        <v>0</v>
      </c>
      <c r="DM565" s="399"/>
      <c r="DN565" s="399">
        <v>0</v>
      </c>
      <c r="DO565" s="399">
        <v>0</v>
      </c>
      <c r="DP565" s="399">
        <v>-0.23606510247062551</v>
      </c>
      <c r="DQ565" s="399">
        <v>0</v>
      </c>
      <c r="DR565" s="399">
        <v>0</v>
      </c>
      <c r="DS565" s="399"/>
      <c r="DT565" s="399"/>
      <c r="DU565" s="399">
        <v>417.2101428152564</v>
      </c>
      <c r="DV565" s="399"/>
      <c r="DW565" s="399">
        <v>0</v>
      </c>
      <c r="DX565" s="399">
        <v>0</v>
      </c>
      <c r="DY565" s="399">
        <v>-89.899999999999977</v>
      </c>
      <c r="DZ565" s="399"/>
      <c r="EA565" s="399">
        <v>0</v>
      </c>
      <c r="EB565" s="399"/>
      <c r="EC565" s="399">
        <v>-90.198581785273632</v>
      </c>
      <c r="ED565" s="399"/>
      <c r="EE565" s="399">
        <v>0</v>
      </c>
      <c r="EF565" s="399">
        <v>0</v>
      </c>
      <c r="EG565" s="399"/>
      <c r="EH565" s="399">
        <v>0</v>
      </c>
      <c r="EI565" s="399">
        <v>0</v>
      </c>
      <c r="EJ565" s="399">
        <v>0</v>
      </c>
      <c r="EK565" s="399">
        <v>0</v>
      </c>
      <c r="EL565" s="399">
        <v>0</v>
      </c>
      <c r="EM565" s="399"/>
      <c r="EN565" s="399"/>
      <c r="EO565" s="399">
        <v>0</v>
      </c>
      <c r="EP565" s="399">
        <v>0</v>
      </c>
      <c r="EQ565" s="399"/>
      <c r="ER565" s="399">
        <v>0</v>
      </c>
      <c r="ES565" s="399"/>
      <c r="ET565" s="399">
        <v>0</v>
      </c>
      <c r="EU565" s="399"/>
      <c r="EV565" s="399">
        <v>215</v>
      </c>
      <c r="EW565" s="399"/>
      <c r="EX565" s="399"/>
      <c r="EY565" s="399"/>
      <c r="EZ565" s="399"/>
      <c r="FA565" s="399">
        <v>0</v>
      </c>
      <c r="FB565" s="399"/>
      <c r="FC565" s="399"/>
      <c r="FD565" s="399"/>
      <c r="FE565" s="399"/>
      <c r="FF565" s="399">
        <v>0</v>
      </c>
      <c r="FG565" s="399">
        <v>0</v>
      </c>
      <c r="FH565" s="399">
        <v>0</v>
      </c>
      <c r="FI565" s="399">
        <v>0</v>
      </c>
    </row>
    <row r="566" spans="1:165">
      <c r="A566" s="399">
        <v>570</v>
      </c>
      <c r="B566" s="399" t="s">
        <v>956</v>
      </c>
      <c r="C566" s="399" t="s">
        <v>913</v>
      </c>
      <c r="D566" s="399" t="s">
        <v>533</v>
      </c>
      <c r="E566" s="399" t="s">
        <v>1239</v>
      </c>
      <c r="F566" s="399" t="s">
        <v>1239</v>
      </c>
      <c r="G566" s="399" t="s">
        <v>1239</v>
      </c>
      <c r="H566" s="399" t="s">
        <v>2366</v>
      </c>
      <c r="I566" s="399" t="s">
        <v>1239</v>
      </c>
      <c r="J566" s="399" t="s">
        <v>2365</v>
      </c>
      <c r="K566" s="791">
        <v>44531</v>
      </c>
      <c r="L566" s="399">
        <v>290</v>
      </c>
      <c r="M566" s="399">
        <v>145</v>
      </c>
      <c r="N566" s="399">
        <v>0</v>
      </c>
      <c r="O566" s="399">
        <v>0</v>
      </c>
      <c r="P566" s="399">
        <v>0</v>
      </c>
      <c r="Q566" s="399">
        <v>0</v>
      </c>
      <c r="R566" s="399">
        <v>2.7</v>
      </c>
      <c r="S566" s="399"/>
      <c r="T566" s="399"/>
      <c r="U566" s="399">
        <v>783</v>
      </c>
      <c r="V566" s="399"/>
      <c r="W566" s="399">
        <v>783</v>
      </c>
      <c r="X566" s="399">
        <v>614.80000000000007</v>
      </c>
      <c r="Y566" s="399">
        <v>0</v>
      </c>
      <c r="Z566" s="399">
        <v>0</v>
      </c>
      <c r="AA566" s="399">
        <v>0</v>
      </c>
      <c r="AB566" s="399">
        <v>0</v>
      </c>
      <c r="AC566" s="399">
        <v>0</v>
      </c>
      <c r="AD566" s="399">
        <v>0</v>
      </c>
      <c r="AE566" s="399">
        <v>780.58671881564101</v>
      </c>
      <c r="AF566" s="399"/>
      <c r="AG566" s="399"/>
      <c r="AH566" s="399"/>
      <c r="AI566" s="399">
        <v>0</v>
      </c>
      <c r="AJ566" s="399">
        <v>0</v>
      </c>
      <c r="AK566" s="399">
        <v>0</v>
      </c>
      <c r="AL566" s="399">
        <v>0</v>
      </c>
      <c r="AM566" s="399"/>
      <c r="AN566" s="399">
        <v>2.8217194298770281</v>
      </c>
      <c r="AO566" s="399">
        <v>0</v>
      </c>
      <c r="AP566" s="399">
        <v>0</v>
      </c>
      <c r="AQ566" s="399">
        <v>0</v>
      </c>
      <c r="AR566" s="399">
        <v>0</v>
      </c>
      <c r="AS566" s="399"/>
      <c r="AT566" s="399"/>
      <c r="AU566" s="399">
        <v>0</v>
      </c>
      <c r="AV566" s="399">
        <v>0</v>
      </c>
      <c r="AW566" s="399">
        <v>0</v>
      </c>
      <c r="AX566" s="399"/>
      <c r="AY566" s="399"/>
      <c r="AZ566" s="399">
        <v>0</v>
      </c>
      <c r="BA566" s="399"/>
      <c r="BB566" s="399">
        <v>0</v>
      </c>
      <c r="BC566" s="399">
        <v>0</v>
      </c>
      <c r="BD566" s="399">
        <v>0</v>
      </c>
      <c r="BE566" s="399">
        <v>0</v>
      </c>
      <c r="BF566" s="399"/>
      <c r="BG566" s="399">
        <v>0</v>
      </c>
      <c r="BH566" s="399">
        <v>0</v>
      </c>
      <c r="BI566" s="399">
        <v>0</v>
      </c>
      <c r="BJ566" s="399">
        <v>0</v>
      </c>
      <c r="BK566" s="399">
        <v>0</v>
      </c>
      <c r="BL566" s="399">
        <v>0</v>
      </c>
      <c r="BM566" s="399"/>
      <c r="BN566" s="399"/>
      <c r="BO566" s="399">
        <v>307.40000000000003</v>
      </c>
      <c r="BP566" s="399"/>
      <c r="BQ566" s="399"/>
      <c r="BR566" s="399"/>
      <c r="BS566" s="399"/>
      <c r="BT566" s="399"/>
      <c r="BU566" s="399"/>
      <c r="BV566" s="399">
        <v>0</v>
      </c>
      <c r="BW566" s="399"/>
      <c r="BX566" s="399"/>
      <c r="BY566" s="399"/>
      <c r="BZ566" s="399"/>
      <c r="CA566" s="399"/>
      <c r="CB566" s="399"/>
      <c r="CC566" s="399"/>
      <c r="CD566" s="399"/>
      <c r="CE566" s="399"/>
      <c r="CF566" s="399"/>
      <c r="CG566" s="399"/>
      <c r="CH566" s="399"/>
      <c r="CI566" s="399">
        <v>307.40000000000003</v>
      </c>
      <c r="CJ566" s="399">
        <v>-84.129999999999939</v>
      </c>
      <c r="CK566" s="399"/>
      <c r="CL566" s="399"/>
      <c r="CM566" s="399"/>
      <c r="CN566" s="399"/>
      <c r="CO566" s="399">
        <v>-168.20000000000002</v>
      </c>
      <c r="CP566" s="399">
        <v>0</v>
      </c>
      <c r="CQ566" s="399"/>
      <c r="CR566" s="399">
        <v>-0.4416701917192345</v>
      </c>
      <c r="CS566" s="399">
        <v>0</v>
      </c>
      <c r="CT566" s="399">
        <v>0</v>
      </c>
      <c r="CU566" s="399">
        <v>0</v>
      </c>
      <c r="CV566" s="399">
        <v>0</v>
      </c>
      <c r="CW566" s="399"/>
      <c r="CX566" s="399"/>
      <c r="CY566" s="399"/>
      <c r="CZ566" s="399">
        <v>0</v>
      </c>
      <c r="DA566" s="399">
        <v>0</v>
      </c>
      <c r="DB566" s="399">
        <v>0</v>
      </c>
      <c r="DC566" s="399"/>
      <c r="DD566" s="399"/>
      <c r="DE566" s="399">
        <v>0</v>
      </c>
      <c r="DF566" s="399">
        <v>0</v>
      </c>
      <c r="DG566" s="399">
        <v>0</v>
      </c>
      <c r="DH566" s="399">
        <v>0</v>
      </c>
      <c r="DI566" s="399">
        <v>0</v>
      </c>
      <c r="DJ566" s="399"/>
      <c r="DK566" s="399">
        <v>0</v>
      </c>
      <c r="DL566" s="399">
        <v>0</v>
      </c>
      <c r="DM566" s="399"/>
      <c r="DN566" s="399">
        <v>0</v>
      </c>
      <c r="DO566" s="399">
        <v>0</v>
      </c>
      <c r="DP566" s="399">
        <v>-0.4416701917192345</v>
      </c>
      <c r="DQ566" s="399">
        <v>0</v>
      </c>
      <c r="DR566" s="399">
        <v>0</v>
      </c>
      <c r="DS566" s="399"/>
      <c r="DT566" s="399"/>
      <c r="DU566" s="399">
        <v>780.58671881564101</v>
      </c>
      <c r="DV566" s="399"/>
      <c r="DW566" s="399">
        <v>0</v>
      </c>
      <c r="DX566" s="399">
        <v>0</v>
      </c>
      <c r="DY566" s="399">
        <v>-168.19999999999993</v>
      </c>
      <c r="DZ566" s="399"/>
      <c r="EA566" s="399">
        <v>0</v>
      </c>
      <c r="EB566" s="399"/>
      <c r="EC566" s="399">
        <v>-168.75863688857646</v>
      </c>
      <c r="ED566" s="399"/>
      <c r="EE566" s="399">
        <v>0</v>
      </c>
      <c r="EF566" s="399">
        <v>0</v>
      </c>
      <c r="EG566" s="399"/>
      <c r="EH566" s="399">
        <v>0</v>
      </c>
      <c r="EI566" s="399">
        <v>0</v>
      </c>
      <c r="EJ566" s="399">
        <v>0</v>
      </c>
      <c r="EK566" s="399">
        <v>0</v>
      </c>
      <c r="EL566" s="399">
        <v>0</v>
      </c>
      <c r="EM566" s="399"/>
      <c r="EN566" s="399"/>
      <c r="EO566" s="399">
        <v>0</v>
      </c>
      <c r="EP566" s="399">
        <v>0</v>
      </c>
      <c r="EQ566" s="399"/>
      <c r="ER566" s="399">
        <v>0</v>
      </c>
      <c r="ES566" s="399"/>
      <c r="ET566" s="399">
        <v>0</v>
      </c>
      <c r="EU566" s="399"/>
      <c r="EV566" s="399">
        <v>215</v>
      </c>
      <c r="EW566" s="399"/>
      <c r="EX566" s="399"/>
      <c r="EY566" s="399"/>
      <c r="EZ566" s="399"/>
      <c r="FA566" s="399">
        <v>0</v>
      </c>
      <c r="FB566" s="399"/>
      <c r="FC566" s="399"/>
      <c r="FD566" s="399"/>
      <c r="FE566" s="399"/>
      <c r="FF566" s="399">
        <v>0</v>
      </c>
      <c r="FG566" s="399">
        <v>0</v>
      </c>
      <c r="FH566" s="399">
        <v>0</v>
      </c>
      <c r="FI566" s="399">
        <v>0</v>
      </c>
    </row>
    <row r="567" spans="1:165">
      <c r="A567" s="399">
        <v>571</v>
      </c>
      <c r="B567" s="399" t="s">
        <v>956</v>
      </c>
      <c r="C567" s="399" t="s">
        <v>913</v>
      </c>
      <c r="D567" s="399" t="s">
        <v>533</v>
      </c>
      <c r="E567" s="399" t="s">
        <v>1239</v>
      </c>
      <c r="F567" s="399" t="s">
        <v>1239</v>
      </c>
      <c r="G567" s="399" t="s">
        <v>1239</v>
      </c>
      <c r="H567" s="399" t="s">
        <v>2364</v>
      </c>
      <c r="I567" s="399" t="s">
        <v>1239</v>
      </c>
      <c r="J567" s="399" t="s">
        <v>2365</v>
      </c>
      <c r="K567" s="791">
        <v>44562</v>
      </c>
      <c r="L567" s="399">
        <v>155</v>
      </c>
      <c r="M567" s="399">
        <v>77.5</v>
      </c>
      <c r="N567" s="399">
        <v>0</v>
      </c>
      <c r="O567" s="399">
        <v>0</v>
      </c>
      <c r="P567" s="399">
        <v>0</v>
      </c>
      <c r="Q567" s="399">
        <v>0</v>
      </c>
      <c r="R567" s="399">
        <v>2.7</v>
      </c>
      <c r="S567" s="399"/>
      <c r="T567" s="399"/>
      <c r="U567" s="399">
        <v>418.5</v>
      </c>
      <c r="V567" s="399"/>
      <c r="W567" s="399">
        <v>418.5</v>
      </c>
      <c r="X567" s="399">
        <v>328.6</v>
      </c>
      <c r="Y567" s="399">
        <v>0</v>
      </c>
      <c r="Z567" s="399">
        <v>0</v>
      </c>
      <c r="AA567" s="399">
        <v>0</v>
      </c>
      <c r="AB567" s="399">
        <v>0</v>
      </c>
      <c r="AC567" s="399">
        <v>0</v>
      </c>
      <c r="AD567" s="399">
        <v>0</v>
      </c>
      <c r="AE567" s="399">
        <v>417.2101428152564</v>
      </c>
      <c r="AF567" s="399"/>
      <c r="AG567" s="399"/>
      <c r="AH567" s="399"/>
      <c r="AI567" s="399">
        <v>0</v>
      </c>
      <c r="AJ567" s="399">
        <v>0</v>
      </c>
      <c r="AK567" s="399">
        <v>0</v>
      </c>
      <c r="AL567" s="399">
        <v>0</v>
      </c>
      <c r="AM567" s="399"/>
      <c r="AN567" s="399">
        <v>1.5081603849342737</v>
      </c>
      <c r="AO567" s="399">
        <v>0</v>
      </c>
      <c r="AP567" s="399">
        <v>0</v>
      </c>
      <c r="AQ567" s="399">
        <v>0</v>
      </c>
      <c r="AR567" s="399">
        <v>0</v>
      </c>
      <c r="AS567" s="399"/>
      <c r="AT567" s="399"/>
      <c r="AU567" s="399">
        <v>0</v>
      </c>
      <c r="AV567" s="399">
        <v>0</v>
      </c>
      <c r="AW567" s="399">
        <v>0</v>
      </c>
      <c r="AX567" s="399"/>
      <c r="AY567" s="399"/>
      <c r="AZ567" s="399">
        <v>0</v>
      </c>
      <c r="BA567" s="399"/>
      <c r="BB567" s="399">
        <v>0</v>
      </c>
      <c r="BC567" s="399">
        <v>0</v>
      </c>
      <c r="BD567" s="399">
        <v>0</v>
      </c>
      <c r="BE567" s="399">
        <v>0</v>
      </c>
      <c r="BF567" s="399"/>
      <c r="BG567" s="399">
        <v>0</v>
      </c>
      <c r="BH567" s="399">
        <v>0</v>
      </c>
      <c r="BI567" s="399">
        <v>0</v>
      </c>
      <c r="BJ567" s="399">
        <v>0</v>
      </c>
      <c r="BK567" s="399">
        <v>0</v>
      </c>
      <c r="BL567" s="399">
        <v>0</v>
      </c>
      <c r="BM567" s="399"/>
      <c r="BN567" s="399"/>
      <c r="BO567" s="399">
        <v>164.3</v>
      </c>
      <c r="BP567" s="399"/>
      <c r="BQ567" s="399"/>
      <c r="BR567" s="399"/>
      <c r="BS567" s="399"/>
      <c r="BT567" s="399"/>
      <c r="BU567" s="399"/>
      <c r="BV567" s="399">
        <v>0</v>
      </c>
      <c r="BW567" s="399"/>
      <c r="BX567" s="399"/>
      <c r="BY567" s="399"/>
      <c r="BZ567" s="399"/>
      <c r="CA567" s="399"/>
      <c r="CB567" s="399"/>
      <c r="CC567" s="399"/>
      <c r="CD567" s="399"/>
      <c r="CE567" s="399"/>
      <c r="CF567" s="399"/>
      <c r="CG567" s="399"/>
      <c r="CH567" s="399"/>
      <c r="CI567" s="399">
        <v>164.3</v>
      </c>
      <c r="CJ567" s="399">
        <v>-44.979999999999961</v>
      </c>
      <c r="CK567" s="399"/>
      <c r="CL567" s="399"/>
      <c r="CM567" s="399"/>
      <c r="CN567" s="399"/>
      <c r="CO567" s="399">
        <v>-89.9</v>
      </c>
      <c r="CP567" s="399">
        <v>0</v>
      </c>
      <c r="CQ567" s="399">
        <v>31</v>
      </c>
      <c r="CR567" s="399">
        <v>-0.23606510247062551</v>
      </c>
      <c r="CS567" s="399">
        <v>0</v>
      </c>
      <c r="CT567" s="399">
        <v>0</v>
      </c>
      <c r="CU567" s="399">
        <v>0</v>
      </c>
      <c r="CV567" s="399">
        <v>0</v>
      </c>
      <c r="CW567" s="399"/>
      <c r="CX567" s="399"/>
      <c r="CY567" s="399"/>
      <c r="CZ567" s="399">
        <v>0</v>
      </c>
      <c r="DA567" s="399">
        <v>0</v>
      </c>
      <c r="DB567" s="399">
        <v>0</v>
      </c>
      <c r="DC567" s="399"/>
      <c r="DD567" s="399"/>
      <c r="DE567" s="399">
        <v>0</v>
      </c>
      <c r="DF567" s="399">
        <v>0</v>
      </c>
      <c r="DG567" s="399">
        <v>0</v>
      </c>
      <c r="DH567" s="399">
        <v>0</v>
      </c>
      <c r="DI567" s="399">
        <v>0</v>
      </c>
      <c r="DJ567" s="399"/>
      <c r="DK567" s="399">
        <v>0</v>
      </c>
      <c r="DL567" s="399">
        <v>0</v>
      </c>
      <c r="DM567" s="399"/>
      <c r="DN567" s="399">
        <v>0</v>
      </c>
      <c r="DO567" s="399">
        <v>0</v>
      </c>
      <c r="DP567" s="399">
        <v>-0.23606510247062551</v>
      </c>
      <c r="DQ567" s="399">
        <v>0</v>
      </c>
      <c r="DR567" s="399">
        <v>0</v>
      </c>
      <c r="DS567" s="399"/>
      <c r="DT567" s="399"/>
      <c r="DU567" s="399">
        <v>417.2101428152564</v>
      </c>
      <c r="DV567" s="399"/>
      <c r="DW567" s="399">
        <v>0</v>
      </c>
      <c r="DX567" s="399">
        <v>0</v>
      </c>
      <c r="DY567" s="399">
        <v>-89.899999999999977</v>
      </c>
      <c r="DZ567" s="399"/>
      <c r="EA567" s="399">
        <v>0</v>
      </c>
      <c r="EB567" s="399"/>
      <c r="EC567" s="399">
        <v>-90.198581785273632</v>
      </c>
      <c r="ED567" s="399"/>
      <c r="EE567" s="399">
        <v>0</v>
      </c>
      <c r="EF567" s="399">
        <v>0</v>
      </c>
      <c r="EG567" s="399"/>
      <c r="EH567" s="399">
        <v>0</v>
      </c>
      <c r="EI567" s="399">
        <v>0</v>
      </c>
      <c r="EJ567" s="399">
        <v>0</v>
      </c>
      <c r="EK567" s="399">
        <v>0</v>
      </c>
      <c r="EL567" s="399">
        <v>0</v>
      </c>
      <c r="EM567" s="399"/>
      <c r="EN567" s="399"/>
      <c r="EO567" s="399">
        <v>0</v>
      </c>
      <c r="EP567" s="399">
        <v>0</v>
      </c>
      <c r="EQ567" s="399"/>
      <c r="ER567" s="399">
        <v>0</v>
      </c>
      <c r="ES567" s="399"/>
      <c r="ET567" s="399">
        <v>0</v>
      </c>
      <c r="EU567" s="399"/>
      <c r="EV567" s="399">
        <v>215</v>
      </c>
      <c r="EW567" s="399"/>
      <c r="EX567" s="399"/>
      <c r="EY567" s="399"/>
      <c r="EZ567" s="399"/>
      <c r="FA567" s="399">
        <v>0</v>
      </c>
      <c r="FB567" s="399"/>
      <c r="FC567" s="399"/>
      <c r="FD567" s="399"/>
      <c r="FE567" s="399"/>
      <c r="FF567" s="399">
        <v>0</v>
      </c>
      <c r="FG567" s="399">
        <v>0</v>
      </c>
      <c r="FH567" s="399">
        <v>0</v>
      </c>
      <c r="FI567" s="399">
        <v>0</v>
      </c>
    </row>
    <row r="568" spans="1:165">
      <c r="A568" s="399">
        <v>572</v>
      </c>
      <c r="B568" s="399" t="s">
        <v>956</v>
      </c>
      <c r="C568" s="399" t="s">
        <v>913</v>
      </c>
      <c r="D568" s="399" t="s">
        <v>533</v>
      </c>
      <c r="E568" s="399" t="s">
        <v>1239</v>
      </c>
      <c r="F568" s="399" t="s">
        <v>1239</v>
      </c>
      <c r="G568" s="399" t="s">
        <v>1239</v>
      </c>
      <c r="H568" s="399" t="s">
        <v>2366</v>
      </c>
      <c r="I568" s="399" t="s">
        <v>1239</v>
      </c>
      <c r="J568" s="399" t="s">
        <v>2365</v>
      </c>
      <c r="K568" s="791">
        <v>44562</v>
      </c>
      <c r="L568" s="399">
        <v>290</v>
      </c>
      <c r="M568" s="399">
        <v>145</v>
      </c>
      <c r="N568" s="399">
        <v>0</v>
      </c>
      <c r="O568" s="399">
        <v>0</v>
      </c>
      <c r="P568" s="399">
        <v>0</v>
      </c>
      <c r="Q568" s="399">
        <v>0</v>
      </c>
      <c r="R568" s="399">
        <v>2.7</v>
      </c>
      <c r="S568" s="399"/>
      <c r="T568" s="399"/>
      <c r="U568" s="399">
        <v>783</v>
      </c>
      <c r="V568" s="399"/>
      <c r="W568" s="399">
        <v>783</v>
      </c>
      <c r="X568" s="399">
        <v>614.80000000000007</v>
      </c>
      <c r="Y568" s="399">
        <v>0</v>
      </c>
      <c r="Z568" s="399">
        <v>0</v>
      </c>
      <c r="AA568" s="399">
        <v>0</v>
      </c>
      <c r="AB568" s="399">
        <v>0</v>
      </c>
      <c r="AC568" s="399">
        <v>0</v>
      </c>
      <c r="AD568" s="399">
        <v>0</v>
      </c>
      <c r="AE568" s="399">
        <v>780.58671881564101</v>
      </c>
      <c r="AF568" s="399"/>
      <c r="AG568" s="399"/>
      <c r="AH568" s="399"/>
      <c r="AI568" s="399">
        <v>0</v>
      </c>
      <c r="AJ568" s="399">
        <v>0</v>
      </c>
      <c r="AK568" s="399">
        <v>0</v>
      </c>
      <c r="AL568" s="399">
        <v>0</v>
      </c>
      <c r="AM568" s="399"/>
      <c r="AN568" s="399">
        <v>2.8217194298770281</v>
      </c>
      <c r="AO568" s="399">
        <v>0</v>
      </c>
      <c r="AP568" s="399">
        <v>0</v>
      </c>
      <c r="AQ568" s="399">
        <v>0</v>
      </c>
      <c r="AR568" s="399">
        <v>0</v>
      </c>
      <c r="AS568" s="399"/>
      <c r="AT568" s="399"/>
      <c r="AU568" s="399">
        <v>0</v>
      </c>
      <c r="AV568" s="399">
        <v>0</v>
      </c>
      <c r="AW568" s="399">
        <v>0</v>
      </c>
      <c r="AX568" s="399"/>
      <c r="AY568" s="399"/>
      <c r="AZ568" s="399">
        <v>0</v>
      </c>
      <c r="BA568" s="399"/>
      <c r="BB568" s="399">
        <v>0</v>
      </c>
      <c r="BC568" s="399">
        <v>0</v>
      </c>
      <c r="BD568" s="399">
        <v>0</v>
      </c>
      <c r="BE568" s="399">
        <v>0</v>
      </c>
      <c r="BF568" s="399"/>
      <c r="BG568" s="399">
        <v>0</v>
      </c>
      <c r="BH568" s="399">
        <v>0</v>
      </c>
      <c r="BI568" s="399">
        <v>0</v>
      </c>
      <c r="BJ568" s="399">
        <v>0</v>
      </c>
      <c r="BK568" s="399">
        <v>0</v>
      </c>
      <c r="BL568" s="399">
        <v>0</v>
      </c>
      <c r="BM568" s="399"/>
      <c r="BN568" s="399"/>
      <c r="BO568" s="399">
        <v>307.40000000000003</v>
      </c>
      <c r="BP568" s="399"/>
      <c r="BQ568" s="399"/>
      <c r="BR568" s="399"/>
      <c r="BS568" s="399"/>
      <c r="BT568" s="399"/>
      <c r="BU568" s="399"/>
      <c r="BV568" s="399">
        <v>0</v>
      </c>
      <c r="BW568" s="399"/>
      <c r="BX568" s="399"/>
      <c r="BY568" s="399"/>
      <c r="BZ568" s="399"/>
      <c r="CA568" s="399"/>
      <c r="CB568" s="399"/>
      <c r="CC568" s="399"/>
      <c r="CD568" s="399"/>
      <c r="CE568" s="399"/>
      <c r="CF568" s="399"/>
      <c r="CG568" s="399"/>
      <c r="CH568" s="399"/>
      <c r="CI568" s="399">
        <v>307.40000000000003</v>
      </c>
      <c r="CJ568" s="399">
        <v>-84.129999999999939</v>
      </c>
      <c r="CK568" s="399"/>
      <c r="CL568" s="399"/>
      <c r="CM568" s="399"/>
      <c r="CN568" s="399"/>
      <c r="CO568" s="399">
        <v>-168.20000000000002</v>
      </c>
      <c r="CP568" s="399">
        <v>0</v>
      </c>
      <c r="CQ568" s="399">
        <v>31</v>
      </c>
      <c r="CR568" s="399">
        <v>-0.4416701917192345</v>
      </c>
      <c r="CS568" s="399">
        <v>0</v>
      </c>
      <c r="CT568" s="399">
        <v>0</v>
      </c>
      <c r="CU568" s="399">
        <v>0</v>
      </c>
      <c r="CV568" s="399">
        <v>0</v>
      </c>
      <c r="CW568" s="399"/>
      <c r="CX568" s="399"/>
      <c r="CY568" s="399"/>
      <c r="CZ568" s="399">
        <v>0</v>
      </c>
      <c r="DA568" s="399">
        <v>0</v>
      </c>
      <c r="DB568" s="399">
        <v>0</v>
      </c>
      <c r="DC568" s="399"/>
      <c r="DD568" s="399"/>
      <c r="DE568" s="399">
        <v>0</v>
      </c>
      <c r="DF568" s="399">
        <v>0</v>
      </c>
      <c r="DG568" s="399">
        <v>0</v>
      </c>
      <c r="DH568" s="399">
        <v>0</v>
      </c>
      <c r="DI568" s="399">
        <v>0</v>
      </c>
      <c r="DJ568" s="399"/>
      <c r="DK568" s="399">
        <v>0</v>
      </c>
      <c r="DL568" s="399">
        <v>0</v>
      </c>
      <c r="DM568" s="399"/>
      <c r="DN568" s="399">
        <v>0</v>
      </c>
      <c r="DO568" s="399">
        <v>0</v>
      </c>
      <c r="DP568" s="399">
        <v>-0.4416701917192345</v>
      </c>
      <c r="DQ568" s="399">
        <v>0</v>
      </c>
      <c r="DR568" s="399">
        <v>0</v>
      </c>
      <c r="DS568" s="399"/>
      <c r="DT568" s="399"/>
      <c r="DU568" s="399">
        <v>780.58671881564101</v>
      </c>
      <c r="DV568" s="399"/>
      <c r="DW568" s="399">
        <v>0</v>
      </c>
      <c r="DX568" s="399">
        <v>0</v>
      </c>
      <c r="DY568" s="399">
        <v>-168.19999999999993</v>
      </c>
      <c r="DZ568" s="399"/>
      <c r="EA568" s="399">
        <v>0</v>
      </c>
      <c r="EB568" s="399"/>
      <c r="EC568" s="399">
        <v>-168.75863688857646</v>
      </c>
      <c r="ED568" s="399"/>
      <c r="EE568" s="399">
        <v>0</v>
      </c>
      <c r="EF568" s="399">
        <v>0</v>
      </c>
      <c r="EG568" s="399"/>
      <c r="EH568" s="399">
        <v>0</v>
      </c>
      <c r="EI568" s="399">
        <v>0</v>
      </c>
      <c r="EJ568" s="399">
        <v>0</v>
      </c>
      <c r="EK568" s="399">
        <v>0</v>
      </c>
      <c r="EL568" s="399">
        <v>0</v>
      </c>
      <c r="EM568" s="399"/>
      <c r="EN568" s="399"/>
      <c r="EO568" s="399">
        <v>0</v>
      </c>
      <c r="EP568" s="399">
        <v>0</v>
      </c>
      <c r="EQ568" s="399"/>
      <c r="ER568" s="399">
        <v>0</v>
      </c>
      <c r="ES568" s="399"/>
      <c r="ET568" s="399">
        <v>0</v>
      </c>
      <c r="EU568" s="399"/>
      <c r="EV568" s="399">
        <v>215</v>
      </c>
      <c r="EW568" s="399"/>
      <c r="EX568" s="399"/>
      <c r="EY568" s="399"/>
      <c r="EZ568" s="399"/>
      <c r="FA568" s="399">
        <v>0</v>
      </c>
      <c r="FB568" s="399"/>
      <c r="FC568" s="399"/>
      <c r="FD568" s="399"/>
      <c r="FE568" s="399"/>
      <c r="FF568" s="399">
        <v>0</v>
      </c>
      <c r="FG568" s="399">
        <v>0</v>
      </c>
      <c r="FH568" s="399">
        <v>0</v>
      </c>
      <c r="FI568" s="399">
        <v>0</v>
      </c>
    </row>
    <row r="569" spans="1:165">
      <c r="A569" s="399">
        <v>573</v>
      </c>
      <c r="B569" s="399" t="s">
        <v>956</v>
      </c>
      <c r="C569" s="399" t="s">
        <v>913</v>
      </c>
      <c r="D569" s="399" t="s">
        <v>533</v>
      </c>
      <c r="E569" s="399" t="s">
        <v>1239</v>
      </c>
      <c r="F569" s="399" t="s">
        <v>1239</v>
      </c>
      <c r="G569" s="399" t="s">
        <v>1239</v>
      </c>
      <c r="H569" s="399" t="s">
        <v>2364</v>
      </c>
      <c r="I569" s="399" t="s">
        <v>1239</v>
      </c>
      <c r="J569" s="399" t="s">
        <v>2365</v>
      </c>
      <c r="K569" s="791">
        <v>44593</v>
      </c>
      <c r="L569" s="399">
        <v>155</v>
      </c>
      <c r="M569" s="399">
        <v>77.5</v>
      </c>
      <c r="N569" s="399">
        <v>0</v>
      </c>
      <c r="O569" s="399">
        <v>0</v>
      </c>
      <c r="P569" s="399">
        <v>0</v>
      </c>
      <c r="Q569" s="399">
        <v>0</v>
      </c>
      <c r="R569" s="399">
        <v>2.7</v>
      </c>
      <c r="S569" s="399"/>
      <c r="T569" s="399"/>
      <c r="U569" s="399">
        <v>418.5</v>
      </c>
      <c r="V569" s="399"/>
      <c r="W569" s="399">
        <v>418.5</v>
      </c>
      <c r="X569" s="399">
        <v>328.6</v>
      </c>
      <c r="Y569" s="399">
        <v>0</v>
      </c>
      <c r="Z569" s="399">
        <v>0</v>
      </c>
      <c r="AA569" s="399">
        <v>0</v>
      </c>
      <c r="AB569" s="399">
        <v>0</v>
      </c>
      <c r="AC569" s="399">
        <v>0</v>
      </c>
      <c r="AD569" s="399">
        <v>0</v>
      </c>
      <c r="AE569" s="399">
        <v>417.2101428152564</v>
      </c>
      <c r="AF569" s="399"/>
      <c r="AG569" s="399"/>
      <c r="AH569" s="399"/>
      <c r="AI569" s="399">
        <v>0</v>
      </c>
      <c r="AJ569" s="399">
        <v>0</v>
      </c>
      <c r="AK569" s="399">
        <v>0</v>
      </c>
      <c r="AL569" s="399">
        <v>0</v>
      </c>
      <c r="AM569" s="399"/>
      <c r="AN569" s="399">
        <v>1.5081603849342737</v>
      </c>
      <c r="AO569" s="399">
        <v>0</v>
      </c>
      <c r="AP569" s="399">
        <v>0</v>
      </c>
      <c r="AQ569" s="399">
        <v>0</v>
      </c>
      <c r="AR569" s="399">
        <v>0</v>
      </c>
      <c r="AS569" s="399"/>
      <c r="AT569" s="399"/>
      <c r="AU569" s="399">
        <v>0</v>
      </c>
      <c r="AV569" s="399">
        <v>0</v>
      </c>
      <c r="AW569" s="399">
        <v>0</v>
      </c>
      <c r="AX569" s="399"/>
      <c r="AY569" s="399"/>
      <c r="AZ569" s="399">
        <v>0</v>
      </c>
      <c r="BA569" s="399"/>
      <c r="BB569" s="399">
        <v>0</v>
      </c>
      <c r="BC569" s="399">
        <v>0</v>
      </c>
      <c r="BD569" s="399">
        <v>0</v>
      </c>
      <c r="BE569" s="399">
        <v>0</v>
      </c>
      <c r="BF569" s="399"/>
      <c r="BG569" s="399">
        <v>0</v>
      </c>
      <c r="BH569" s="399">
        <v>0</v>
      </c>
      <c r="BI569" s="399">
        <v>0</v>
      </c>
      <c r="BJ569" s="399">
        <v>0</v>
      </c>
      <c r="BK569" s="399">
        <v>0</v>
      </c>
      <c r="BL569" s="399">
        <v>0</v>
      </c>
      <c r="BM569" s="399"/>
      <c r="BN569" s="399"/>
      <c r="BO569" s="399">
        <v>164.3</v>
      </c>
      <c r="BP569" s="399"/>
      <c r="BQ569" s="399"/>
      <c r="BR569" s="399"/>
      <c r="BS569" s="399"/>
      <c r="BT569" s="399"/>
      <c r="BU569" s="399"/>
      <c r="BV569" s="399">
        <v>0</v>
      </c>
      <c r="BW569" s="399"/>
      <c r="BX569" s="399"/>
      <c r="BY569" s="399"/>
      <c r="BZ569" s="399"/>
      <c r="CA569" s="399"/>
      <c r="CB569" s="399"/>
      <c r="CC569" s="399"/>
      <c r="CD569" s="399"/>
      <c r="CE569" s="399"/>
      <c r="CF569" s="399"/>
      <c r="CG569" s="399"/>
      <c r="CH569" s="399"/>
      <c r="CI569" s="399">
        <v>164.3</v>
      </c>
      <c r="CJ569" s="399">
        <v>-44.979999999999961</v>
      </c>
      <c r="CK569" s="399"/>
      <c r="CL569" s="399"/>
      <c r="CM569" s="399"/>
      <c r="CN569" s="399"/>
      <c r="CO569" s="399">
        <v>-89.9</v>
      </c>
      <c r="CP569" s="399">
        <v>0</v>
      </c>
      <c r="CQ569" s="399">
        <v>29</v>
      </c>
      <c r="CR569" s="399">
        <v>-0.23606510247062551</v>
      </c>
      <c r="CS569" s="399">
        <v>0</v>
      </c>
      <c r="CT569" s="399">
        <v>0</v>
      </c>
      <c r="CU569" s="399">
        <v>0</v>
      </c>
      <c r="CV569" s="399">
        <v>0</v>
      </c>
      <c r="CW569" s="399"/>
      <c r="CX569" s="399"/>
      <c r="CY569" s="399"/>
      <c r="CZ569" s="399">
        <v>0</v>
      </c>
      <c r="DA569" s="399">
        <v>0</v>
      </c>
      <c r="DB569" s="399">
        <v>0</v>
      </c>
      <c r="DC569" s="399"/>
      <c r="DD569" s="399"/>
      <c r="DE569" s="399">
        <v>0</v>
      </c>
      <c r="DF569" s="399">
        <v>0</v>
      </c>
      <c r="DG569" s="399">
        <v>0</v>
      </c>
      <c r="DH569" s="399">
        <v>0</v>
      </c>
      <c r="DI569" s="399">
        <v>0</v>
      </c>
      <c r="DJ569" s="399"/>
      <c r="DK569" s="399">
        <v>0</v>
      </c>
      <c r="DL569" s="399">
        <v>0</v>
      </c>
      <c r="DM569" s="399"/>
      <c r="DN569" s="399">
        <v>0</v>
      </c>
      <c r="DO569" s="399">
        <v>0</v>
      </c>
      <c r="DP569" s="399">
        <v>-0.23606510247062551</v>
      </c>
      <c r="DQ569" s="399">
        <v>0</v>
      </c>
      <c r="DR569" s="399">
        <v>0</v>
      </c>
      <c r="DS569" s="399"/>
      <c r="DT569" s="399"/>
      <c r="DU569" s="399">
        <v>417.2101428152564</v>
      </c>
      <c r="DV569" s="399"/>
      <c r="DW569" s="399">
        <v>0</v>
      </c>
      <c r="DX569" s="399">
        <v>0</v>
      </c>
      <c r="DY569" s="399">
        <v>-89.899999999999977</v>
      </c>
      <c r="DZ569" s="399"/>
      <c r="EA569" s="399">
        <v>0</v>
      </c>
      <c r="EB569" s="399"/>
      <c r="EC569" s="399">
        <v>-90.198581785273632</v>
      </c>
      <c r="ED569" s="399"/>
      <c r="EE569" s="399">
        <v>0</v>
      </c>
      <c r="EF569" s="399">
        <v>0</v>
      </c>
      <c r="EG569" s="399"/>
      <c r="EH569" s="399">
        <v>0</v>
      </c>
      <c r="EI569" s="399">
        <v>0</v>
      </c>
      <c r="EJ569" s="399">
        <v>0</v>
      </c>
      <c r="EK569" s="399">
        <v>0</v>
      </c>
      <c r="EL569" s="399">
        <v>0</v>
      </c>
      <c r="EM569" s="399"/>
      <c r="EN569" s="399"/>
      <c r="EO569" s="399">
        <v>0</v>
      </c>
      <c r="EP569" s="399">
        <v>0</v>
      </c>
      <c r="EQ569" s="399"/>
      <c r="ER569" s="399">
        <v>0</v>
      </c>
      <c r="ES569" s="399"/>
      <c r="ET569" s="399">
        <v>0</v>
      </c>
      <c r="EU569" s="399"/>
      <c r="EV569" s="399">
        <v>215</v>
      </c>
      <c r="EW569" s="399"/>
      <c r="EX569" s="399"/>
      <c r="EY569" s="399"/>
      <c r="EZ569" s="399"/>
      <c r="FA569" s="399">
        <v>0</v>
      </c>
      <c r="FB569" s="399"/>
      <c r="FC569" s="399"/>
      <c r="FD569" s="399"/>
      <c r="FE569" s="399"/>
      <c r="FF569" s="399">
        <v>0</v>
      </c>
      <c r="FG569" s="399">
        <v>0</v>
      </c>
      <c r="FH569" s="399">
        <v>0</v>
      </c>
      <c r="FI569" s="399">
        <v>0</v>
      </c>
    </row>
    <row r="570" spans="1:165">
      <c r="A570" s="399">
        <v>574</v>
      </c>
      <c r="B570" s="399" t="s">
        <v>956</v>
      </c>
      <c r="C570" s="399" t="s">
        <v>913</v>
      </c>
      <c r="D570" s="399" t="s">
        <v>533</v>
      </c>
      <c r="E570" s="399" t="s">
        <v>1239</v>
      </c>
      <c r="F570" s="399" t="s">
        <v>1239</v>
      </c>
      <c r="G570" s="399" t="s">
        <v>1239</v>
      </c>
      <c r="H570" s="399" t="s">
        <v>2366</v>
      </c>
      <c r="I570" s="399" t="s">
        <v>1239</v>
      </c>
      <c r="J570" s="399" t="s">
        <v>2365</v>
      </c>
      <c r="K570" s="791">
        <v>44593</v>
      </c>
      <c r="L570" s="399">
        <v>290</v>
      </c>
      <c r="M570" s="399">
        <v>145</v>
      </c>
      <c r="N570" s="399">
        <v>0</v>
      </c>
      <c r="O570" s="399">
        <v>0</v>
      </c>
      <c r="P570" s="399">
        <v>0</v>
      </c>
      <c r="Q570" s="399">
        <v>0</v>
      </c>
      <c r="R570" s="399">
        <v>2.7</v>
      </c>
      <c r="S570" s="399"/>
      <c r="T570" s="399"/>
      <c r="U570" s="399">
        <v>783</v>
      </c>
      <c r="V570" s="399"/>
      <c r="W570" s="399">
        <v>783</v>
      </c>
      <c r="X570" s="399">
        <v>614.80000000000007</v>
      </c>
      <c r="Y570" s="399">
        <v>0</v>
      </c>
      <c r="Z570" s="399">
        <v>0</v>
      </c>
      <c r="AA570" s="399">
        <v>0</v>
      </c>
      <c r="AB570" s="399">
        <v>0</v>
      </c>
      <c r="AC570" s="399">
        <v>0</v>
      </c>
      <c r="AD570" s="399">
        <v>0</v>
      </c>
      <c r="AE570" s="399">
        <v>780.58671881564101</v>
      </c>
      <c r="AF570" s="399"/>
      <c r="AG570" s="399"/>
      <c r="AH570" s="399"/>
      <c r="AI570" s="399">
        <v>0</v>
      </c>
      <c r="AJ570" s="399">
        <v>0</v>
      </c>
      <c r="AK570" s="399">
        <v>0</v>
      </c>
      <c r="AL570" s="399">
        <v>0</v>
      </c>
      <c r="AM570" s="399"/>
      <c r="AN570" s="399">
        <v>2.8217194298770281</v>
      </c>
      <c r="AO570" s="399">
        <v>0</v>
      </c>
      <c r="AP570" s="399">
        <v>0</v>
      </c>
      <c r="AQ570" s="399">
        <v>0</v>
      </c>
      <c r="AR570" s="399">
        <v>0</v>
      </c>
      <c r="AS570" s="399"/>
      <c r="AT570" s="399"/>
      <c r="AU570" s="399">
        <v>0</v>
      </c>
      <c r="AV570" s="399">
        <v>0</v>
      </c>
      <c r="AW570" s="399">
        <v>0</v>
      </c>
      <c r="AX570" s="399"/>
      <c r="AY570" s="399"/>
      <c r="AZ570" s="399">
        <v>0</v>
      </c>
      <c r="BA570" s="399"/>
      <c r="BB570" s="399">
        <v>0</v>
      </c>
      <c r="BC570" s="399">
        <v>0</v>
      </c>
      <c r="BD570" s="399">
        <v>0</v>
      </c>
      <c r="BE570" s="399">
        <v>0</v>
      </c>
      <c r="BF570" s="399"/>
      <c r="BG570" s="399">
        <v>0</v>
      </c>
      <c r="BH570" s="399">
        <v>0</v>
      </c>
      <c r="BI570" s="399">
        <v>0</v>
      </c>
      <c r="BJ570" s="399">
        <v>0</v>
      </c>
      <c r="BK570" s="399">
        <v>0</v>
      </c>
      <c r="BL570" s="399">
        <v>0</v>
      </c>
      <c r="BM570" s="399"/>
      <c r="BN570" s="399"/>
      <c r="BO570" s="399">
        <v>307.40000000000003</v>
      </c>
      <c r="BP570" s="399"/>
      <c r="BQ570" s="399"/>
      <c r="BR570" s="399"/>
      <c r="BS570" s="399"/>
      <c r="BT570" s="399"/>
      <c r="BU570" s="399"/>
      <c r="BV570" s="399">
        <v>0</v>
      </c>
      <c r="BW570" s="399"/>
      <c r="BX570" s="399"/>
      <c r="BY570" s="399"/>
      <c r="BZ570" s="399"/>
      <c r="CA570" s="399"/>
      <c r="CB570" s="399"/>
      <c r="CC570" s="399"/>
      <c r="CD570" s="399"/>
      <c r="CE570" s="399"/>
      <c r="CF570" s="399"/>
      <c r="CG570" s="399"/>
      <c r="CH570" s="399"/>
      <c r="CI570" s="399">
        <v>307.40000000000003</v>
      </c>
      <c r="CJ570" s="399">
        <v>-84.129999999999939</v>
      </c>
      <c r="CK570" s="399"/>
      <c r="CL570" s="399"/>
      <c r="CM570" s="399"/>
      <c r="CN570" s="399"/>
      <c r="CO570" s="399">
        <v>-168.20000000000002</v>
      </c>
      <c r="CP570" s="399">
        <v>0</v>
      </c>
      <c r="CQ570" s="399">
        <v>29</v>
      </c>
      <c r="CR570" s="399">
        <v>-0.4416701917192345</v>
      </c>
      <c r="CS570" s="399">
        <v>0</v>
      </c>
      <c r="CT570" s="399">
        <v>0</v>
      </c>
      <c r="CU570" s="399">
        <v>0</v>
      </c>
      <c r="CV570" s="399">
        <v>0</v>
      </c>
      <c r="CW570" s="399"/>
      <c r="CX570" s="399"/>
      <c r="CY570" s="399"/>
      <c r="CZ570" s="399">
        <v>0</v>
      </c>
      <c r="DA570" s="399">
        <v>0</v>
      </c>
      <c r="DB570" s="399">
        <v>0</v>
      </c>
      <c r="DC570" s="399"/>
      <c r="DD570" s="399"/>
      <c r="DE570" s="399">
        <v>0</v>
      </c>
      <c r="DF570" s="399">
        <v>0</v>
      </c>
      <c r="DG570" s="399">
        <v>0</v>
      </c>
      <c r="DH570" s="399">
        <v>0</v>
      </c>
      <c r="DI570" s="399">
        <v>0</v>
      </c>
      <c r="DJ570" s="399"/>
      <c r="DK570" s="399">
        <v>0</v>
      </c>
      <c r="DL570" s="399">
        <v>0</v>
      </c>
      <c r="DM570" s="399"/>
      <c r="DN570" s="399">
        <v>0</v>
      </c>
      <c r="DO570" s="399">
        <v>0</v>
      </c>
      <c r="DP570" s="399">
        <v>-0.4416701917192345</v>
      </c>
      <c r="DQ570" s="399">
        <v>0</v>
      </c>
      <c r="DR570" s="399">
        <v>0</v>
      </c>
      <c r="DS570" s="399"/>
      <c r="DT570" s="399"/>
      <c r="DU570" s="399">
        <v>780.58671881564101</v>
      </c>
      <c r="DV570" s="399"/>
      <c r="DW570" s="399">
        <v>0</v>
      </c>
      <c r="DX570" s="399">
        <v>0</v>
      </c>
      <c r="DY570" s="399">
        <v>-168.19999999999993</v>
      </c>
      <c r="DZ570" s="399"/>
      <c r="EA570" s="399">
        <v>0</v>
      </c>
      <c r="EB570" s="399"/>
      <c r="EC570" s="399">
        <v>-168.75863688857646</v>
      </c>
      <c r="ED570" s="399"/>
      <c r="EE570" s="399">
        <v>0</v>
      </c>
      <c r="EF570" s="399">
        <v>0</v>
      </c>
      <c r="EG570" s="399"/>
      <c r="EH570" s="399">
        <v>0</v>
      </c>
      <c r="EI570" s="399">
        <v>0</v>
      </c>
      <c r="EJ570" s="399">
        <v>0</v>
      </c>
      <c r="EK570" s="399">
        <v>0</v>
      </c>
      <c r="EL570" s="399">
        <v>0</v>
      </c>
      <c r="EM570" s="399"/>
      <c r="EN570" s="399"/>
      <c r="EO570" s="399">
        <v>0</v>
      </c>
      <c r="EP570" s="399">
        <v>0</v>
      </c>
      <c r="EQ570" s="399"/>
      <c r="ER570" s="399">
        <v>0</v>
      </c>
      <c r="ES570" s="399"/>
      <c r="ET570" s="399">
        <v>0</v>
      </c>
      <c r="EU570" s="399"/>
      <c r="EV570" s="399">
        <v>215</v>
      </c>
      <c r="EW570" s="399"/>
      <c r="EX570" s="399"/>
      <c r="EY570" s="399"/>
      <c r="EZ570" s="399"/>
      <c r="FA570" s="399">
        <v>0</v>
      </c>
      <c r="FB570" s="399"/>
      <c r="FC570" s="399"/>
      <c r="FD570" s="399"/>
      <c r="FE570" s="399"/>
      <c r="FF570" s="399">
        <v>0</v>
      </c>
      <c r="FG570" s="399">
        <v>0</v>
      </c>
      <c r="FH570" s="399">
        <v>0</v>
      </c>
      <c r="FI570" s="399">
        <v>0</v>
      </c>
    </row>
    <row r="571" spans="1:165">
      <c r="A571" s="399">
        <v>575</v>
      </c>
      <c r="B571" s="399" t="s">
        <v>956</v>
      </c>
      <c r="C571" s="399" t="s">
        <v>913</v>
      </c>
      <c r="D571" s="399" t="s">
        <v>533</v>
      </c>
      <c r="E571" s="399" t="s">
        <v>1239</v>
      </c>
      <c r="F571" s="399" t="s">
        <v>1239</v>
      </c>
      <c r="G571" s="399" t="s">
        <v>1239</v>
      </c>
      <c r="H571" s="399" t="s">
        <v>2364</v>
      </c>
      <c r="I571" s="399" t="s">
        <v>1239</v>
      </c>
      <c r="J571" s="399" t="s">
        <v>2365</v>
      </c>
      <c r="K571" s="791">
        <v>44621</v>
      </c>
      <c r="L571" s="399">
        <v>155</v>
      </c>
      <c r="M571" s="399">
        <v>77.5</v>
      </c>
      <c r="N571" s="399">
        <v>0</v>
      </c>
      <c r="O571" s="399">
        <v>0</v>
      </c>
      <c r="P571" s="399">
        <v>0</v>
      </c>
      <c r="Q571" s="399">
        <v>0</v>
      </c>
      <c r="R571" s="399">
        <v>2.7</v>
      </c>
      <c r="S571" s="399"/>
      <c r="T571" s="399"/>
      <c r="U571" s="399">
        <v>418.5</v>
      </c>
      <c r="V571" s="399"/>
      <c r="W571" s="399">
        <v>418.5</v>
      </c>
      <c r="X571" s="399">
        <v>328.6</v>
      </c>
      <c r="Y571" s="399">
        <v>0</v>
      </c>
      <c r="Z571" s="399">
        <v>0</v>
      </c>
      <c r="AA571" s="399">
        <v>0</v>
      </c>
      <c r="AB571" s="399">
        <v>0</v>
      </c>
      <c r="AC571" s="399">
        <v>0</v>
      </c>
      <c r="AD571" s="399">
        <v>0</v>
      </c>
      <c r="AE571" s="399">
        <v>417.2101428152564</v>
      </c>
      <c r="AF571" s="399"/>
      <c r="AG571" s="399"/>
      <c r="AH571" s="399"/>
      <c r="AI571" s="399">
        <v>0</v>
      </c>
      <c r="AJ571" s="399">
        <v>0</v>
      </c>
      <c r="AK571" s="399">
        <v>0</v>
      </c>
      <c r="AL571" s="399">
        <v>0</v>
      </c>
      <c r="AM571" s="399"/>
      <c r="AN571" s="399">
        <v>1.5081603849342737</v>
      </c>
      <c r="AO571" s="399">
        <v>0</v>
      </c>
      <c r="AP571" s="399">
        <v>0</v>
      </c>
      <c r="AQ571" s="399">
        <v>0</v>
      </c>
      <c r="AR571" s="399">
        <v>0</v>
      </c>
      <c r="AS571" s="399"/>
      <c r="AT571" s="399"/>
      <c r="AU571" s="399">
        <v>0</v>
      </c>
      <c r="AV571" s="399">
        <v>0</v>
      </c>
      <c r="AW571" s="399">
        <v>0</v>
      </c>
      <c r="AX571" s="399"/>
      <c r="AY571" s="399"/>
      <c r="AZ571" s="399">
        <v>0</v>
      </c>
      <c r="BA571" s="399"/>
      <c r="BB571" s="399">
        <v>0</v>
      </c>
      <c r="BC571" s="399">
        <v>0</v>
      </c>
      <c r="BD571" s="399">
        <v>0</v>
      </c>
      <c r="BE571" s="399">
        <v>0</v>
      </c>
      <c r="BF571" s="399"/>
      <c r="BG571" s="399">
        <v>0</v>
      </c>
      <c r="BH571" s="399">
        <v>0</v>
      </c>
      <c r="BI571" s="399">
        <v>0</v>
      </c>
      <c r="BJ571" s="399">
        <v>0</v>
      </c>
      <c r="BK571" s="399">
        <v>0</v>
      </c>
      <c r="BL571" s="399">
        <v>0</v>
      </c>
      <c r="BM571" s="399"/>
      <c r="BN571" s="399"/>
      <c r="BO571" s="399">
        <v>164.3</v>
      </c>
      <c r="BP571" s="399"/>
      <c r="BQ571" s="399"/>
      <c r="BR571" s="399"/>
      <c r="BS571" s="399"/>
      <c r="BT571" s="399"/>
      <c r="BU571" s="399"/>
      <c r="BV571" s="399">
        <v>0</v>
      </c>
      <c r="BW571" s="399"/>
      <c r="BX571" s="399"/>
      <c r="BY571" s="399"/>
      <c r="BZ571" s="399"/>
      <c r="CA571" s="399"/>
      <c r="CB571" s="399"/>
      <c r="CC571" s="399"/>
      <c r="CD571" s="399"/>
      <c r="CE571" s="399"/>
      <c r="CF571" s="399"/>
      <c r="CG571" s="399"/>
      <c r="CH571" s="399"/>
      <c r="CI571" s="399">
        <v>164.3</v>
      </c>
      <c r="CJ571" s="399">
        <v>-44.979999999999961</v>
      </c>
      <c r="CK571" s="399"/>
      <c r="CL571" s="399"/>
      <c r="CM571" s="399"/>
      <c r="CN571" s="399"/>
      <c r="CO571" s="399">
        <v>-89.9</v>
      </c>
      <c r="CP571" s="399">
        <v>0</v>
      </c>
      <c r="CQ571" s="399">
        <v>31</v>
      </c>
      <c r="CR571" s="399">
        <v>-0.23606510247062551</v>
      </c>
      <c r="CS571" s="399">
        <v>0</v>
      </c>
      <c r="CT571" s="399">
        <v>0</v>
      </c>
      <c r="CU571" s="399">
        <v>0</v>
      </c>
      <c r="CV571" s="399">
        <v>0</v>
      </c>
      <c r="CW571" s="399"/>
      <c r="CX571" s="399"/>
      <c r="CY571" s="399"/>
      <c r="CZ571" s="399">
        <v>0</v>
      </c>
      <c r="DA571" s="399">
        <v>0</v>
      </c>
      <c r="DB571" s="399">
        <v>0</v>
      </c>
      <c r="DC571" s="399"/>
      <c r="DD571" s="399"/>
      <c r="DE571" s="399">
        <v>0</v>
      </c>
      <c r="DF571" s="399">
        <v>0</v>
      </c>
      <c r="DG571" s="399">
        <v>0</v>
      </c>
      <c r="DH571" s="399">
        <v>0</v>
      </c>
      <c r="DI571" s="399">
        <v>0</v>
      </c>
      <c r="DJ571" s="399"/>
      <c r="DK571" s="399">
        <v>0</v>
      </c>
      <c r="DL571" s="399">
        <v>0</v>
      </c>
      <c r="DM571" s="399"/>
      <c r="DN571" s="399">
        <v>0</v>
      </c>
      <c r="DO571" s="399">
        <v>0</v>
      </c>
      <c r="DP571" s="399">
        <v>-0.23606510247062551</v>
      </c>
      <c r="DQ571" s="399">
        <v>0</v>
      </c>
      <c r="DR571" s="399">
        <v>0</v>
      </c>
      <c r="DS571" s="399"/>
      <c r="DT571" s="399"/>
      <c r="DU571" s="399">
        <v>417.2101428152564</v>
      </c>
      <c r="DV571" s="399"/>
      <c r="DW571" s="399">
        <v>0</v>
      </c>
      <c r="DX571" s="399">
        <v>0</v>
      </c>
      <c r="DY571" s="399">
        <v>-89.899999999999977</v>
      </c>
      <c r="DZ571" s="399"/>
      <c r="EA571" s="399">
        <v>0</v>
      </c>
      <c r="EB571" s="399"/>
      <c r="EC571" s="399">
        <v>-90.198581785273632</v>
      </c>
      <c r="ED571" s="399"/>
      <c r="EE571" s="399">
        <v>0</v>
      </c>
      <c r="EF571" s="399">
        <v>0</v>
      </c>
      <c r="EG571" s="399"/>
      <c r="EH571" s="399">
        <v>0</v>
      </c>
      <c r="EI571" s="399">
        <v>0</v>
      </c>
      <c r="EJ571" s="399">
        <v>0</v>
      </c>
      <c r="EK571" s="399">
        <v>0</v>
      </c>
      <c r="EL571" s="399">
        <v>0</v>
      </c>
      <c r="EM571" s="399"/>
      <c r="EN571" s="399"/>
      <c r="EO571" s="399">
        <v>0</v>
      </c>
      <c r="EP571" s="399">
        <v>0</v>
      </c>
      <c r="EQ571" s="399"/>
      <c r="ER571" s="399">
        <v>0</v>
      </c>
      <c r="ES571" s="399"/>
      <c r="ET571" s="399">
        <v>0</v>
      </c>
      <c r="EU571" s="399"/>
      <c r="EV571" s="399">
        <v>215</v>
      </c>
      <c r="EW571" s="399"/>
      <c r="EX571" s="399"/>
      <c r="EY571" s="399"/>
      <c r="EZ571" s="399"/>
      <c r="FA571" s="399">
        <v>0</v>
      </c>
      <c r="FB571" s="399"/>
      <c r="FC571" s="399"/>
      <c r="FD571" s="399"/>
      <c r="FE571" s="399"/>
      <c r="FF571" s="399">
        <v>0</v>
      </c>
      <c r="FG571" s="399">
        <v>0</v>
      </c>
      <c r="FH571" s="399">
        <v>0</v>
      </c>
      <c r="FI571" s="399">
        <v>0</v>
      </c>
    </row>
    <row r="572" spans="1:165">
      <c r="A572" s="399">
        <v>576</v>
      </c>
      <c r="B572" s="399" t="s">
        <v>956</v>
      </c>
      <c r="C572" s="399" t="s">
        <v>913</v>
      </c>
      <c r="D572" s="399" t="s">
        <v>533</v>
      </c>
      <c r="E572" s="399" t="s">
        <v>1239</v>
      </c>
      <c r="F572" s="399" t="s">
        <v>1239</v>
      </c>
      <c r="G572" s="399" t="s">
        <v>1239</v>
      </c>
      <c r="H572" s="399" t="s">
        <v>2366</v>
      </c>
      <c r="I572" s="399" t="s">
        <v>1239</v>
      </c>
      <c r="J572" s="399" t="s">
        <v>2365</v>
      </c>
      <c r="K572" s="791">
        <v>44621</v>
      </c>
      <c r="L572" s="399">
        <v>290</v>
      </c>
      <c r="M572" s="399">
        <v>145</v>
      </c>
      <c r="N572" s="399">
        <v>0</v>
      </c>
      <c r="O572" s="399">
        <v>0</v>
      </c>
      <c r="P572" s="399">
        <v>0</v>
      </c>
      <c r="Q572" s="399">
        <v>0</v>
      </c>
      <c r="R572" s="399">
        <v>2.7</v>
      </c>
      <c r="S572" s="399"/>
      <c r="T572" s="399"/>
      <c r="U572" s="399">
        <v>783</v>
      </c>
      <c r="V572" s="399"/>
      <c r="W572" s="399">
        <v>783</v>
      </c>
      <c r="X572" s="399">
        <v>614.80000000000007</v>
      </c>
      <c r="Y572" s="399">
        <v>0</v>
      </c>
      <c r="Z572" s="399">
        <v>0</v>
      </c>
      <c r="AA572" s="399">
        <v>0</v>
      </c>
      <c r="AB572" s="399">
        <v>0</v>
      </c>
      <c r="AC572" s="399">
        <v>0</v>
      </c>
      <c r="AD572" s="399">
        <v>0</v>
      </c>
      <c r="AE572" s="399">
        <v>780.58671881564101</v>
      </c>
      <c r="AF572" s="399"/>
      <c r="AG572" s="399"/>
      <c r="AH572" s="399"/>
      <c r="AI572" s="399">
        <v>0</v>
      </c>
      <c r="AJ572" s="399">
        <v>0</v>
      </c>
      <c r="AK572" s="399">
        <v>0</v>
      </c>
      <c r="AL572" s="399">
        <v>0</v>
      </c>
      <c r="AM572" s="399"/>
      <c r="AN572" s="399">
        <v>2.8217194298770281</v>
      </c>
      <c r="AO572" s="399">
        <v>0</v>
      </c>
      <c r="AP572" s="399">
        <v>0</v>
      </c>
      <c r="AQ572" s="399">
        <v>0</v>
      </c>
      <c r="AR572" s="399">
        <v>0</v>
      </c>
      <c r="AS572" s="399"/>
      <c r="AT572" s="399"/>
      <c r="AU572" s="399">
        <v>0</v>
      </c>
      <c r="AV572" s="399">
        <v>0</v>
      </c>
      <c r="AW572" s="399">
        <v>0</v>
      </c>
      <c r="AX572" s="399"/>
      <c r="AY572" s="399"/>
      <c r="AZ572" s="399">
        <v>0</v>
      </c>
      <c r="BA572" s="399"/>
      <c r="BB572" s="399">
        <v>0</v>
      </c>
      <c r="BC572" s="399">
        <v>0</v>
      </c>
      <c r="BD572" s="399">
        <v>0</v>
      </c>
      <c r="BE572" s="399">
        <v>0</v>
      </c>
      <c r="BF572" s="399"/>
      <c r="BG572" s="399">
        <v>0</v>
      </c>
      <c r="BH572" s="399">
        <v>0</v>
      </c>
      <c r="BI572" s="399">
        <v>0</v>
      </c>
      <c r="BJ572" s="399">
        <v>0</v>
      </c>
      <c r="BK572" s="399">
        <v>0</v>
      </c>
      <c r="BL572" s="399">
        <v>0</v>
      </c>
      <c r="BM572" s="399"/>
      <c r="BN572" s="399"/>
      <c r="BO572" s="399">
        <v>307.40000000000003</v>
      </c>
      <c r="BP572" s="399"/>
      <c r="BQ572" s="399"/>
      <c r="BR572" s="399"/>
      <c r="BS572" s="399"/>
      <c r="BT572" s="399"/>
      <c r="BU572" s="399"/>
      <c r="BV572" s="399">
        <v>0</v>
      </c>
      <c r="BW572" s="399"/>
      <c r="BX572" s="399"/>
      <c r="BY572" s="399"/>
      <c r="BZ572" s="399"/>
      <c r="CA572" s="399"/>
      <c r="CB572" s="399"/>
      <c r="CC572" s="399"/>
      <c r="CD572" s="399"/>
      <c r="CE572" s="399"/>
      <c r="CF572" s="399"/>
      <c r="CG572" s="399"/>
      <c r="CH572" s="399"/>
      <c r="CI572" s="399">
        <v>307.40000000000003</v>
      </c>
      <c r="CJ572" s="399">
        <v>-84.129999999999939</v>
      </c>
      <c r="CK572" s="399"/>
      <c r="CL572" s="399"/>
      <c r="CM572" s="399"/>
      <c r="CN572" s="399"/>
      <c r="CO572" s="399">
        <v>-168.20000000000002</v>
      </c>
      <c r="CP572" s="399">
        <v>0</v>
      </c>
      <c r="CQ572" s="399">
        <v>31</v>
      </c>
      <c r="CR572" s="399">
        <v>-0.4416701917192345</v>
      </c>
      <c r="CS572" s="399">
        <v>0</v>
      </c>
      <c r="CT572" s="399">
        <v>0</v>
      </c>
      <c r="CU572" s="399">
        <v>0</v>
      </c>
      <c r="CV572" s="399">
        <v>0</v>
      </c>
      <c r="CW572" s="399"/>
      <c r="CX572" s="399"/>
      <c r="CY572" s="399"/>
      <c r="CZ572" s="399">
        <v>0</v>
      </c>
      <c r="DA572" s="399">
        <v>0</v>
      </c>
      <c r="DB572" s="399">
        <v>0</v>
      </c>
      <c r="DC572" s="399"/>
      <c r="DD572" s="399"/>
      <c r="DE572" s="399">
        <v>0</v>
      </c>
      <c r="DF572" s="399">
        <v>0</v>
      </c>
      <c r="DG572" s="399">
        <v>0</v>
      </c>
      <c r="DH572" s="399">
        <v>0</v>
      </c>
      <c r="DI572" s="399">
        <v>0</v>
      </c>
      <c r="DJ572" s="399"/>
      <c r="DK572" s="399">
        <v>0</v>
      </c>
      <c r="DL572" s="399">
        <v>0</v>
      </c>
      <c r="DM572" s="399"/>
      <c r="DN572" s="399">
        <v>0</v>
      </c>
      <c r="DO572" s="399">
        <v>0</v>
      </c>
      <c r="DP572" s="399">
        <v>-0.4416701917192345</v>
      </c>
      <c r="DQ572" s="399">
        <v>0</v>
      </c>
      <c r="DR572" s="399">
        <v>0</v>
      </c>
      <c r="DS572" s="399"/>
      <c r="DT572" s="399"/>
      <c r="DU572" s="399">
        <v>780.58671881564101</v>
      </c>
      <c r="DV572" s="399"/>
      <c r="DW572" s="399">
        <v>0</v>
      </c>
      <c r="DX572" s="399">
        <v>0</v>
      </c>
      <c r="DY572" s="399">
        <v>-168.19999999999993</v>
      </c>
      <c r="DZ572" s="399"/>
      <c r="EA572" s="399">
        <v>0</v>
      </c>
      <c r="EB572" s="399"/>
      <c r="EC572" s="399">
        <v>-168.75863688857646</v>
      </c>
      <c r="ED572" s="399"/>
      <c r="EE572" s="399">
        <v>0</v>
      </c>
      <c r="EF572" s="399">
        <v>0</v>
      </c>
      <c r="EG572" s="399"/>
      <c r="EH572" s="399">
        <v>0</v>
      </c>
      <c r="EI572" s="399">
        <v>0</v>
      </c>
      <c r="EJ572" s="399">
        <v>0</v>
      </c>
      <c r="EK572" s="399">
        <v>0</v>
      </c>
      <c r="EL572" s="399">
        <v>0</v>
      </c>
      <c r="EM572" s="399"/>
      <c r="EN572" s="399"/>
      <c r="EO572" s="399">
        <v>0</v>
      </c>
      <c r="EP572" s="399">
        <v>0</v>
      </c>
      <c r="EQ572" s="399"/>
      <c r="ER572" s="399">
        <v>0</v>
      </c>
      <c r="ES572" s="399"/>
      <c r="ET572" s="399">
        <v>0</v>
      </c>
      <c r="EU572" s="399"/>
      <c r="EV572" s="399">
        <v>215</v>
      </c>
      <c r="EW572" s="399"/>
      <c r="EX572" s="399"/>
      <c r="EY572" s="399"/>
      <c r="EZ572" s="399"/>
      <c r="FA572" s="399">
        <v>0</v>
      </c>
      <c r="FB572" s="399"/>
      <c r="FC572" s="399"/>
      <c r="FD572" s="399"/>
      <c r="FE572" s="399"/>
      <c r="FF572" s="399">
        <v>0</v>
      </c>
      <c r="FG572" s="399">
        <v>0</v>
      </c>
      <c r="FH572" s="399">
        <v>0</v>
      </c>
      <c r="FI572" s="399">
        <v>0</v>
      </c>
    </row>
    <row r="573" spans="1:165">
      <c r="A573" s="399">
        <v>577</v>
      </c>
      <c r="B573" s="399" t="s">
        <v>956</v>
      </c>
      <c r="C573" s="399" t="s">
        <v>913</v>
      </c>
      <c r="D573" s="399" t="s">
        <v>533</v>
      </c>
      <c r="E573" s="399" t="s">
        <v>1239</v>
      </c>
      <c r="F573" s="399" t="s">
        <v>1239</v>
      </c>
      <c r="G573" s="399" t="s">
        <v>1239</v>
      </c>
      <c r="H573" s="399" t="s">
        <v>2364</v>
      </c>
      <c r="I573" s="399" t="s">
        <v>1239</v>
      </c>
      <c r="J573" s="399" t="s">
        <v>2365</v>
      </c>
      <c r="K573" s="791">
        <v>44652</v>
      </c>
      <c r="L573" s="399">
        <v>155</v>
      </c>
      <c r="M573" s="399">
        <v>77.5</v>
      </c>
      <c r="N573" s="399">
        <v>0</v>
      </c>
      <c r="O573" s="399">
        <v>0</v>
      </c>
      <c r="P573" s="399">
        <v>0</v>
      </c>
      <c r="Q573" s="399">
        <v>0</v>
      </c>
      <c r="R573" s="399">
        <v>2.7</v>
      </c>
      <c r="S573" s="399"/>
      <c r="T573" s="399"/>
      <c r="U573" s="399">
        <v>418.5</v>
      </c>
      <c r="V573" s="399"/>
      <c r="W573" s="399">
        <v>418.5</v>
      </c>
      <c r="X573" s="399">
        <v>328.6</v>
      </c>
      <c r="Y573" s="399">
        <v>0</v>
      </c>
      <c r="Z573" s="399">
        <v>0</v>
      </c>
      <c r="AA573" s="399">
        <v>0</v>
      </c>
      <c r="AB573" s="399">
        <v>0</v>
      </c>
      <c r="AC573" s="399">
        <v>0</v>
      </c>
      <c r="AD573" s="399">
        <v>0</v>
      </c>
      <c r="AE573" s="399">
        <v>417.2101428152564</v>
      </c>
      <c r="AF573" s="399"/>
      <c r="AG573" s="399"/>
      <c r="AH573" s="399"/>
      <c r="AI573" s="399">
        <v>0</v>
      </c>
      <c r="AJ573" s="399">
        <v>0</v>
      </c>
      <c r="AK573" s="399">
        <v>0</v>
      </c>
      <c r="AL573" s="399">
        <v>0</v>
      </c>
      <c r="AM573" s="399"/>
      <c r="AN573" s="399">
        <v>1.5081603849342737</v>
      </c>
      <c r="AO573" s="399">
        <v>0</v>
      </c>
      <c r="AP573" s="399">
        <v>0</v>
      </c>
      <c r="AQ573" s="399">
        <v>0</v>
      </c>
      <c r="AR573" s="399">
        <v>0</v>
      </c>
      <c r="AS573" s="399"/>
      <c r="AT573" s="399"/>
      <c r="AU573" s="399">
        <v>0</v>
      </c>
      <c r="AV573" s="399">
        <v>0</v>
      </c>
      <c r="AW573" s="399">
        <v>0</v>
      </c>
      <c r="AX573" s="399"/>
      <c r="AY573" s="399"/>
      <c r="AZ573" s="399">
        <v>0</v>
      </c>
      <c r="BA573" s="399"/>
      <c r="BB573" s="399">
        <v>0</v>
      </c>
      <c r="BC573" s="399">
        <v>0</v>
      </c>
      <c r="BD573" s="399">
        <v>0</v>
      </c>
      <c r="BE573" s="399">
        <v>0</v>
      </c>
      <c r="BF573" s="399"/>
      <c r="BG573" s="399">
        <v>0</v>
      </c>
      <c r="BH573" s="399">
        <v>0</v>
      </c>
      <c r="BI573" s="399">
        <v>0</v>
      </c>
      <c r="BJ573" s="399">
        <v>0</v>
      </c>
      <c r="BK573" s="399">
        <v>0</v>
      </c>
      <c r="BL573" s="399">
        <v>0</v>
      </c>
      <c r="BM573" s="399"/>
      <c r="BN573" s="399"/>
      <c r="BO573" s="399">
        <v>164.3</v>
      </c>
      <c r="BP573" s="399"/>
      <c r="BQ573" s="399"/>
      <c r="BR573" s="399"/>
      <c r="BS573" s="399"/>
      <c r="BT573" s="399"/>
      <c r="BU573" s="399"/>
      <c r="BV573" s="399">
        <v>0</v>
      </c>
      <c r="BW573" s="399"/>
      <c r="BX573" s="399"/>
      <c r="BY573" s="399"/>
      <c r="BZ573" s="399"/>
      <c r="CA573" s="399"/>
      <c r="CB573" s="399"/>
      <c r="CC573" s="399"/>
      <c r="CD573" s="399"/>
      <c r="CE573" s="399"/>
      <c r="CF573" s="399"/>
      <c r="CG573" s="399"/>
      <c r="CH573" s="399"/>
      <c r="CI573" s="399">
        <v>164.3</v>
      </c>
      <c r="CJ573" s="399">
        <v>-44.979999999999961</v>
      </c>
      <c r="CK573" s="399"/>
      <c r="CL573" s="399"/>
      <c r="CM573" s="399"/>
      <c r="CN573" s="399"/>
      <c r="CO573" s="399">
        <v>-89.9</v>
      </c>
      <c r="CP573" s="399">
        <v>0</v>
      </c>
      <c r="CQ573" s="399">
        <v>30</v>
      </c>
      <c r="CR573" s="399">
        <v>-0.23606510247062551</v>
      </c>
      <c r="CS573" s="399">
        <v>0</v>
      </c>
      <c r="CT573" s="399">
        <v>0</v>
      </c>
      <c r="CU573" s="399">
        <v>0</v>
      </c>
      <c r="CV573" s="399">
        <v>0</v>
      </c>
      <c r="CW573" s="399"/>
      <c r="CX573" s="399"/>
      <c r="CY573" s="399"/>
      <c r="CZ573" s="399">
        <v>0</v>
      </c>
      <c r="DA573" s="399">
        <v>0</v>
      </c>
      <c r="DB573" s="399">
        <v>0</v>
      </c>
      <c r="DC573" s="399"/>
      <c r="DD573" s="399"/>
      <c r="DE573" s="399">
        <v>0</v>
      </c>
      <c r="DF573" s="399">
        <v>0</v>
      </c>
      <c r="DG573" s="399">
        <v>0</v>
      </c>
      <c r="DH573" s="399">
        <v>0</v>
      </c>
      <c r="DI573" s="399">
        <v>0</v>
      </c>
      <c r="DJ573" s="399"/>
      <c r="DK573" s="399">
        <v>0</v>
      </c>
      <c r="DL573" s="399">
        <v>0</v>
      </c>
      <c r="DM573" s="399"/>
      <c r="DN573" s="399">
        <v>0</v>
      </c>
      <c r="DO573" s="399">
        <v>0</v>
      </c>
      <c r="DP573" s="399">
        <v>-0.23606510247062551</v>
      </c>
      <c r="DQ573" s="399">
        <v>0</v>
      </c>
      <c r="DR573" s="399">
        <v>0</v>
      </c>
      <c r="DS573" s="399"/>
      <c r="DT573" s="399"/>
      <c r="DU573" s="399">
        <v>417.2101428152564</v>
      </c>
      <c r="DV573" s="399"/>
      <c r="DW573" s="399">
        <v>0</v>
      </c>
      <c r="DX573" s="399">
        <v>0</v>
      </c>
      <c r="DY573" s="399">
        <v>-89.899999999999977</v>
      </c>
      <c r="DZ573" s="399"/>
      <c r="EA573" s="399">
        <v>0</v>
      </c>
      <c r="EB573" s="399"/>
      <c r="EC573" s="399">
        <v>-90.198581785273632</v>
      </c>
      <c r="ED573" s="399"/>
      <c r="EE573" s="399">
        <v>0</v>
      </c>
      <c r="EF573" s="399">
        <v>0</v>
      </c>
      <c r="EG573" s="399"/>
      <c r="EH573" s="399">
        <v>0</v>
      </c>
      <c r="EI573" s="399">
        <v>0</v>
      </c>
      <c r="EJ573" s="399">
        <v>0</v>
      </c>
      <c r="EK573" s="399">
        <v>0</v>
      </c>
      <c r="EL573" s="399">
        <v>0</v>
      </c>
      <c r="EM573" s="399"/>
      <c r="EN573" s="399"/>
      <c r="EO573" s="399">
        <v>0</v>
      </c>
      <c r="EP573" s="399">
        <v>0</v>
      </c>
      <c r="EQ573" s="399"/>
      <c r="ER573" s="399">
        <v>0</v>
      </c>
      <c r="ES573" s="399"/>
      <c r="ET573" s="399">
        <v>0</v>
      </c>
      <c r="EU573" s="399"/>
      <c r="EV573" s="399">
        <v>215</v>
      </c>
      <c r="EW573" s="399"/>
      <c r="EX573" s="399"/>
      <c r="EY573" s="399"/>
      <c r="EZ573" s="399"/>
      <c r="FA573" s="399">
        <v>0</v>
      </c>
      <c r="FB573" s="399"/>
      <c r="FC573" s="399"/>
      <c r="FD573" s="399"/>
      <c r="FE573" s="399"/>
      <c r="FF573" s="399">
        <v>0</v>
      </c>
      <c r="FG573" s="399">
        <v>0</v>
      </c>
      <c r="FH573" s="399">
        <v>0</v>
      </c>
      <c r="FI573" s="399">
        <v>0</v>
      </c>
    </row>
    <row r="574" spans="1:165">
      <c r="A574" s="399">
        <v>578</v>
      </c>
      <c r="B574" s="399" t="s">
        <v>956</v>
      </c>
      <c r="C574" s="399" t="s">
        <v>913</v>
      </c>
      <c r="D574" s="399" t="s">
        <v>533</v>
      </c>
      <c r="E574" s="399" t="s">
        <v>1239</v>
      </c>
      <c r="F574" s="399" t="s">
        <v>1239</v>
      </c>
      <c r="G574" s="399" t="s">
        <v>1239</v>
      </c>
      <c r="H574" s="399" t="s">
        <v>2366</v>
      </c>
      <c r="I574" s="399" t="s">
        <v>1239</v>
      </c>
      <c r="J574" s="399" t="s">
        <v>2365</v>
      </c>
      <c r="K574" s="791">
        <v>44652</v>
      </c>
      <c r="L574" s="399">
        <v>290</v>
      </c>
      <c r="M574" s="399">
        <v>145</v>
      </c>
      <c r="N574" s="399">
        <v>0</v>
      </c>
      <c r="O574" s="399">
        <v>0</v>
      </c>
      <c r="P574" s="399">
        <v>0</v>
      </c>
      <c r="Q574" s="399">
        <v>0</v>
      </c>
      <c r="R574" s="399">
        <v>2.7</v>
      </c>
      <c r="S574" s="399"/>
      <c r="T574" s="399"/>
      <c r="U574" s="399">
        <v>783</v>
      </c>
      <c r="V574" s="399"/>
      <c r="W574" s="399">
        <v>783</v>
      </c>
      <c r="X574" s="399">
        <v>614.80000000000007</v>
      </c>
      <c r="Y574" s="399">
        <v>0</v>
      </c>
      <c r="Z574" s="399">
        <v>0</v>
      </c>
      <c r="AA574" s="399">
        <v>0</v>
      </c>
      <c r="AB574" s="399">
        <v>0</v>
      </c>
      <c r="AC574" s="399">
        <v>0</v>
      </c>
      <c r="AD574" s="399">
        <v>0</v>
      </c>
      <c r="AE574" s="399">
        <v>780.58671881564101</v>
      </c>
      <c r="AF574" s="399"/>
      <c r="AG574" s="399"/>
      <c r="AH574" s="399"/>
      <c r="AI574" s="399">
        <v>0</v>
      </c>
      <c r="AJ574" s="399">
        <v>0</v>
      </c>
      <c r="AK574" s="399">
        <v>0</v>
      </c>
      <c r="AL574" s="399">
        <v>0</v>
      </c>
      <c r="AM574" s="399"/>
      <c r="AN574" s="399">
        <v>2.8217194298770281</v>
      </c>
      <c r="AO574" s="399">
        <v>0</v>
      </c>
      <c r="AP574" s="399">
        <v>0</v>
      </c>
      <c r="AQ574" s="399">
        <v>0</v>
      </c>
      <c r="AR574" s="399">
        <v>0</v>
      </c>
      <c r="AS574" s="399"/>
      <c r="AT574" s="399"/>
      <c r="AU574" s="399">
        <v>0</v>
      </c>
      <c r="AV574" s="399">
        <v>0</v>
      </c>
      <c r="AW574" s="399">
        <v>0</v>
      </c>
      <c r="AX574" s="399"/>
      <c r="AY574" s="399"/>
      <c r="AZ574" s="399">
        <v>0</v>
      </c>
      <c r="BA574" s="399"/>
      <c r="BB574" s="399">
        <v>0</v>
      </c>
      <c r="BC574" s="399">
        <v>0</v>
      </c>
      <c r="BD574" s="399">
        <v>0</v>
      </c>
      <c r="BE574" s="399">
        <v>0</v>
      </c>
      <c r="BF574" s="399"/>
      <c r="BG574" s="399">
        <v>0</v>
      </c>
      <c r="BH574" s="399">
        <v>0</v>
      </c>
      <c r="BI574" s="399">
        <v>0</v>
      </c>
      <c r="BJ574" s="399">
        <v>0</v>
      </c>
      <c r="BK574" s="399">
        <v>0</v>
      </c>
      <c r="BL574" s="399">
        <v>0</v>
      </c>
      <c r="BM574" s="399"/>
      <c r="BN574" s="399"/>
      <c r="BO574" s="399">
        <v>307.40000000000003</v>
      </c>
      <c r="BP574" s="399"/>
      <c r="BQ574" s="399"/>
      <c r="BR574" s="399"/>
      <c r="BS574" s="399"/>
      <c r="BT574" s="399"/>
      <c r="BU574" s="399"/>
      <c r="BV574" s="399">
        <v>0</v>
      </c>
      <c r="BW574" s="399"/>
      <c r="BX574" s="399"/>
      <c r="BY574" s="399"/>
      <c r="BZ574" s="399"/>
      <c r="CA574" s="399"/>
      <c r="CB574" s="399"/>
      <c r="CC574" s="399"/>
      <c r="CD574" s="399"/>
      <c r="CE574" s="399"/>
      <c r="CF574" s="399"/>
      <c r="CG574" s="399"/>
      <c r="CH574" s="399"/>
      <c r="CI574" s="399">
        <v>307.40000000000003</v>
      </c>
      <c r="CJ574" s="399">
        <v>-84.129999999999939</v>
      </c>
      <c r="CK574" s="399"/>
      <c r="CL574" s="399"/>
      <c r="CM574" s="399"/>
      <c r="CN574" s="399"/>
      <c r="CO574" s="399">
        <v>-168.20000000000002</v>
      </c>
      <c r="CP574" s="399">
        <v>0</v>
      </c>
      <c r="CQ574" s="399">
        <v>30</v>
      </c>
      <c r="CR574" s="399">
        <v>-0.4416701917192345</v>
      </c>
      <c r="CS574" s="399">
        <v>0</v>
      </c>
      <c r="CT574" s="399">
        <v>0</v>
      </c>
      <c r="CU574" s="399">
        <v>0</v>
      </c>
      <c r="CV574" s="399">
        <v>0</v>
      </c>
      <c r="CW574" s="399"/>
      <c r="CX574" s="399"/>
      <c r="CY574" s="399"/>
      <c r="CZ574" s="399">
        <v>0</v>
      </c>
      <c r="DA574" s="399">
        <v>0</v>
      </c>
      <c r="DB574" s="399">
        <v>0</v>
      </c>
      <c r="DC574" s="399"/>
      <c r="DD574" s="399"/>
      <c r="DE574" s="399">
        <v>0</v>
      </c>
      <c r="DF574" s="399">
        <v>0</v>
      </c>
      <c r="DG574" s="399">
        <v>0</v>
      </c>
      <c r="DH574" s="399">
        <v>0</v>
      </c>
      <c r="DI574" s="399">
        <v>0</v>
      </c>
      <c r="DJ574" s="399"/>
      <c r="DK574" s="399">
        <v>0</v>
      </c>
      <c r="DL574" s="399">
        <v>0</v>
      </c>
      <c r="DM574" s="399"/>
      <c r="DN574" s="399">
        <v>0</v>
      </c>
      <c r="DO574" s="399">
        <v>0</v>
      </c>
      <c r="DP574" s="399">
        <v>-0.4416701917192345</v>
      </c>
      <c r="DQ574" s="399">
        <v>0</v>
      </c>
      <c r="DR574" s="399">
        <v>0</v>
      </c>
      <c r="DS574" s="399"/>
      <c r="DT574" s="399"/>
      <c r="DU574" s="399">
        <v>780.58671881564101</v>
      </c>
      <c r="DV574" s="399"/>
      <c r="DW574" s="399">
        <v>0</v>
      </c>
      <c r="DX574" s="399">
        <v>0</v>
      </c>
      <c r="DY574" s="399">
        <v>-168.19999999999993</v>
      </c>
      <c r="DZ574" s="399"/>
      <c r="EA574" s="399">
        <v>0</v>
      </c>
      <c r="EB574" s="399"/>
      <c r="EC574" s="399">
        <v>-168.75863688857646</v>
      </c>
      <c r="ED574" s="399"/>
      <c r="EE574" s="399">
        <v>0</v>
      </c>
      <c r="EF574" s="399">
        <v>0</v>
      </c>
      <c r="EG574" s="399"/>
      <c r="EH574" s="399">
        <v>0</v>
      </c>
      <c r="EI574" s="399">
        <v>0</v>
      </c>
      <c r="EJ574" s="399">
        <v>0</v>
      </c>
      <c r="EK574" s="399">
        <v>0</v>
      </c>
      <c r="EL574" s="399">
        <v>0</v>
      </c>
      <c r="EM574" s="399"/>
      <c r="EN574" s="399"/>
      <c r="EO574" s="399">
        <v>0</v>
      </c>
      <c r="EP574" s="399">
        <v>0</v>
      </c>
      <c r="EQ574" s="399"/>
      <c r="ER574" s="399">
        <v>0</v>
      </c>
      <c r="ES574" s="399"/>
      <c r="ET574" s="399">
        <v>0</v>
      </c>
      <c r="EU574" s="399"/>
      <c r="EV574" s="399">
        <v>215</v>
      </c>
      <c r="EW574" s="399"/>
      <c r="EX574" s="399"/>
      <c r="EY574" s="399"/>
      <c r="EZ574" s="399"/>
      <c r="FA574" s="399">
        <v>0</v>
      </c>
      <c r="FB574" s="399"/>
      <c r="FC574" s="399"/>
      <c r="FD574" s="399"/>
      <c r="FE574" s="399"/>
      <c r="FF574" s="399">
        <v>0</v>
      </c>
      <c r="FG574" s="399">
        <v>0</v>
      </c>
      <c r="FH574" s="399">
        <v>0</v>
      </c>
      <c r="FI574" s="399">
        <v>0</v>
      </c>
    </row>
    <row r="575" spans="1:165">
      <c r="A575" s="399">
        <v>579</v>
      </c>
      <c r="B575" s="399" t="s">
        <v>956</v>
      </c>
      <c r="C575" s="399" t="s">
        <v>913</v>
      </c>
      <c r="D575" s="399" t="s">
        <v>533</v>
      </c>
      <c r="E575" s="399" t="s">
        <v>1239</v>
      </c>
      <c r="F575" s="399" t="s">
        <v>1239</v>
      </c>
      <c r="G575" s="399" t="s">
        <v>1239</v>
      </c>
      <c r="H575" s="399" t="s">
        <v>2364</v>
      </c>
      <c r="I575" s="399" t="s">
        <v>1239</v>
      </c>
      <c r="J575" s="399" t="s">
        <v>2365</v>
      </c>
      <c r="K575" s="791">
        <v>44682</v>
      </c>
      <c r="L575" s="399">
        <v>155</v>
      </c>
      <c r="M575" s="399">
        <v>77.5</v>
      </c>
      <c r="N575" s="399">
        <v>0</v>
      </c>
      <c r="O575" s="399">
        <v>0</v>
      </c>
      <c r="P575" s="399">
        <v>0</v>
      </c>
      <c r="Q575" s="399">
        <v>0</v>
      </c>
      <c r="R575" s="399">
        <v>2.7</v>
      </c>
      <c r="S575" s="399"/>
      <c r="T575" s="399"/>
      <c r="U575" s="399">
        <v>418.5</v>
      </c>
      <c r="V575" s="399"/>
      <c r="W575" s="399">
        <v>418.5</v>
      </c>
      <c r="X575" s="399">
        <v>328.6</v>
      </c>
      <c r="Y575" s="399">
        <v>0</v>
      </c>
      <c r="Z575" s="399">
        <v>0</v>
      </c>
      <c r="AA575" s="399">
        <v>0</v>
      </c>
      <c r="AB575" s="399">
        <v>0</v>
      </c>
      <c r="AC575" s="399">
        <v>0</v>
      </c>
      <c r="AD575" s="399">
        <v>0</v>
      </c>
      <c r="AE575" s="399">
        <v>417.2101428152564</v>
      </c>
      <c r="AF575" s="399"/>
      <c r="AG575" s="399"/>
      <c r="AH575" s="399"/>
      <c r="AI575" s="399">
        <v>0</v>
      </c>
      <c r="AJ575" s="399">
        <v>0</v>
      </c>
      <c r="AK575" s="399">
        <v>0</v>
      </c>
      <c r="AL575" s="399">
        <v>0</v>
      </c>
      <c r="AM575" s="399"/>
      <c r="AN575" s="399">
        <v>1.5081603849342737</v>
      </c>
      <c r="AO575" s="399">
        <v>0</v>
      </c>
      <c r="AP575" s="399">
        <v>0</v>
      </c>
      <c r="AQ575" s="399">
        <v>0</v>
      </c>
      <c r="AR575" s="399">
        <v>0</v>
      </c>
      <c r="AS575" s="399"/>
      <c r="AT575" s="399"/>
      <c r="AU575" s="399">
        <v>0</v>
      </c>
      <c r="AV575" s="399">
        <v>0</v>
      </c>
      <c r="AW575" s="399">
        <v>0</v>
      </c>
      <c r="AX575" s="399"/>
      <c r="AY575" s="399"/>
      <c r="AZ575" s="399">
        <v>0</v>
      </c>
      <c r="BA575" s="399"/>
      <c r="BB575" s="399">
        <v>0</v>
      </c>
      <c r="BC575" s="399">
        <v>0</v>
      </c>
      <c r="BD575" s="399">
        <v>0</v>
      </c>
      <c r="BE575" s="399">
        <v>0</v>
      </c>
      <c r="BF575" s="399"/>
      <c r="BG575" s="399">
        <v>0</v>
      </c>
      <c r="BH575" s="399">
        <v>0</v>
      </c>
      <c r="BI575" s="399">
        <v>0</v>
      </c>
      <c r="BJ575" s="399">
        <v>0</v>
      </c>
      <c r="BK575" s="399">
        <v>0</v>
      </c>
      <c r="BL575" s="399">
        <v>0</v>
      </c>
      <c r="BM575" s="399"/>
      <c r="BN575" s="399"/>
      <c r="BO575" s="399">
        <v>164.3</v>
      </c>
      <c r="BP575" s="399"/>
      <c r="BQ575" s="399"/>
      <c r="BR575" s="399"/>
      <c r="BS575" s="399"/>
      <c r="BT575" s="399"/>
      <c r="BU575" s="399"/>
      <c r="BV575" s="399">
        <v>0</v>
      </c>
      <c r="BW575" s="399"/>
      <c r="BX575" s="399"/>
      <c r="BY575" s="399"/>
      <c r="BZ575" s="399"/>
      <c r="CA575" s="399"/>
      <c r="CB575" s="399"/>
      <c r="CC575" s="399"/>
      <c r="CD575" s="399"/>
      <c r="CE575" s="399"/>
      <c r="CF575" s="399"/>
      <c r="CG575" s="399"/>
      <c r="CH575" s="399"/>
      <c r="CI575" s="399">
        <v>164.3</v>
      </c>
      <c r="CJ575" s="399">
        <v>-44.979999999999961</v>
      </c>
      <c r="CK575" s="399"/>
      <c r="CL575" s="399"/>
      <c r="CM575" s="399"/>
      <c r="CN575" s="399"/>
      <c r="CO575" s="399">
        <v>-89.9</v>
      </c>
      <c r="CP575" s="399">
        <v>0</v>
      </c>
      <c r="CQ575" s="399">
        <v>31</v>
      </c>
      <c r="CR575" s="399">
        <v>-0.23606510247062551</v>
      </c>
      <c r="CS575" s="399">
        <v>0</v>
      </c>
      <c r="CT575" s="399">
        <v>0</v>
      </c>
      <c r="CU575" s="399">
        <v>0</v>
      </c>
      <c r="CV575" s="399">
        <v>0</v>
      </c>
      <c r="CW575" s="399"/>
      <c r="CX575" s="399"/>
      <c r="CY575" s="399"/>
      <c r="CZ575" s="399">
        <v>0</v>
      </c>
      <c r="DA575" s="399">
        <v>0</v>
      </c>
      <c r="DB575" s="399">
        <v>0</v>
      </c>
      <c r="DC575" s="399"/>
      <c r="DD575" s="399"/>
      <c r="DE575" s="399">
        <v>0</v>
      </c>
      <c r="DF575" s="399">
        <v>0</v>
      </c>
      <c r="DG575" s="399">
        <v>0</v>
      </c>
      <c r="DH575" s="399">
        <v>0</v>
      </c>
      <c r="DI575" s="399">
        <v>0</v>
      </c>
      <c r="DJ575" s="399"/>
      <c r="DK575" s="399">
        <v>0</v>
      </c>
      <c r="DL575" s="399">
        <v>0</v>
      </c>
      <c r="DM575" s="399"/>
      <c r="DN575" s="399">
        <v>0</v>
      </c>
      <c r="DO575" s="399">
        <v>0</v>
      </c>
      <c r="DP575" s="399">
        <v>-0.23606510247062551</v>
      </c>
      <c r="DQ575" s="399">
        <v>0</v>
      </c>
      <c r="DR575" s="399">
        <v>0</v>
      </c>
      <c r="DS575" s="399"/>
      <c r="DT575" s="399"/>
      <c r="DU575" s="399">
        <v>417.2101428152564</v>
      </c>
      <c r="DV575" s="399"/>
      <c r="DW575" s="399">
        <v>0</v>
      </c>
      <c r="DX575" s="399">
        <v>0</v>
      </c>
      <c r="DY575" s="399">
        <v>-89.899999999999977</v>
      </c>
      <c r="DZ575" s="399"/>
      <c r="EA575" s="399">
        <v>0</v>
      </c>
      <c r="EB575" s="399"/>
      <c r="EC575" s="399">
        <v>-90.198581785273632</v>
      </c>
      <c r="ED575" s="399"/>
      <c r="EE575" s="399">
        <v>0</v>
      </c>
      <c r="EF575" s="399">
        <v>0</v>
      </c>
      <c r="EG575" s="399"/>
      <c r="EH575" s="399">
        <v>0</v>
      </c>
      <c r="EI575" s="399">
        <v>0</v>
      </c>
      <c r="EJ575" s="399">
        <v>0</v>
      </c>
      <c r="EK575" s="399">
        <v>0</v>
      </c>
      <c r="EL575" s="399">
        <v>0</v>
      </c>
      <c r="EM575" s="399"/>
      <c r="EN575" s="399"/>
      <c r="EO575" s="399">
        <v>0</v>
      </c>
      <c r="EP575" s="399">
        <v>0</v>
      </c>
      <c r="EQ575" s="399"/>
      <c r="ER575" s="399">
        <v>0</v>
      </c>
      <c r="ES575" s="399"/>
      <c r="ET575" s="399">
        <v>0</v>
      </c>
      <c r="EU575" s="399"/>
      <c r="EV575" s="399">
        <v>215</v>
      </c>
      <c r="EW575" s="399"/>
      <c r="EX575" s="399"/>
      <c r="EY575" s="399"/>
      <c r="EZ575" s="399"/>
      <c r="FA575" s="399">
        <v>0</v>
      </c>
      <c r="FB575" s="399"/>
      <c r="FC575" s="399"/>
      <c r="FD575" s="399"/>
      <c r="FE575" s="399"/>
      <c r="FF575" s="399">
        <v>0</v>
      </c>
      <c r="FG575" s="399">
        <v>0</v>
      </c>
      <c r="FH575" s="399">
        <v>0</v>
      </c>
      <c r="FI575" s="399">
        <v>0</v>
      </c>
    </row>
    <row r="576" spans="1:165">
      <c r="A576" s="399">
        <v>580</v>
      </c>
      <c r="B576" s="399" t="s">
        <v>956</v>
      </c>
      <c r="C576" s="399" t="s">
        <v>913</v>
      </c>
      <c r="D576" s="399" t="s">
        <v>533</v>
      </c>
      <c r="E576" s="399" t="s">
        <v>1239</v>
      </c>
      <c r="F576" s="399" t="s">
        <v>1239</v>
      </c>
      <c r="G576" s="399" t="s">
        <v>1239</v>
      </c>
      <c r="H576" s="399" t="s">
        <v>2366</v>
      </c>
      <c r="I576" s="399" t="s">
        <v>1239</v>
      </c>
      <c r="J576" s="399" t="s">
        <v>2365</v>
      </c>
      <c r="K576" s="791">
        <v>44682</v>
      </c>
      <c r="L576" s="399">
        <v>290</v>
      </c>
      <c r="M576" s="399">
        <v>145</v>
      </c>
      <c r="N576" s="399">
        <v>0</v>
      </c>
      <c r="O576" s="399">
        <v>0</v>
      </c>
      <c r="P576" s="399">
        <v>0</v>
      </c>
      <c r="Q576" s="399">
        <v>0</v>
      </c>
      <c r="R576" s="399">
        <v>2.7</v>
      </c>
      <c r="S576" s="399"/>
      <c r="T576" s="399"/>
      <c r="U576" s="399">
        <v>783</v>
      </c>
      <c r="V576" s="399"/>
      <c r="W576" s="399">
        <v>783</v>
      </c>
      <c r="X576" s="399">
        <v>614.80000000000007</v>
      </c>
      <c r="Y576" s="399">
        <v>0</v>
      </c>
      <c r="Z576" s="399">
        <v>0</v>
      </c>
      <c r="AA576" s="399">
        <v>0</v>
      </c>
      <c r="AB576" s="399">
        <v>0</v>
      </c>
      <c r="AC576" s="399">
        <v>0</v>
      </c>
      <c r="AD576" s="399">
        <v>0</v>
      </c>
      <c r="AE576" s="399">
        <v>780.58671881564101</v>
      </c>
      <c r="AF576" s="399"/>
      <c r="AG576" s="399"/>
      <c r="AH576" s="399"/>
      <c r="AI576" s="399">
        <v>0</v>
      </c>
      <c r="AJ576" s="399">
        <v>0</v>
      </c>
      <c r="AK576" s="399">
        <v>0</v>
      </c>
      <c r="AL576" s="399">
        <v>0</v>
      </c>
      <c r="AM576" s="399"/>
      <c r="AN576" s="399">
        <v>2.8217194298770281</v>
      </c>
      <c r="AO576" s="399">
        <v>0</v>
      </c>
      <c r="AP576" s="399">
        <v>0</v>
      </c>
      <c r="AQ576" s="399">
        <v>0</v>
      </c>
      <c r="AR576" s="399">
        <v>0</v>
      </c>
      <c r="AS576" s="399"/>
      <c r="AT576" s="399"/>
      <c r="AU576" s="399">
        <v>0</v>
      </c>
      <c r="AV576" s="399">
        <v>0</v>
      </c>
      <c r="AW576" s="399">
        <v>0</v>
      </c>
      <c r="AX576" s="399"/>
      <c r="AY576" s="399"/>
      <c r="AZ576" s="399">
        <v>0</v>
      </c>
      <c r="BA576" s="399"/>
      <c r="BB576" s="399">
        <v>0</v>
      </c>
      <c r="BC576" s="399">
        <v>0</v>
      </c>
      <c r="BD576" s="399">
        <v>0</v>
      </c>
      <c r="BE576" s="399">
        <v>0</v>
      </c>
      <c r="BF576" s="399"/>
      <c r="BG576" s="399">
        <v>0</v>
      </c>
      <c r="BH576" s="399">
        <v>0</v>
      </c>
      <c r="BI576" s="399">
        <v>0</v>
      </c>
      <c r="BJ576" s="399">
        <v>0</v>
      </c>
      <c r="BK576" s="399">
        <v>0</v>
      </c>
      <c r="BL576" s="399">
        <v>0</v>
      </c>
      <c r="BM576" s="399"/>
      <c r="BN576" s="399"/>
      <c r="BO576" s="399">
        <v>307.40000000000003</v>
      </c>
      <c r="BP576" s="399"/>
      <c r="BQ576" s="399"/>
      <c r="BR576" s="399"/>
      <c r="BS576" s="399"/>
      <c r="BT576" s="399"/>
      <c r="BU576" s="399"/>
      <c r="BV576" s="399">
        <v>0</v>
      </c>
      <c r="BW576" s="399"/>
      <c r="BX576" s="399"/>
      <c r="BY576" s="399"/>
      <c r="BZ576" s="399"/>
      <c r="CA576" s="399"/>
      <c r="CB576" s="399"/>
      <c r="CC576" s="399"/>
      <c r="CD576" s="399"/>
      <c r="CE576" s="399"/>
      <c r="CF576" s="399"/>
      <c r="CG576" s="399"/>
      <c r="CH576" s="399"/>
      <c r="CI576" s="399">
        <v>307.40000000000003</v>
      </c>
      <c r="CJ576" s="399">
        <v>-84.129999999999939</v>
      </c>
      <c r="CK576" s="399"/>
      <c r="CL576" s="399"/>
      <c r="CM576" s="399"/>
      <c r="CN576" s="399"/>
      <c r="CO576" s="399">
        <v>-168.20000000000002</v>
      </c>
      <c r="CP576" s="399">
        <v>0</v>
      </c>
      <c r="CQ576" s="399">
        <v>31</v>
      </c>
      <c r="CR576" s="399">
        <v>-0.4416701917192345</v>
      </c>
      <c r="CS576" s="399">
        <v>0</v>
      </c>
      <c r="CT576" s="399">
        <v>0</v>
      </c>
      <c r="CU576" s="399">
        <v>0</v>
      </c>
      <c r="CV576" s="399">
        <v>0</v>
      </c>
      <c r="CW576" s="399"/>
      <c r="CX576" s="399"/>
      <c r="CY576" s="399"/>
      <c r="CZ576" s="399">
        <v>0</v>
      </c>
      <c r="DA576" s="399">
        <v>0</v>
      </c>
      <c r="DB576" s="399">
        <v>0</v>
      </c>
      <c r="DC576" s="399"/>
      <c r="DD576" s="399"/>
      <c r="DE576" s="399">
        <v>0</v>
      </c>
      <c r="DF576" s="399">
        <v>0</v>
      </c>
      <c r="DG576" s="399">
        <v>0</v>
      </c>
      <c r="DH576" s="399">
        <v>0</v>
      </c>
      <c r="DI576" s="399">
        <v>0</v>
      </c>
      <c r="DJ576" s="399"/>
      <c r="DK576" s="399">
        <v>0</v>
      </c>
      <c r="DL576" s="399">
        <v>0</v>
      </c>
      <c r="DM576" s="399"/>
      <c r="DN576" s="399">
        <v>0</v>
      </c>
      <c r="DO576" s="399">
        <v>0</v>
      </c>
      <c r="DP576" s="399">
        <v>-0.4416701917192345</v>
      </c>
      <c r="DQ576" s="399">
        <v>0</v>
      </c>
      <c r="DR576" s="399">
        <v>0</v>
      </c>
      <c r="DS576" s="399"/>
      <c r="DT576" s="399"/>
      <c r="DU576" s="399">
        <v>780.58671881564101</v>
      </c>
      <c r="DV576" s="399"/>
      <c r="DW576" s="399">
        <v>0</v>
      </c>
      <c r="DX576" s="399">
        <v>0</v>
      </c>
      <c r="DY576" s="399">
        <v>-168.19999999999993</v>
      </c>
      <c r="DZ576" s="399"/>
      <c r="EA576" s="399">
        <v>0</v>
      </c>
      <c r="EB576" s="399"/>
      <c r="EC576" s="399">
        <v>-168.75863688857646</v>
      </c>
      <c r="ED576" s="399"/>
      <c r="EE576" s="399">
        <v>0</v>
      </c>
      <c r="EF576" s="399">
        <v>0</v>
      </c>
      <c r="EG576" s="399"/>
      <c r="EH576" s="399">
        <v>0</v>
      </c>
      <c r="EI576" s="399">
        <v>0</v>
      </c>
      <c r="EJ576" s="399">
        <v>0</v>
      </c>
      <c r="EK576" s="399">
        <v>0</v>
      </c>
      <c r="EL576" s="399">
        <v>0</v>
      </c>
      <c r="EM576" s="399"/>
      <c r="EN576" s="399"/>
      <c r="EO576" s="399">
        <v>0</v>
      </c>
      <c r="EP576" s="399">
        <v>0</v>
      </c>
      <c r="EQ576" s="399"/>
      <c r="ER576" s="399">
        <v>0</v>
      </c>
      <c r="ES576" s="399"/>
      <c r="ET576" s="399">
        <v>0</v>
      </c>
      <c r="EU576" s="399"/>
      <c r="EV576" s="399">
        <v>215</v>
      </c>
      <c r="EW576" s="399"/>
      <c r="EX576" s="399"/>
      <c r="EY576" s="399"/>
      <c r="EZ576" s="399"/>
      <c r="FA576" s="399">
        <v>0</v>
      </c>
      <c r="FB576" s="399"/>
      <c r="FC576" s="399"/>
      <c r="FD576" s="399"/>
      <c r="FE576" s="399"/>
      <c r="FF576" s="399">
        <v>0</v>
      </c>
      <c r="FG576" s="399">
        <v>0</v>
      </c>
      <c r="FH576" s="399">
        <v>0</v>
      </c>
      <c r="FI576" s="399">
        <v>0</v>
      </c>
    </row>
    <row r="577" spans="1:165">
      <c r="A577" s="399">
        <v>581</v>
      </c>
      <c r="B577" s="399" t="s">
        <v>956</v>
      </c>
      <c r="C577" s="399" t="s">
        <v>913</v>
      </c>
      <c r="D577" s="399" t="s">
        <v>533</v>
      </c>
      <c r="E577" s="399" t="s">
        <v>1239</v>
      </c>
      <c r="F577" s="399" t="s">
        <v>1239</v>
      </c>
      <c r="G577" s="399" t="s">
        <v>1239</v>
      </c>
      <c r="H577" s="399" t="s">
        <v>2364</v>
      </c>
      <c r="I577" s="399" t="s">
        <v>1239</v>
      </c>
      <c r="J577" s="399" t="s">
        <v>2365</v>
      </c>
      <c r="K577" s="791">
        <v>44713</v>
      </c>
      <c r="L577" s="399">
        <v>155</v>
      </c>
      <c r="M577" s="399">
        <v>77.5</v>
      </c>
      <c r="N577" s="399">
        <v>0</v>
      </c>
      <c r="O577" s="399">
        <v>0</v>
      </c>
      <c r="P577" s="399">
        <v>0</v>
      </c>
      <c r="Q577" s="399">
        <v>0</v>
      </c>
      <c r="R577" s="399">
        <v>2.7</v>
      </c>
      <c r="S577" s="399"/>
      <c r="T577" s="399"/>
      <c r="U577" s="399">
        <v>418.5</v>
      </c>
      <c r="V577" s="399"/>
      <c r="W577" s="399">
        <v>418.5</v>
      </c>
      <c r="X577" s="399">
        <v>328.6</v>
      </c>
      <c r="Y577" s="399">
        <v>0</v>
      </c>
      <c r="Z577" s="399">
        <v>0</v>
      </c>
      <c r="AA577" s="399">
        <v>0</v>
      </c>
      <c r="AB577" s="399">
        <v>0</v>
      </c>
      <c r="AC577" s="399">
        <v>0</v>
      </c>
      <c r="AD577" s="399">
        <v>0</v>
      </c>
      <c r="AE577" s="399">
        <v>417.2101428152564</v>
      </c>
      <c r="AF577" s="399"/>
      <c r="AG577" s="399"/>
      <c r="AH577" s="399"/>
      <c r="AI577" s="399">
        <v>0</v>
      </c>
      <c r="AJ577" s="399">
        <v>0</v>
      </c>
      <c r="AK577" s="399">
        <v>0</v>
      </c>
      <c r="AL577" s="399">
        <v>0</v>
      </c>
      <c r="AM577" s="399"/>
      <c r="AN577" s="399">
        <v>1.5081603849342737</v>
      </c>
      <c r="AO577" s="399">
        <v>0</v>
      </c>
      <c r="AP577" s="399">
        <v>0</v>
      </c>
      <c r="AQ577" s="399">
        <v>0</v>
      </c>
      <c r="AR577" s="399">
        <v>0</v>
      </c>
      <c r="AS577" s="399"/>
      <c r="AT577" s="399"/>
      <c r="AU577" s="399">
        <v>0</v>
      </c>
      <c r="AV577" s="399">
        <v>0</v>
      </c>
      <c r="AW577" s="399">
        <v>0</v>
      </c>
      <c r="AX577" s="399"/>
      <c r="AY577" s="399"/>
      <c r="AZ577" s="399">
        <v>0</v>
      </c>
      <c r="BA577" s="399"/>
      <c r="BB577" s="399">
        <v>0</v>
      </c>
      <c r="BC577" s="399">
        <v>0</v>
      </c>
      <c r="BD577" s="399">
        <v>0</v>
      </c>
      <c r="BE577" s="399">
        <v>0</v>
      </c>
      <c r="BF577" s="399"/>
      <c r="BG577" s="399">
        <v>0</v>
      </c>
      <c r="BH577" s="399">
        <v>0</v>
      </c>
      <c r="BI577" s="399">
        <v>0</v>
      </c>
      <c r="BJ577" s="399">
        <v>0</v>
      </c>
      <c r="BK577" s="399">
        <v>0</v>
      </c>
      <c r="BL577" s="399">
        <v>0</v>
      </c>
      <c r="BM577" s="399"/>
      <c r="BN577" s="399"/>
      <c r="BO577" s="399">
        <v>164.3</v>
      </c>
      <c r="BP577" s="399"/>
      <c r="BQ577" s="399"/>
      <c r="BR577" s="399"/>
      <c r="BS577" s="399"/>
      <c r="BT577" s="399"/>
      <c r="BU577" s="399"/>
      <c r="BV577" s="399">
        <v>0</v>
      </c>
      <c r="BW577" s="399"/>
      <c r="BX577" s="399"/>
      <c r="BY577" s="399"/>
      <c r="BZ577" s="399"/>
      <c r="CA577" s="399"/>
      <c r="CB577" s="399"/>
      <c r="CC577" s="399"/>
      <c r="CD577" s="399"/>
      <c r="CE577" s="399"/>
      <c r="CF577" s="399"/>
      <c r="CG577" s="399"/>
      <c r="CH577" s="399"/>
      <c r="CI577" s="399">
        <v>164.3</v>
      </c>
      <c r="CJ577" s="399">
        <v>-44.979999999999961</v>
      </c>
      <c r="CK577" s="399"/>
      <c r="CL577" s="399"/>
      <c r="CM577" s="399"/>
      <c r="CN577" s="399"/>
      <c r="CO577" s="399">
        <v>-89.9</v>
      </c>
      <c r="CP577" s="399">
        <v>0</v>
      </c>
      <c r="CQ577" s="399">
        <v>30</v>
      </c>
      <c r="CR577" s="399">
        <v>-0.23606510247062551</v>
      </c>
      <c r="CS577" s="399">
        <v>0</v>
      </c>
      <c r="CT577" s="399">
        <v>0</v>
      </c>
      <c r="CU577" s="399">
        <v>0</v>
      </c>
      <c r="CV577" s="399">
        <v>0</v>
      </c>
      <c r="CW577" s="399"/>
      <c r="CX577" s="399"/>
      <c r="CY577" s="399"/>
      <c r="CZ577" s="399">
        <v>0</v>
      </c>
      <c r="DA577" s="399">
        <v>0</v>
      </c>
      <c r="DB577" s="399">
        <v>0</v>
      </c>
      <c r="DC577" s="399"/>
      <c r="DD577" s="399"/>
      <c r="DE577" s="399">
        <v>0</v>
      </c>
      <c r="DF577" s="399">
        <v>0</v>
      </c>
      <c r="DG577" s="399">
        <v>0</v>
      </c>
      <c r="DH577" s="399">
        <v>0</v>
      </c>
      <c r="DI577" s="399">
        <v>0</v>
      </c>
      <c r="DJ577" s="399"/>
      <c r="DK577" s="399">
        <v>0</v>
      </c>
      <c r="DL577" s="399">
        <v>0</v>
      </c>
      <c r="DM577" s="399"/>
      <c r="DN577" s="399">
        <v>0</v>
      </c>
      <c r="DO577" s="399">
        <v>0</v>
      </c>
      <c r="DP577" s="399">
        <v>-0.23606510247062551</v>
      </c>
      <c r="DQ577" s="399">
        <v>0</v>
      </c>
      <c r="DR577" s="399">
        <v>0</v>
      </c>
      <c r="DS577" s="399"/>
      <c r="DT577" s="399"/>
      <c r="DU577" s="399">
        <v>417.2101428152564</v>
      </c>
      <c r="DV577" s="399"/>
      <c r="DW577" s="399">
        <v>0</v>
      </c>
      <c r="DX577" s="399">
        <v>0</v>
      </c>
      <c r="DY577" s="399">
        <v>-89.899999999999977</v>
      </c>
      <c r="DZ577" s="399"/>
      <c r="EA577" s="399">
        <v>0</v>
      </c>
      <c r="EB577" s="399"/>
      <c r="EC577" s="399">
        <v>-90.198581785273632</v>
      </c>
      <c r="ED577" s="399"/>
      <c r="EE577" s="399">
        <v>0</v>
      </c>
      <c r="EF577" s="399">
        <v>0</v>
      </c>
      <c r="EG577" s="399"/>
      <c r="EH577" s="399">
        <v>0</v>
      </c>
      <c r="EI577" s="399">
        <v>0</v>
      </c>
      <c r="EJ577" s="399">
        <v>0</v>
      </c>
      <c r="EK577" s="399">
        <v>0</v>
      </c>
      <c r="EL577" s="399">
        <v>0</v>
      </c>
      <c r="EM577" s="399"/>
      <c r="EN577" s="399"/>
      <c r="EO577" s="399">
        <v>0</v>
      </c>
      <c r="EP577" s="399">
        <v>0</v>
      </c>
      <c r="EQ577" s="399"/>
      <c r="ER577" s="399">
        <v>0</v>
      </c>
      <c r="ES577" s="399"/>
      <c r="ET577" s="399">
        <v>0</v>
      </c>
      <c r="EU577" s="399"/>
      <c r="EV577" s="399">
        <v>215</v>
      </c>
      <c r="EW577" s="399"/>
      <c r="EX577" s="399"/>
      <c r="EY577" s="399"/>
      <c r="EZ577" s="399"/>
      <c r="FA577" s="399">
        <v>0</v>
      </c>
      <c r="FB577" s="399"/>
      <c r="FC577" s="399"/>
      <c r="FD577" s="399"/>
      <c r="FE577" s="399"/>
      <c r="FF577" s="399">
        <v>0</v>
      </c>
      <c r="FG577" s="399">
        <v>0</v>
      </c>
      <c r="FH577" s="399">
        <v>0</v>
      </c>
      <c r="FI577" s="399">
        <v>0</v>
      </c>
    </row>
    <row r="578" spans="1:165">
      <c r="A578" s="399">
        <v>582</v>
      </c>
      <c r="B578" s="399" t="s">
        <v>956</v>
      </c>
      <c r="C578" s="399" t="s">
        <v>913</v>
      </c>
      <c r="D578" s="399" t="s">
        <v>533</v>
      </c>
      <c r="E578" s="399" t="s">
        <v>1239</v>
      </c>
      <c r="F578" s="399" t="s">
        <v>1239</v>
      </c>
      <c r="G578" s="399" t="s">
        <v>1239</v>
      </c>
      <c r="H578" s="399" t="s">
        <v>2366</v>
      </c>
      <c r="I578" s="399" t="s">
        <v>1239</v>
      </c>
      <c r="J578" s="399" t="s">
        <v>2365</v>
      </c>
      <c r="K578" s="791">
        <v>44713</v>
      </c>
      <c r="L578" s="399">
        <v>290</v>
      </c>
      <c r="M578" s="399">
        <v>145</v>
      </c>
      <c r="N578" s="399">
        <v>0</v>
      </c>
      <c r="O578" s="399">
        <v>0</v>
      </c>
      <c r="P578" s="399">
        <v>0</v>
      </c>
      <c r="Q578" s="399">
        <v>0</v>
      </c>
      <c r="R578" s="399">
        <v>2.7</v>
      </c>
      <c r="S578" s="399"/>
      <c r="T578" s="399"/>
      <c r="U578" s="399">
        <v>783</v>
      </c>
      <c r="V578" s="399"/>
      <c r="W578" s="399">
        <v>783</v>
      </c>
      <c r="X578" s="399">
        <v>614.80000000000007</v>
      </c>
      <c r="Y578" s="399">
        <v>0</v>
      </c>
      <c r="Z578" s="399">
        <v>0</v>
      </c>
      <c r="AA578" s="399">
        <v>0</v>
      </c>
      <c r="AB578" s="399">
        <v>0</v>
      </c>
      <c r="AC578" s="399">
        <v>0</v>
      </c>
      <c r="AD578" s="399">
        <v>0</v>
      </c>
      <c r="AE578" s="399">
        <v>780.58671881564101</v>
      </c>
      <c r="AF578" s="399"/>
      <c r="AG578" s="399"/>
      <c r="AH578" s="399"/>
      <c r="AI578" s="399">
        <v>0</v>
      </c>
      <c r="AJ578" s="399">
        <v>0</v>
      </c>
      <c r="AK578" s="399">
        <v>0</v>
      </c>
      <c r="AL578" s="399">
        <v>0</v>
      </c>
      <c r="AM578" s="399"/>
      <c r="AN578" s="399">
        <v>2.8217194298770281</v>
      </c>
      <c r="AO578" s="399">
        <v>0</v>
      </c>
      <c r="AP578" s="399">
        <v>0</v>
      </c>
      <c r="AQ578" s="399">
        <v>0</v>
      </c>
      <c r="AR578" s="399">
        <v>0</v>
      </c>
      <c r="AS578" s="399"/>
      <c r="AT578" s="399"/>
      <c r="AU578" s="399">
        <v>0</v>
      </c>
      <c r="AV578" s="399">
        <v>0</v>
      </c>
      <c r="AW578" s="399">
        <v>0</v>
      </c>
      <c r="AX578" s="399"/>
      <c r="AY578" s="399"/>
      <c r="AZ578" s="399">
        <v>0</v>
      </c>
      <c r="BA578" s="399"/>
      <c r="BB578" s="399">
        <v>0</v>
      </c>
      <c r="BC578" s="399">
        <v>0</v>
      </c>
      <c r="BD578" s="399">
        <v>0</v>
      </c>
      <c r="BE578" s="399">
        <v>0</v>
      </c>
      <c r="BF578" s="399"/>
      <c r="BG578" s="399">
        <v>0</v>
      </c>
      <c r="BH578" s="399">
        <v>0</v>
      </c>
      <c r="BI578" s="399">
        <v>0</v>
      </c>
      <c r="BJ578" s="399">
        <v>0</v>
      </c>
      <c r="BK578" s="399">
        <v>0</v>
      </c>
      <c r="BL578" s="399">
        <v>0</v>
      </c>
      <c r="BM578" s="399"/>
      <c r="BN578" s="399"/>
      <c r="BO578" s="399">
        <v>307.40000000000003</v>
      </c>
      <c r="BP578" s="399"/>
      <c r="BQ578" s="399"/>
      <c r="BR578" s="399"/>
      <c r="BS578" s="399"/>
      <c r="BT578" s="399"/>
      <c r="BU578" s="399"/>
      <c r="BV578" s="399">
        <v>0</v>
      </c>
      <c r="BW578" s="399"/>
      <c r="BX578" s="399"/>
      <c r="BY578" s="399"/>
      <c r="BZ578" s="399"/>
      <c r="CA578" s="399"/>
      <c r="CB578" s="399"/>
      <c r="CC578" s="399"/>
      <c r="CD578" s="399"/>
      <c r="CE578" s="399"/>
      <c r="CF578" s="399"/>
      <c r="CG578" s="399"/>
      <c r="CH578" s="399"/>
      <c r="CI578" s="399">
        <v>307.40000000000003</v>
      </c>
      <c r="CJ578" s="399">
        <v>-84.129999999999939</v>
      </c>
      <c r="CK578" s="399"/>
      <c r="CL578" s="399"/>
      <c r="CM578" s="399"/>
      <c r="CN578" s="399"/>
      <c r="CO578" s="399">
        <v>-168.20000000000002</v>
      </c>
      <c r="CP578" s="399">
        <v>0</v>
      </c>
      <c r="CQ578" s="399">
        <v>30</v>
      </c>
      <c r="CR578" s="399">
        <v>-0.4416701917192345</v>
      </c>
      <c r="CS578" s="399">
        <v>0</v>
      </c>
      <c r="CT578" s="399">
        <v>0</v>
      </c>
      <c r="CU578" s="399">
        <v>0</v>
      </c>
      <c r="CV578" s="399">
        <v>0</v>
      </c>
      <c r="CW578" s="399"/>
      <c r="CX578" s="399"/>
      <c r="CY578" s="399"/>
      <c r="CZ578" s="399">
        <v>0</v>
      </c>
      <c r="DA578" s="399">
        <v>0</v>
      </c>
      <c r="DB578" s="399">
        <v>0</v>
      </c>
      <c r="DC578" s="399"/>
      <c r="DD578" s="399"/>
      <c r="DE578" s="399">
        <v>0</v>
      </c>
      <c r="DF578" s="399">
        <v>0</v>
      </c>
      <c r="DG578" s="399">
        <v>0</v>
      </c>
      <c r="DH578" s="399">
        <v>0</v>
      </c>
      <c r="DI578" s="399">
        <v>0</v>
      </c>
      <c r="DJ578" s="399"/>
      <c r="DK578" s="399">
        <v>0</v>
      </c>
      <c r="DL578" s="399">
        <v>0</v>
      </c>
      <c r="DM578" s="399"/>
      <c r="DN578" s="399">
        <v>0</v>
      </c>
      <c r="DO578" s="399">
        <v>0</v>
      </c>
      <c r="DP578" s="399">
        <v>-0.4416701917192345</v>
      </c>
      <c r="DQ578" s="399">
        <v>0</v>
      </c>
      <c r="DR578" s="399">
        <v>0</v>
      </c>
      <c r="DS578" s="399"/>
      <c r="DT578" s="399"/>
      <c r="DU578" s="399">
        <v>780.58671881564101</v>
      </c>
      <c r="DV578" s="399"/>
      <c r="DW578" s="399">
        <v>0</v>
      </c>
      <c r="DX578" s="399">
        <v>0</v>
      </c>
      <c r="DY578" s="399">
        <v>-168.19999999999993</v>
      </c>
      <c r="DZ578" s="399"/>
      <c r="EA578" s="399">
        <v>0</v>
      </c>
      <c r="EB578" s="399"/>
      <c r="EC578" s="399">
        <v>-168.75863688857646</v>
      </c>
      <c r="ED578" s="399"/>
      <c r="EE578" s="399">
        <v>0</v>
      </c>
      <c r="EF578" s="399">
        <v>0</v>
      </c>
      <c r="EG578" s="399"/>
      <c r="EH578" s="399">
        <v>0</v>
      </c>
      <c r="EI578" s="399">
        <v>0</v>
      </c>
      <c r="EJ578" s="399">
        <v>0</v>
      </c>
      <c r="EK578" s="399">
        <v>0</v>
      </c>
      <c r="EL578" s="399">
        <v>0</v>
      </c>
      <c r="EM578" s="399"/>
      <c r="EN578" s="399"/>
      <c r="EO578" s="399">
        <v>0</v>
      </c>
      <c r="EP578" s="399">
        <v>0</v>
      </c>
      <c r="EQ578" s="399"/>
      <c r="ER578" s="399">
        <v>0</v>
      </c>
      <c r="ES578" s="399"/>
      <c r="ET578" s="399">
        <v>0</v>
      </c>
      <c r="EU578" s="399"/>
      <c r="EV578" s="399">
        <v>215</v>
      </c>
      <c r="EW578" s="399"/>
      <c r="EX578" s="399"/>
      <c r="EY578" s="399"/>
      <c r="EZ578" s="399"/>
      <c r="FA578" s="399">
        <v>0</v>
      </c>
      <c r="FB578" s="399"/>
      <c r="FC578" s="399"/>
      <c r="FD578" s="399"/>
      <c r="FE578" s="399"/>
      <c r="FF578" s="399">
        <v>0</v>
      </c>
      <c r="FG578" s="399">
        <v>0</v>
      </c>
      <c r="FH578" s="399">
        <v>0</v>
      </c>
      <c r="FI578" s="399">
        <v>0</v>
      </c>
    </row>
    <row r="579" spans="1:165">
      <c r="A579" s="399">
        <v>583</v>
      </c>
      <c r="B579" s="399" t="s">
        <v>956</v>
      </c>
      <c r="C579" s="399" t="s">
        <v>913</v>
      </c>
      <c r="D579" s="399" t="s">
        <v>533</v>
      </c>
      <c r="E579" s="399" t="s">
        <v>1239</v>
      </c>
      <c r="F579" s="399" t="s">
        <v>1239</v>
      </c>
      <c r="G579" s="399" t="s">
        <v>1239</v>
      </c>
      <c r="H579" s="399" t="s">
        <v>2364</v>
      </c>
      <c r="I579" s="399" t="s">
        <v>1239</v>
      </c>
      <c r="J579" s="399" t="s">
        <v>2365</v>
      </c>
      <c r="K579" s="791">
        <v>44743</v>
      </c>
      <c r="L579" s="399">
        <v>155</v>
      </c>
      <c r="M579" s="399">
        <v>77.5</v>
      </c>
      <c r="N579" s="399">
        <v>0</v>
      </c>
      <c r="O579" s="399">
        <v>0</v>
      </c>
      <c r="P579" s="399">
        <v>0</v>
      </c>
      <c r="Q579" s="399">
        <v>0</v>
      </c>
      <c r="R579" s="399">
        <v>2.7</v>
      </c>
      <c r="S579" s="399"/>
      <c r="T579" s="399"/>
      <c r="U579" s="399">
        <v>418.5</v>
      </c>
      <c r="V579" s="399"/>
      <c r="W579" s="399">
        <v>418.5</v>
      </c>
      <c r="X579" s="399">
        <v>328.6</v>
      </c>
      <c r="Y579" s="399">
        <v>0</v>
      </c>
      <c r="Z579" s="399">
        <v>0</v>
      </c>
      <c r="AA579" s="399">
        <v>0</v>
      </c>
      <c r="AB579" s="399">
        <v>0</v>
      </c>
      <c r="AC579" s="399">
        <v>0</v>
      </c>
      <c r="AD579" s="399">
        <v>0</v>
      </c>
      <c r="AE579" s="399">
        <v>417.2101428152564</v>
      </c>
      <c r="AF579" s="399"/>
      <c r="AG579" s="399"/>
      <c r="AH579" s="399"/>
      <c r="AI579" s="399">
        <v>0</v>
      </c>
      <c r="AJ579" s="399">
        <v>0</v>
      </c>
      <c r="AK579" s="399">
        <v>0</v>
      </c>
      <c r="AL579" s="399">
        <v>0</v>
      </c>
      <c r="AM579" s="399"/>
      <c r="AN579" s="399">
        <v>1.5081603849342737</v>
      </c>
      <c r="AO579" s="399">
        <v>0</v>
      </c>
      <c r="AP579" s="399">
        <v>0</v>
      </c>
      <c r="AQ579" s="399">
        <v>0</v>
      </c>
      <c r="AR579" s="399">
        <v>0</v>
      </c>
      <c r="AS579" s="399"/>
      <c r="AT579" s="399"/>
      <c r="AU579" s="399">
        <v>0</v>
      </c>
      <c r="AV579" s="399">
        <v>0</v>
      </c>
      <c r="AW579" s="399">
        <v>0</v>
      </c>
      <c r="AX579" s="399"/>
      <c r="AY579" s="399"/>
      <c r="AZ579" s="399">
        <v>0</v>
      </c>
      <c r="BA579" s="399"/>
      <c r="BB579" s="399">
        <v>0</v>
      </c>
      <c r="BC579" s="399">
        <v>0</v>
      </c>
      <c r="BD579" s="399">
        <v>0</v>
      </c>
      <c r="BE579" s="399">
        <v>0</v>
      </c>
      <c r="BF579" s="399"/>
      <c r="BG579" s="399">
        <v>0</v>
      </c>
      <c r="BH579" s="399">
        <v>0</v>
      </c>
      <c r="BI579" s="399">
        <v>0</v>
      </c>
      <c r="BJ579" s="399">
        <v>0</v>
      </c>
      <c r="BK579" s="399">
        <v>0</v>
      </c>
      <c r="BL579" s="399">
        <v>0</v>
      </c>
      <c r="BM579" s="399"/>
      <c r="BN579" s="399"/>
      <c r="BO579" s="399">
        <v>164.3</v>
      </c>
      <c r="BP579" s="399"/>
      <c r="BQ579" s="399"/>
      <c r="BR579" s="399"/>
      <c r="BS579" s="399"/>
      <c r="BT579" s="399"/>
      <c r="BU579" s="399"/>
      <c r="BV579" s="399">
        <v>0</v>
      </c>
      <c r="BW579" s="399"/>
      <c r="BX579" s="399"/>
      <c r="BY579" s="399"/>
      <c r="BZ579" s="399"/>
      <c r="CA579" s="399"/>
      <c r="CB579" s="399"/>
      <c r="CC579" s="399"/>
      <c r="CD579" s="399"/>
      <c r="CE579" s="399"/>
      <c r="CF579" s="399"/>
      <c r="CG579" s="399"/>
      <c r="CH579" s="399"/>
      <c r="CI579" s="399">
        <v>164.3</v>
      </c>
      <c r="CJ579" s="399">
        <v>-44.979999999999961</v>
      </c>
      <c r="CK579" s="399"/>
      <c r="CL579" s="399"/>
      <c r="CM579" s="399"/>
      <c r="CN579" s="399"/>
      <c r="CO579" s="399">
        <v>-89.9</v>
      </c>
      <c r="CP579" s="399">
        <v>0</v>
      </c>
      <c r="CQ579" s="399">
        <v>31</v>
      </c>
      <c r="CR579" s="399">
        <v>-0.23606510247062551</v>
      </c>
      <c r="CS579" s="399">
        <v>0</v>
      </c>
      <c r="CT579" s="399">
        <v>0</v>
      </c>
      <c r="CU579" s="399">
        <v>0</v>
      </c>
      <c r="CV579" s="399">
        <v>0</v>
      </c>
      <c r="CW579" s="399"/>
      <c r="CX579" s="399"/>
      <c r="CY579" s="399"/>
      <c r="CZ579" s="399">
        <v>0</v>
      </c>
      <c r="DA579" s="399">
        <v>0</v>
      </c>
      <c r="DB579" s="399">
        <v>0</v>
      </c>
      <c r="DC579" s="399"/>
      <c r="DD579" s="399"/>
      <c r="DE579" s="399">
        <v>0</v>
      </c>
      <c r="DF579" s="399">
        <v>0</v>
      </c>
      <c r="DG579" s="399">
        <v>0</v>
      </c>
      <c r="DH579" s="399">
        <v>0</v>
      </c>
      <c r="DI579" s="399">
        <v>0</v>
      </c>
      <c r="DJ579" s="399"/>
      <c r="DK579" s="399">
        <v>0</v>
      </c>
      <c r="DL579" s="399">
        <v>0</v>
      </c>
      <c r="DM579" s="399"/>
      <c r="DN579" s="399">
        <v>0</v>
      </c>
      <c r="DO579" s="399">
        <v>0</v>
      </c>
      <c r="DP579" s="399">
        <v>-0.23606510247062551</v>
      </c>
      <c r="DQ579" s="399">
        <v>0</v>
      </c>
      <c r="DR579" s="399">
        <v>0</v>
      </c>
      <c r="DS579" s="399"/>
      <c r="DT579" s="399"/>
      <c r="DU579" s="399">
        <v>417.2101428152564</v>
      </c>
      <c r="DV579" s="399"/>
      <c r="DW579" s="399">
        <v>0</v>
      </c>
      <c r="DX579" s="399">
        <v>0</v>
      </c>
      <c r="DY579" s="399">
        <v>-89.899999999999977</v>
      </c>
      <c r="DZ579" s="399"/>
      <c r="EA579" s="399">
        <v>0</v>
      </c>
      <c r="EB579" s="399"/>
      <c r="EC579" s="399">
        <v>-90.198581785273632</v>
      </c>
      <c r="ED579" s="399"/>
      <c r="EE579" s="399">
        <v>0</v>
      </c>
      <c r="EF579" s="399">
        <v>0</v>
      </c>
      <c r="EG579" s="399"/>
      <c r="EH579" s="399">
        <v>0</v>
      </c>
      <c r="EI579" s="399">
        <v>0</v>
      </c>
      <c r="EJ579" s="399">
        <v>0</v>
      </c>
      <c r="EK579" s="399">
        <v>0</v>
      </c>
      <c r="EL579" s="399">
        <v>0</v>
      </c>
      <c r="EM579" s="399"/>
      <c r="EN579" s="399"/>
      <c r="EO579" s="399">
        <v>0</v>
      </c>
      <c r="EP579" s="399">
        <v>0</v>
      </c>
      <c r="EQ579" s="399"/>
      <c r="ER579" s="399">
        <v>0</v>
      </c>
      <c r="ES579" s="399"/>
      <c r="ET579" s="399">
        <v>0</v>
      </c>
      <c r="EU579" s="399"/>
      <c r="EV579" s="399">
        <v>215</v>
      </c>
      <c r="EW579" s="399"/>
      <c r="EX579" s="399"/>
      <c r="EY579" s="399"/>
      <c r="EZ579" s="399"/>
      <c r="FA579" s="399">
        <v>0</v>
      </c>
      <c r="FB579" s="399"/>
      <c r="FC579" s="399"/>
      <c r="FD579" s="399"/>
      <c r="FE579" s="399"/>
      <c r="FF579" s="399">
        <v>0</v>
      </c>
      <c r="FG579" s="399">
        <v>0</v>
      </c>
      <c r="FH579" s="399">
        <v>0</v>
      </c>
      <c r="FI579" s="399">
        <v>0</v>
      </c>
    </row>
    <row r="580" spans="1:165">
      <c r="A580" s="399">
        <v>584</v>
      </c>
      <c r="B580" s="399" t="s">
        <v>956</v>
      </c>
      <c r="C580" s="399" t="s">
        <v>913</v>
      </c>
      <c r="D580" s="399" t="s">
        <v>533</v>
      </c>
      <c r="E580" s="399" t="s">
        <v>1239</v>
      </c>
      <c r="F580" s="399" t="s">
        <v>1239</v>
      </c>
      <c r="G580" s="399" t="s">
        <v>1239</v>
      </c>
      <c r="H580" s="399" t="s">
        <v>2366</v>
      </c>
      <c r="I580" s="399" t="s">
        <v>1239</v>
      </c>
      <c r="J580" s="399" t="s">
        <v>2365</v>
      </c>
      <c r="K580" s="791">
        <v>44743</v>
      </c>
      <c r="L580" s="399">
        <v>290</v>
      </c>
      <c r="M580" s="399">
        <v>145</v>
      </c>
      <c r="N580" s="399">
        <v>0</v>
      </c>
      <c r="O580" s="399">
        <v>0</v>
      </c>
      <c r="P580" s="399">
        <v>0</v>
      </c>
      <c r="Q580" s="399">
        <v>0</v>
      </c>
      <c r="R580" s="399">
        <v>2.7</v>
      </c>
      <c r="S580" s="399"/>
      <c r="T580" s="399"/>
      <c r="U580" s="399">
        <v>783</v>
      </c>
      <c r="V580" s="399"/>
      <c r="W580" s="399">
        <v>783</v>
      </c>
      <c r="X580" s="399">
        <v>614.80000000000007</v>
      </c>
      <c r="Y580" s="399">
        <v>0</v>
      </c>
      <c r="Z580" s="399">
        <v>0</v>
      </c>
      <c r="AA580" s="399">
        <v>0</v>
      </c>
      <c r="AB580" s="399">
        <v>0</v>
      </c>
      <c r="AC580" s="399">
        <v>0</v>
      </c>
      <c r="AD580" s="399">
        <v>0</v>
      </c>
      <c r="AE580" s="399">
        <v>780.58671881564101</v>
      </c>
      <c r="AF580" s="399"/>
      <c r="AG580" s="399"/>
      <c r="AH580" s="399"/>
      <c r="AI580" s="399">
        <v>0</v>
      </c>
      <c r="AJ580" s="399">
        <v>0</v>
      </c>
      <c r="AK580" s="399">
        <v>0</v>
      </c>
      <c r="AL580" s="399">
        <v>0</v>
      </c>
      <c r="AM580" s="399"/>
      <c r="AN580" s="399">
        <v>2.8217194298770281</v>
      </c>
      <c r="AO580" s="399">
        <v>0</v>
      </c>
      <c r="AP580" s="399">
        <v>0</v>
      </c>
      <c r="AQ580" s="399">
        <v>0</v>
      </c>
      <c r="AR580" s="399">
        <v>0</v>
      </c>
      <c r="AS580" s="399"/>
      <c r="AT580" s="399"/>
      <c r="AU580" s="399">
        <v>0</v>
      </c>
      <c r="AV580" s="399">
        <v>0</v>
      </c>
      <c r="AW580" s="399">
        <v>0</v>
      </c>
      <c r="AX580" s="399"/>
      <c r="AY580" s="399"/>
      <c r="AZ580" s="399">
        <v>0</v>
      </c>
      <c r="BA580" s="399"/>
      <c r="BB580" s="399">
        <v>0</v>
      </c>
      <c r="BC580" s="399">
        <v>0</v>
      </c>
      <c r="BD580" s="399">
        <v>0</v>
      </c>
      <c r="BE580" s="399">
        <v>0</v>
      </c>
      <c r="BF580" s="399"/>
      <c r="BG580" s="399">
        <v>0</v>
      </c>
      <c r="BH580" s="399">
        <v>0</v>
      </c>
      <c r="BI580" s="399">
        <v>0</v>
      </c>
      <c r="BJ580" s="399">
        <v>0</v>
      </c>
      <c r="BK580" s="399">
        <v>0</v>
      </c>
      <c r="BL580" s="399">
        <v>0</v>
      </c>
      <c r="BM580" s="399"/>
      <c r="BN580" s="399"/>
      <c r="BO580" s="399">
        <v>307.40000000000003</v>
      </c>
      <c r="BP580" s="399"/>
      <c r="BQ580" s="399"/>
      <c r="BR580" s="399"/>
      <c r="BS580" s="399"/>
      <c r="BT580" s="399"/>
      <c r="BU580" s="399"/>
      <c r="BV580" s="399">
        <v>0</v>
      </c>
      <c r="BW580" s="399"/>
      <c r="BX580" s="399"/>
      <c r="BY580" s="399"/>
      <c r="BZ580" s="399"/>
      <c r="CA580" s="399"/>
      <c r="CB580" s="399"/>
      <c r="CC580" s="399"/>
      <c r="CD580" s="399"/>
      <c r="CE580" s="399"/>
      <c r="CF580" s="399"/>
      <c r="CG580" s="399"/>
      <c r="CH580" s="399"/>
      <c r="CI580" s="399">
        <v>307.40000000000003</v>
      </c>
      <c r="CJ580" s="399">
        <v>-84.129999999999939</v>
      </c>
      <c r="CK580" s="399"/>
      <c r="CL580" s="399"/>
      <c r="CM580" s="399"/>
      <c r="CN580" s="399"/>
      <c r="CO580" s="399">
        <v>-168.20000000000002</v>
      </c>
      <c r="CP580" s="399">
        <v>0</v>
      </c>
      <c r="CQ580" s="399">
        <v>31</v>
      </c>
      <c r="CR580" s="399">
        <v>-0.4416701917192345</v>
      </c>
      <c r="CS580" s="399">
        <v>0</v>
      </c>
      <c r="CT580" s="399">
        <v>0</v>
      </c>
      <c r="CU580" s="399">
        <v>0</v>
      </c>
      <c r="CV580" s="399">
        <v>0</v>
      </c>
      <c r="CW580" s="399"/>
      <c r="CX580" s="399"/>
      <c r="CY580" s="399"/>
      <c r="CZ580" s="399">
        <v>0</v>
      </c>
      <c r="DA580" s="399">
        <v>0</v>
      </c>
      <c r="DB580" s="399">
        <v>0</v>
      </c>
      <c r="DC580" s="399"/>
      <c r="DD580" s="399"/>
      <c r="DE580" s="399">
        <v>0</v>
      </c>
      <c r="DF580" s="399">
        <v>0</v>
      </c>
      <c r="DG580" s="399">
        <v>0</v>
      </c>
      <c r="DH580" s="399">
        <v>0</v>
      </c>
      <c r="DI580" s="399">
        <v>0</v>
      </c>
      <c r="DJ580" s="399"/>
      <c r="DK580" s="399">
        <v>0</v>
      </c>
      <c r="DL580" s="399">
        <v>0</v>
      </c>
      <c r="DM580" s="399"/>
      <c r="DN580" s="399">
        <v>0</v>
      </c>
      <c r="DO580" s="399">
        <v>0</v>
      </c>
      <c r="DP580" s="399">
        <v>-0.4416701917192345</v>
      </c>
      <c r="DQ580" s="399">
        <v>0</v>
      </c>
      <c r="DR580" s="399">
        <v>0</v>
      </c>
      <c r="DS580" s="399"/>
      <c r="DT580" s="399"/>
      <c r="DU580" s="399">
        <v>780.58671881564101</v>
      </c>
      <c r="DV580" s="399"/>
      <c r="DW580" s="399">
        <v>0</v>
      </c>
      <c r="DX580" s="399">
        <v>0</v>
      </c>
      <c r="DY580" s="399">
        <v>-168.19999999999993</v>
      </c>
      <c r="DZ580" s="399"/>
      <c r="EA580" s="399">
        <v>0</v>
      </c>
      <c r="EB580" s="399"/>
      <c r="EC580" s="399">
        <v>-168.75863688857646</v>
      </c>
      <c r="ED580" s="399"/>
      <c r="EE580" s="399">
        <v>0</v>
      </c>
      <c r="EF580" s="399">
        <v>0</v>
      </c>
      <c r="EG580" s="399"/>
      <c r="EH580" s="399">
        <v>0</v>
      </c>
      <c r="EI580" s="399">
        <v>0</v>
      </c>
      <c r="EJ580" s="399">
        <v>0</v>
      </c>
      <c r="EK580" s="399">
        <v>0</v>
      </c>
      <c r="EL580" s="399">
        <v>0</v>
      </c>
      <c r="EM580" s="399"/>
      <c r="EN580" s="399"/>
      <c r="EO580" s="399">
        <v>0</v>
      </c>
      <c r="EP580" s="399">
        <v>0</v>
      </c>
      <c r="EQ580" s="399"/>
      <c r="ER580" s="399">
        <v>0</v>
      </c>
      <c r="ES580" s="399"/>
      <c r="ET580" s="399">
        <v>0</v>
      </c>
      <c r="EU580" s="399"/>
      <c r="EV580" s="399">
        <v>215</v>
      </c>
      <c r="EW580" s="399"/>
      <c r="EX580" s="399"/>
      <c r="EY580" s="399"/>
      <c r="EZ580" s="399"/>
      <c r="FA580" s="399">
        <v>0</v>
      </c>
      <c r="FB580" s="399"/>
      <c r="FC580" s="399"/>
      <c r="FD580" s="399"/>
      <c r="FE580" s="399"/>
      <c r="FF580" s="399">
        <v>0</v>
      </c>
      <c r="FG580" s="399">
        <v>0</v>
      </c>
      <c r="FH580" s="399">
        <v>0</v>
      </c>
      <c r="FI580" s="399">
        <v>0</v>
      </c>
    </row>
    <row r="581" spans="1:165">
      <c r="A581" s="399">
        <v>585</v>
      </c>
      <c r="B581" s="399" t="s">
        <v>956</v>
      </c>
      <c r="C581" s="399" t="s">
        <v>913</v>
      </c>
      <c r="D581" s="399" t="s">
        <v>533</v>
      </c>
      <c r="E581" s="399" t="s">
        <v>1239</v>
      </c>
      <c r="F581" s="399" t="s">
        <v>1239</v>
      </c>
      <c r="G581" s="399" t="s">
        <v>1239</v>
      </c>
      <c r="H581" s="399" t="s">
        <v>2364</v>
      </c>
      <c r="I581" s="399" t="s">
        <v>1239</v>
      </c>
      <c r="J581" s="399" t="s">
        <v>2365</v>
      </c>
      <c r="K581" s="791">
        <v>44774</v>
      </c>
      <c r="L581" s="399">
        <v>155</v>
      </c>
      <c r="M581" s="399">
        <v>77.5</v>
      </c>
      <c r="N581" s="399">
        <v>0</v>
      </c>
      <c r="O581" s="399">
        <v>0</v>
      </c>
      <c r="P581" s="399">
        <v>0</v>
      </c>
      <c r="Q581" s="399">
        <v>0</v>
      </c>
      <c r="R581" s="399">
        <v>2.7</v>
      </c>
      <c r="S581" s="399"/>
      <c r="T581" s="399"/>
      <c r="U581" s="399">
        <v>418.5</v>
      </c>
      <c r="V581" s="399"/>
      <c r="W581" s="399">
        <v>418.5</v>
      </c>
      <c r="X581" s="399">
        <v>328.6</v>
      </c>
      <c r="Y581" s="399">
        <v>0</v>
      </c>
      <c r="Z581" s="399">
        <v>0</v>
      </c>
      <c r="AA581" s="399">
        <v>0</v>
      </c>
      <c r="AB581" s="399">
        <v>0</v>
      </c>
      <c r="AC581" s="399">
        <v>0</v>
      </c>
      <c r="AD581" s="399">
        <v>0</v>
      </c>
      <c r="AE581" s="399">
        <v>417.2101428152564</v>
      </c>
      <c r="AF581" s="399"/>
      <c r="AG581" s="399"/>
      <c r="AH581" s="399"/>
      <c r="AI581" s="399">
        <v>0</v>
      </c>
      <c r="AJ581" s="399">
        <v>0</v>
      </c>
      <c r="AK581" s="399">
        <v>0</v>
      </c>
      <c r="AL581" s="399">
        <v>0</v>
      </c>
      <c r="AM581" s="399"/>
      <c r="AN581" s="399">
        <v>1.5081603849342737</v>
      </c>
      <c r="AO581" s="399">
        <v>0</v>
      </c>
      <c r="AP581" s="399">
        <v>0</v>
      </c>
      <c r="AQ581" s="399">
        <v>0</v>
      </c>
      <c r="AR581" s="399">
        <v>0</v>
      </c>
      <c r="AS581" s="399"/>
      <c r="AT581" s="399"/>
      <c r="AU581" s="399">
        <v>0</v>
      </c>
      <c r="AV581" s="399">
        <v>0</v>
      </c>
      <c r="AW581" s="399">
        <v>0</v>
      </c>
      <c r="AX581" s="399"/>
      <c r="AY581" s="399"/>
      <c r="AZ581" s="399">
        <v>0</v>
      </c>
      <c r="BA581" s="399"/>
      <c r="BB581" s="399">
        <v>0</v>
      </c>
      <c r="BC581" s="399">
        <v>0</v>
      </c>
      <c r="BD581" s="399">
        <v>0</v>
      </c>
      <c r="BE581" s="399">
        <v>0</v>
      </c>
      <c r="BF581" s="399"/>
      <c r="BG581" s="399">
        <v>0</v>
      </c>
      <c r="BH581" s="399">
        <v>0</v>
      </c>
      <c r="BI581" s="399">
        <v>0</v>
      </c>
      <c r="BJ581" s="399">
        <v>0</v>
      </c>
      <c r="BK581" s="399">
        <v>0</v>
      </c>
      <c r="BL581" s="399">
        <v>0</v>
      </c>
      <c r="BM581" s="399"/>
      <c r="BN581" s="399"/>
      <c r="BO581" s="399">
        <v>164.3</v>
      </c>
      <c r="BP581" s="399"/>
      <c r="BQ581" s="399"/>
      <c r="BR581" s="399"/>
      <c r="BS581" s="399"/>
      <c r="BT581" s="399"/>
      <c r="BU581" s="399"/>
      <c r="BV581" s="399">
        <v>0</v>
      </c>
      <c r="BW581" s="399"/>
      <c r="BX581" s="399"/>
      <c r="BY581" s="399"/>
      <c r="BZ581" s="399"/>
      <c r="CA581" s="399"/>
      <c r="CB581" s="399"/>
      <c r="CC581" s="399"/>
      <c r="CD581" s="399"/>
      <c r="CE581" s="399"/>
      <c r="CF581" s="399"/>
      <c r="CG581" s="399"/>
      <c r="CH581" s="399"/>
      <c r="CI581" s="399">
        <v>164.3</v>
      </c>
      <c r="CJ581" s="399">
        <v>-44.979999999999961</v>
      </c>
      <c r="CK581" s="399"/>
      <c r="CL581" s="399"/>
      <c r="CM581" s="399"/>
      <c r="CN581" s="399"/>
      <c r="CO581" s="399">
        <v>-89.9</v>
      </c>
      <c r="CP581" s="399">
        <v>0</v>
      </c>
      <c r="CQ581" s="399">
        <v>31</v>
      </c>
      <c r="CR581" s="399">
        <v>-0.23606510247062551</v>
      </c>
      <c r="CS581" s="399">
        <v>0</v>
      </c>
      <c r="CT581" s="399">
        <v>0</v>
      </c>
      <c r="CU581" s="399">
        <v>0</v>
      </c>
      <c r="CV581" s="399">
        <v>0</v>
      </c>
      <c r="CW581" s="399"/>
      <c r="CX581" s="399"/>
      <c r="CY581" s="399"/>
      <c r="CZ581" s="399">
        <v>0</v>
      </c>
      <c r="DA581" s="399">
        <v>0</v>
      </c>
      <c r="DB581" s="399">
        <v>0</v>
      </c>
      <c r="DC581" s="399"/>
      <c r="DD581" s="399"/>
      <c r="DE581" s="399">
        <v>0</v>
      </c>
      <c r="DF581" s="399">
        <v>0</v>
      </c>
      <c r="DG581" s="399">
        <v>0</v>
      </c>
      <c r="DH581" s="399">
        <v>0</v>
      </c>
      <c r="DI581" s="399">
        <v>0</v>
      </c>
      <c r="DJ581" s="399"/>
      <c r="DK581" s="399">
        <v>0</v>
      </c>
      <c r="DL581" s="399">
        <v>0</v>
      </c>
      <c r="DM581" s="399"/>
      <c r="DN581" s="399">
        <v>0</v>
      </c>
      <c r="DO581" s="399">
        <v>0</v>
      </c>
      <c r="DP581" s="399">
        <v>-0.23606510247062551</v>
      </c>
      <c r="DQ581" s="399">
        <v>0</v>
      </c>
      <c r="DR581" s="399">
        <v>0</v>
      </c>
      <c r="DS581" s="399"/>
      <c r="DT581" s="399"/>
      <c r="DU581" s="399">
        <v>417.2101428152564</v>
      </c>
      <c r="DV581" s="399"/>
      <c r="DW581" s="399">
        <v>0</v>
      </c>
      <c r="DX581" s="399">
        <v>0</v>
      </c>
      <c r="DY581" s="399">
        <v>-89.899999999999977</v>
      </c>
      <c r="DZ581" s="399"/>
      <c r="EA581" s="399">
        <v>0</v>
      </c>
      <c r="EB581" s="399"/>
      <c r="EC581" s="399">
        <v>-90.198581785273632</v>
      </c>
      <c r="ED581" s="399"/>
      <c r="EE581" s="399">
        <v>0</v>
      </c>
      <c r="EF581" s="399">
        <v>0</v>
      </c>
      <c r="EG581" s="399"/>
      <c r="EH581" s="399">
        <v>0</v>
      </c>
      <c r="EI581" s="399">
        <v>0</v>
      </c>
      <c r="EJ581" s="399">
        <v>0</v>
      </c>
      <c r="EK581" s="399">
        <v>0</v>
      </c>
      <c r="EL581" s="399">
        <v>0</v>
      </c>
      <c r="EM581" s="399"/>
      <c r="EN581" s="399"/>
      <c r="EO581" s="399">
        <v>0</v>
      </c>
      <c r="EP581" s="399">
        <v>0</v>
      </c>
      <c r="EQ581" s="399"/>
      <c r="ER581" s="399">
        <v>0</v>
      </c>
      <c r="ES581" s="399"/>
      <c r="ET581" s="399">
        <v>0</v>
      </c>
      <c r="EU581" s="399"/>
      <c r="EV581" s="399">
        <v>215</v>
      </c>
      <c r="EW581" s="399"/>
      <c r="EX581" s="399"/>
      <c r="EY581" s="399"/>
      <c r="EZ581" s="399"/>
      <c r="FA581" s="399">
        <v>0</v>
      </c>
      <c r="FB581" s="399"/>
      <c r="FC581" s="399"/>
      <c r="FD581" s="399"/>
      <c r="FE581" s="399"/>
      <c r="FF581" s="399">
        <v>0</v>
      </c>
      <c r="FG581" s="399">
        <v>0</v>
      </c>
      <c r="FH581" s="399">
        <v>0</v>
      </c>
      <c r="FI581" s="399">
        <v>0</v>
      </c>
    </row>
    <row r="582" spans="1:165">
      <c r="A582" s="399">
        <v>586</v>
      </c>
      <c r="B582" s="399" t="s">
        <v>956</v>
      </c>
      <c r="C582" s="399" t="s">
        <v>913</v>
      </c>
      <c r="D582" s="399" t="s">
        <v>533</v>
      </c>
      <c r="E582" s="399" t="s">
        <v>1239</v>
      </c>
      <c r="F582" s="399" t="s">
        <v>1239</v>
      </c>
      <c r="G582" s="399" t="s">
        <v>1239</v>
      </c>
      <c r="H582" s="399" t="s">
        <v>2366</v>
      </c>
      <c r="I582" s="399" t="s">
        <v>1239</v>
      </c>
      <c r="J582" s="399" t="s">
        <v>2365</v>
      </c>
      <c r="K582" s="791">
        <v>44774</v>
      </c>
      <c r="L582" s="399">
        <v>290</v>
      </c>
      <c r="M582" s="399">
        <v>145</v>
      </c>
      <c r="N582" s="399">
        <v>0</v>
      </c>
      <c r="O582" s="399">
        <v>0</v>
      </c>
      <c r="P582" s="399">
        <v>0</v>
      </c>
      <c r="Q582" s="399">
        <v>0</v>
      </c>
      <c r="R582" s="399">
        <v>2.7</v>
      </c>
      <c r="S582" s="399"/>
      <c r="T582" s="399"/>
      <c r="U582" s="399">
        <v>783</v>
      </c>
      <c r="V582" s="399"/>
      <c r="W582" s="399">
        <v>783</v>
      </c>
      <c r="X582" s="399">
        <v>614.80000000000007</v>
      </c>
      <c r="Y582" s="399">
        <v>0</v>
      </c>
      <c r="Z582" s="399">
        <v>0</v>
      </c>
      <c r="AA582" s="399">
        <v>0</v>
      </c>
      <c r="AB582" s="399">
        <v>0</v>
      </c>
      <c r="AC582" s="399">
        <v>0</v>
      </c>
      <c r="AD582" s="399">
        <v>0</v>
      </c>
      <c r="AE582" s="399">
        <v>780.58671881564101</v>
      </c>
      <c r="AF582" s="399"/>
      <c r="AG582" s="399"/>
      <c r="AH582" s="399"/>
      <c r="AI582" s="399">
        <v>0</v>
      </c>
      <c r="AJ582" s="399">
        <v>0</v>
      </c>
      <c r="AK582" s="399">
        <v>0</v>
      </c>
      <c r="AL582" s="399">
        <v>0</v>
      </c>
      <c r="AM582" s="399"/>
      <c r="AN582" s="399">
        <v>2.8217194298770281</v>
      </c>
      <c r="AO582" s="399">
        <v>0</v>
      </c>
      <c r="AP582" s="399">
        <v>0</v>
      </c>
      <c r="AQ582" s="399">
        <v>0</v>
      </c>
      <c r="AR582" s="399">
        <v>0</v>
      </c>
      <c r="AS582" s="399"/>
      <c r="AT582" s="399"/>
      <c r="AU582" s="399">
        <v>0</v>
      </c>
      <c r="AV582" s="399">
        <v>0</v>
      </c>
      <c r="AW582" s="399">
        <v>0</v>
      </c>
      <c r="AX582" s="399"/>
      <c r="AY582" s="399"/>
      <c r="AZ582" s="399">
        <v>0</v>
      </c>
      <c r="BA582" s="399"/>
      <c r="BB582" s="399">
        <v>0</v>
      </c>
      <c r="BC582" s="399">
        <v>0</v>
      </c>
      <c r="BD582" s="399">
        <v>0</v>
      </c>
      <c r="BE582" s="399">
        <v>0</v>
      </c>
      <c r="BF582" s="399"/>
      <c r="BG582" s="399">
        <v>0</v>
      </c>
      <c r="BH582" s="399">
        <v>0</v>
      </c>
      <c r="BI582" s="399">
        <v>0</v>
      </c>
      <c r="BJ582" s="399">
        <v>0</v>
      </c>
      <c r="BK582" s="399">
        <v>0</v>
      </c>
      <c r="BL582" s="399">
        <v>0</v>
      </c>
      <c r="BM582" s="399"/>
      <c r="BN582" s="399"/>
      <c r="BO582" s="399">
        <v>307.40000000000003</v>
      </c>
      <c r="BP582" s="399"/>
      <c r="BQ582" s="399"/>
      <c r="BR582" s="399"/>
      <c r="BS582" s="399"/>
      <c r="BT582" s="399"/>
      <c r="BU582" s="399"/>
      <c r="BV582" s="399">
        <v>0</v>
      </c>
      <c r="BW582" s="399"/>
      <c r="BX582" s="399"/>
      <c r="BY582" s="399"/>
      <c r="BZ582" s="399"/>
      <c r="CA582" s="399"/>
      <c r="CB582" s="399"/>
      <c r="CC582" s="399"/>
      <c r="CD582" s="399"/>
      <c r="CE582" s="399"/>
      <c r="CF582" s="399"/>
      <c r="CG582" s="399"/>
      <c r="CH582" s="399"/>
      <c r="CI582" s="399">
        <v>307.40000000000003</v>
      </c>
      <c r="CJ582" s="399">
        <v>-84.129999999999939</v>
      </c>
      <c r="CK582" s="399"/>
      <c r="CL582" s="399"/>
      <c r="CM582" s="399"/>
      <c r="CN582" s="399"/>
      <c r="CO582" s="399">
        <v>-168.20000000000002</v>
      </c>
      <c r="CP582" s="399">
        <v>0</v>
      </c>
      <c r="CQ582" s="399">
        <v>31</v>
      </c>
      <c r="CR582" s="399">
        <v>-0.4416701917192345</v>
      </c>
      <c r="CS582" s="399">
        <v>0</v>
      </c>
      <c r="CT582" s="399">
        <v>0</v>
      </c>
      <c r="CU582" s="399">
        <v>0</v>
      </c>
      <c r="CV582" s="399">
        <v>0</v>
      </c>
      <c r="CW582" s="399"/>
      <c r="CX582" s="399"/>
      <c r="CY582" s="399"/>
      <c r="CZ582" s="399">
        <v>0</v>
      </c>
      <c r="DA582" s="399">
        <v>0</v>
      </c>
      <c r="DB582" s="399">
        <v>0</v>
      </c>
      <c r="DC582" s="399"/>
      <c r="DD582" s="399"/>
      <c r="DE582" s="399">
        <v>0</v>
      </c>
      <c r="DF582" s="399">
        <v>0</v>
      </c>
      <c r="DG582" s="399">
        <v>0</v>
      </c>
      <c r="DH582" s="399">
        <v>0</v>
      </c>
      <c r="DI582" s="399">
        <v>0</v>
      </c>
      <c r="DJ582" s="399"/>
      <c r="DK582" s="399">
        <v>0</v>
      </c>
      <c r="DL582" s="399">
        <v>0</v>
      </c>
      <c r="DM582" s="399"/>
      <c r="DN582" s="399">
        <v>0</v>
      </c>
      <c r="DO582" s="399">
        <v>0</v>
      </c>
      <c r="DP582" s="399">
        <v>-0.4416701917192345</v>
      </c>
      <c r="DQ582" s="399">
        <v>0</v>
      </c>
      <c r="DR582" s="399">
        <v>0</v>
      </c>
      <c r="DS582" s="399"/>
      <c r="DT582" s="399"/>
      <c r="DU582" s="399">
        <v>780.58671881564101</v>
      </c>
      <c r="DV582" s="399"/>
      <c r="DW582" s="399">
        <v>0</v>
      </c>
      <c r="DX582" s="399">
        <v>0</v>
      </c>
      <c r="DY582" s="399">
        <v>-168.19999999999993</v>
      </c>
      <c r="DZ582" s="399"/>
      <c r="EA582" s="399">
        <v>0</v>
      </c>
      <c r="EB582" s="399"/>
      <c r="EC582" s="399">
        <v>-168.75863688857646</v>
      </c>
      <c r="ED582" s="399"/>
      <c r="EE582" s="399">
        <v>0</v>
      </c>
      <c r="EF582" s="399">
        <v>0</v>
      </c>
      <c r="EG582" s="399"/>
      <c r="EH582" s="399">
        <v>0</v>
      </c>
      <c r="EI582" s="399">
        <v>0</v>
      </c>
      <c r="EJ582" s="399">
        <v>0</v>
      </c>
      <c r="EK582" s="399">
        <v>0</v>
      </c>
      <c r="EL582" s="399">
        <v>0</v>
      </c>
      <c r="EM582" s="399"/>
      <c r="EN582" s="399"/>
      <c r="EO582" s="399">
        <v>0</v>
      </c>
      <c r="EP582" s="399">
        <v>0</v>
      </c>
      <c r="EQ582" s="399"/>
      <c r="ER582" s="399">
        <v>0</v>
      </c>
      <c r="ES582" s="399"/>
      <c r="ET582" s="399">
        <v>0</v>
      </c>
      <c r="EU582" s="399"/>
      <c r="EV582" s="399">
        <v>215</v>
      </c>
      <c r="EW582" s="399"/>
      <c r="EX582" s="399"/>
      <c r="EY582" s="399"/>
      <c r="EZ582" s="399"/>
      <c r="FA582" s="399">
        <v>0</v>
      </c>
      <c r="FB582" s="399"/>
      <c r="FC582" s="399"/>
      <c r="FD582" s="399"/>
      <c r="FE582" s="399"/>
      <c r="FF582" s="399">
        <v>0</v>
      </c>
      <c r="FG582" s="399">
        <v>0</v>
      </c>
      <c r="FH582" s="399">
        <v>0</v>
      </c>
      <c r="FI582" s="399">
        <v>0</v>
      </c>
    </row>
    <row r="583" spans="1:165">
      <c r="K583" s="261"/>
      <c r="L583" s="261"/>
      <c r="M583" s="261"/>
      <c r="N583" s="261"/>
      <c r="O583" s="261"/>
      <c r="P583" s="261"/>
      <c r="Q583" s="261"/>
      <c r="BR583" s="261"/>
      <c r="BS583" s="261"/>
      <c r="BT583" s="261"/>
      <c r="BU583" s="261"/>
      <c r="BV583" s="261"/>
      <c r="CJ583" s="261"/>
      <c r="CO583" s="261"/>
      <c r="CP583" s="261"/>
      <c r="CQ583" s="261"/>
      <c r="CR583" s="261"/>
      <c r="CS583" s="261"/>
      <c r="CT583" s="261"/>
      <c r="CU583" s="261"/>
      <c r="CV583" s="261"/>
      <c r="CW583" s="261"/>
      <c r="CX583" s="261"/>
      <c r="CY583" s="261"/>
      <c r="CZ583" s="261"/>
      <c r="DA583" s="261"/>
      <c r="DB583" s="261"/>
      <c r="DC583" s="261"/>
      <c r="DD583" s="261"/>
      <c r="DE583" s="261"/>
      <c r="DF583" s="261"/>
      <c r="DG583" s="261"/>
      <c r="DH583" s="261"/>
      <c r="DI583" s="261"/>
      <c r="DJ583" s="261"/>
      <c r="DK583" s="261"/>
      <c r="DL583" s="261"/>
      <c r="DM583" s="261"/>
      <c r="DN583" s="261"/>
      <c r="DO583" s="261"/>
      <c r="DP583" s="261"/>
      <c r="DQ583" s="261"/>
      <c r="DR583" s="261"/>
      <c r="DS583" s="261"/>
      <c r="DY583" s="261"/>
      <c r="EC583" s="261"/>
      <c r="EP583" s="261"/>
    </row>
    <row r="584" spans="1:165">
      <c r="K584" s="261"/>
      <c r="L584" s="261"/>
      <c r="M584" s="261"/>
      <c r="N584" s="261"/>
      <c r="O584" s="261"/>
      <c r="P584" s="261"/>
      <c r="Q584" s="261"/>
      <c r="BR584" s="261"/>
      <c r="BS584" s="261"/>
      <c r="BT584" s="261"/>
      <c r="BU584" s="261"/>
      <c r="BV584" s="261"/>
      <c r="CJ584" s="261"/>
      <c r="CO584" s="261"/>
      <c r="CP584" s="261"/>
      <c r="CQ584" s="261"/>
      <c r="CR584" s="261"/>
      <c r="CS584" s="261"/>
      <c r="CT584" s="261"/>
      <c r="CU584" s="261"/>
      <c r="CV584" s="261"/>
      <c r="CW584" s="261"/>
      <c r="CX584" s="261"/>
      <c r="CY584" s="261"/>
      <c r="CZ584" s="261"/>
      <c r="DA584" s="261"/>
      <c r="DB584" s="261"/>
      <c r="DC584" s="261"/>
      <c r="DD584" s="261"/>
      <c r="DE584" s="261"/>
      <c r="DF584" s="261"/>
      <c r="DG584" s="261"/>
      <c r="DH584" s="261"/>
      <c r="DI584" s="261"/>
      <c r="DJ584" s="261"/>
      <c r="DK584" s="261"/>
      <c r="DL584" s="261"/>
      <c r="DM584" s="261"/>
      <c r="DN584" s="261"/>
      <c r="DO584" s="261"/>
      <c r="DP584" s="261"/>
      <c r="DQ584" s="261"/>
      <c r="DR584" s="261"/>
      <c r="DS584" s="261"/>
      <c r="DY584" s="261"/>
      <c r="EC584" s="261"/>
      <c r="EP584" s="261"/>
    </row>
    <row r="585" spans="1:165">
      <c r="K585" s="261"/>
      <c r="L585" s="261"/>
      <c r="M585" s="261"/>
      <c r="N585" s="261"/>
      <c r="O585" s="261"/>
      <c r="P585" s="261"/>
      <c r="Q585" s="261"/>
      <c r="BR585" s="261"/>
      <c r="BS585" s="261"/>
      <c r="BT585" s="261"/>
      <c r="BU585" s="261"/>
      <c r="BV585" s="261"/>
      <c r="CJ585" s="261"/>
      <c r="CO585" s="261"/>
      <c r="CP585" s="261"/>
      <c r="CQ585" s="261"/>
      <c r="CR585" s="261"/>
      <c r="CS585" s="261"/>
      <c r="CT585" s="261"/>
      <c r="CU585" s="261"/>
      <c r="CV585" s="261"/>
      <c r="CW585" s="261"/>
      <c r="CX585" s="261"/>
      <c r="CY585" s="261"/>
      <c r="CZ585" s="261"/>
      <c r="DA585" s="261"/>
      <c r="DB585" s="261"/>
      <c r="DC585" s="261"/>
      <c r="DD585" s="261"/>
      <c r="DE585" s="261"/>
      <c r="DF585" s="261"/>
      <c r="DG585" s="261"/>
      <c r="DH585" s="261"/>
      <c r="DI585" s="261"/>
      <c r="DJ585" s="261"/>
      <c r="DK585" s="261"/>
      <c r="DL585" s="261"/>
      <c r="DM585" s="261"/>
      <c r="DN585" s="261"/>
      <c r="DO585" s="261"/>
      <c r="DP585" s="261"/>
      <c r="DQ585" s="261"/>
      <c r="DR585" s="261"/>
      <c r="DS585" s="261"/>
      <c r="DY585" s="261"/>
      <c r="EC585" s="261"/>
      <c r="EP585" s="261"/>
    </row>
    <row r="586" spans="1:165">
      <c r="K586" s="261"/>
      <c r="L586" s="261"/>
      <c r="M586" s="261"/>
      <c r="N586" s="261"/>
      <c r="O586" s="261"/>
      <c r="P586" s="261"/>
      <c r="Q586" s="261"/>
      <c r="BR586" s="261"/>
      <c r="BS586" s="261"/>
      <c r="BT586" s="261"/>
      <c r="BU586" s="261"/>
      <c r="BV586" s="261"/>
      <c r="CJ586" s="261"/>
      <c r="CO586" s="261"/>
      <c r="CP586" s="261"/>
      <c r="CQ586" s="261"/>
      <c r="CR586" s="261"/>
      <c r="CS586" s="261"/>
      <c r="CT586" s="261"/>
      <c r="CU586" s="261"/>
      <c r="CV586" s="261"/>
      <c r="CW586" s="261"/>
      <c r="CX586" s="261"/>
      <c r="CY586" s="261"/>
      <c r="CZ586" s="261"/>
      <c r="DA586" s="261"/>
      <c r="DB586" s="261"/>
      <c r="DC586" s="261"/>
      <c r="DD586" s="261"/>
      <c r="DE586" s="261"/>
      <c r="DF586" s="261"/>
      <c r="DG586" s="261"/>
      <c r="DH586" s="261"/>
      <c r="DI586" s="261"/>
      <c r="DJ586" s="261"/>
      <c r="DK586" s="261"/>
      <c r="DL586" s="261"/>
      <c r="DM586" s="261"/>
      <c r="DN586" s="261"/>
      <c r="DO586" s="261"/>
      <c r="DP586" s="261"/>
      <c r="DQ586" s="261"/>
      <c r="DR586" s="261"/>
      <c r="DS586" s="261"/>
      <c r="DY586" s="261"/>
      <c r="EC586" s="261"/>
      <c r="EP586" s="261"/>
    </row>
    <row r="587" spans="1:165">
      <c r="K587" s="261"/>
      <c r="L587" s="261"/>
      <c r="M587" s="261"/>
      <c r="N587" s="261"/>
      <c r="O587" s="261"/>
      <c r="P587" s="261"/>
      <c r="Q587" s="261"/>
      <c r="BR587" s="261"/>
      <c r="BS587" s="261"/>
      <c r="BT587" s="261"/>
      <c r="BU587" s="261"/>
      <c r="BV587" s="261"/>
      <c r="CJ587" s="261"/>
      <c r="CO587" s="261"/>
      <c r="CP587" s="261"/>
      <c r="CQ587" s="261"/>
      <c r="CR587" s="261"/>
      <c r="CS587" s="261"/>
      <c r="CT587" s="261"/>
      <c r="CU587" s="261"/>
      <c r="CV587" s="261"/>
      <c r="CW587" s="261"/>
      <c r="CX587" s="261"/>
      <c r="CY587" s="261"/>
      <c r="CZ587" s="261"/>
      <c r="DA587" s="261"/>
      <c r="DB587" s="261"/>
      <c r="DC587" s="261"/>
      <c r="DD587" s="261"/>
      <c r="DE587" s="261"/>
      <c r="DF587" s="261"/>
      <c r="DG587" s="261"/>
      <c r="DH587" s="261"/>
      <c r="DI587" s="261"/>
      <c r="DJ587" s="261"/>
      <c r="DK587" s="261"/>
      <c r="DL587" s="261"/>
      <c r="DM587" s="261"/>
      <c r="DN587" s="261"/>
      <c r="DO587" s="261"/>
      <c r="DP587" s="261"/>
      <c r="DQ587" s="261"/>
      <c r="DR587" s="261"/>
      <c r="DS587" s="261"/>
      <c r="DY587" s="261"/>
      <c r="EC587" s="261"/>
      <c r="EP587" s="261"/>
    </row>
    <row r="588" spans="1:165">
      <c r="K588" s="261"/>
      <c r="L588" s="261"/>
      <c r="M588" s="261"/>
      <c r="N588" s="261"/>
      <c r="O588" s="261"/>
      <c r="P588" s="261"/>
      <c r="Q588" s="261"/>
      <c r="BR588" s="261"/>
      <c r="BS588" s="261"/>
      <c r="BT588" s="261"/>
      <c r="BU588" s="261"/>
      <c r="BV588" s="261"/>
      <c r="CJ588" s="261"/>
      <c r="CO588" s="261"/>
      <c r="CP588" s="261"/>
      <c r="CQ588" s="261"/>
      <c r="CR588" s="261"/>
      <c r="CS588" s="261"/>
      <c r="CT588" s="261"/>
      <c r="CU588" s="261"/>
      <c r="CV588" s="261"/>
      <c r="CW588" s="261"/>
      <c r="CX588" s="261"/>
      <c r="CY588" s="261"/>
      <c r="CZ588" s="261"/>
      <c r="DA588" s="261"/>
      <c r="DB588" s="261"/>
      <c r="DC588" s="261"/>
      <c r="DD588" s="261"/>
      <c r="DE588" s="261"/>
      <c r="DF588" s="261"/>
      <c r="DG588" s="261"/>
      <c r="DH588" s="261"/>
      <c r="DI588" s="261"/>
      <c r="DJ588" s="261"/>
      <c r="DK588" s="261"/>
      <c r="DL588" s="261"/>
      <c r="DM588" s="261"/>
      <c r="DN588" s="261"/>
      <c r="DO588" s="261"/>
      <c r="DP588" s="261"/>
      <c r="DQ588" s="261"/>
      <c r="DR588" s="261"/>
      <c r="DS588" s="261"/>
      <c r="DY588" s="261"/>
      <c r="EC588" s="261"/>
      <c r="EP588" s="261"/>
    </row>
    <row r="589" spans="1:165">
      <c r="K589" s="261"/>
      <c r="L589" s="261"/>
      <c r="M589" s="261"/>
      <c r="N589" s="261"/>
      <c r="O589" s="261">
        <f>O376/N376-1</f>
        <v>0</v>
      </c>
      <c r="P589" s="261"/>
      <c r="Q589" s="261"/>
      <c r="BR589" s="261"/>
      <c r="BS589" s="261"/>
      <c r="BT589" s="261"/>
      <c r="BU589" s="261"/>
      <c r="BV589" s="261"/>
      <c r="CJ589" s="261"/>
      <c r="CO589" s="261"/>
      <c r="CP589" s="261"/>
      <c r="CQ589" s="261"/>
      <c r="CR589" s="261"/>
      <c r="CS589" s="261"/>
      <c r="CT589" s="261"/>
      <c r="CU589" s="261"/>
      <c r="CV589" s="261"/>
      <c r="CW589" s="261"/>
      <c r="CX589" s="261"/>
      <c r="CY589" s="261"/>
      <c r="CZ589" s="261"/>
      <c r="DA589" s="261"/>
      <c r="DB589" s="261"/>
      <c r="DC589" s="261"/>
      <c r="DD589" s="261"/>
      <c r="DE589" s="261"/>
      <c r="DF589" s="261"/>
      <c r="DG589" s="261"/>
      <c r="DH589" s="261"/>
      <c r="DI589" s="261"/>
      <c r="DJ589" s="261"/>
      <c r="DK589" s="261"/>
      <c r="DL589" s="261"/>
      <c r="DM589" s="261"/>
      <c r="DN589" s="261"/>
      <c r="DO589" s="261"/>
      <c r="DP589" s="261"/>
      <c r="DQ589" s="261"/>
      <c r="DR589" s="261"/>
      <c r="DS589" s="261"/>
      <c r="DY589" s="261"/>
      <c r="EC589" s="261"/>
      <c r="EP589" s="261"/>
    </row>
    <row r="590" spans="1:165">
      <c r="K590" s="261"/>
      <c r="L590" s="261"/>
      <c r="M590" s="261"/>
      <c r="N590" s="261"/>
      <c r="O590" s="261"/>
      <c r="P590" s="261"/>
      <c r="Q590" s="261"/>
      <c r="BR590" s="261"/>
      <c r="BS590" s="261"/>
      <c r="BT590" s="261"/>
      <c r="BU590" s="261"/>
      <c r="BV590" s="261"/>
      <c r="CJ590" s="261"/>
      <c r="CO590" s="261"/>
      <c r="CP590" s="261"/>
      <c r="CQ590" s="261"/>
      <c r="CR590" s="261"/>
      <c r="CS590" s="261"/>
      <c r="CT590" s="261"/>
      <c r="CU590" s="261"/>
      <c r="CV590" s="261"/>
      <c r="CW590" s="261"/>
      <c r="CX590" s="261"/>
      <c r="CY590" s="261"/>
      <c r="CZ590" s="261"/>
      <c r="DA590" s="261"/>
      <c r="DB590" s="261"/>
      <c r="DC590" s="261"/>
      <c r="DD590" s="261"/>
      <c r="DE590" s="261"/>
      <c r="DF590" s="261"/>
      <c r="DG590" s="261"/>
      <c r="DH590" s="261"/>
      <c r="DI590" s="261"/>
      <c r="DJ590" s="261"/>
      <c r="DK590" s="261"/>
      <c r="DL590" s="261"/>
      <c r="DM590" s="261"/>
      <c r="DN590" s="261"/>
      <c r="DO590" s="261"/>
      <c r="DP590" s="261"/>
      <c r="DQ590" s="261"/>
      <c r="DR590" s="261"/>
      <c r="DS590" s="261"/>
      <c r="DY590" s="261"/>
      <c r="EC590" s="261"/>
      <c r="EP590" s="261"/>
    </row>
    <row r="591" spans="1:165">
      <c r="K591" s="261"/>
      <c r="L591" s="261"/>
      <c r="M591" s="261"/>
      <c r="N591" s="261"/>
      <c r="O591" s="261"/>
      <c r="P591" s="261"/>
      <c r="Q591" s="261"/>
      <c r="BR591" s="261"/>
      <c r="BS591" s="261"/>
      <c r="BT591" s="261"/>
      <c r="BU591" s="261"/>
      <c r="BV591" s="261"/>
      <c r="CJ591" s="261"/>
      <c r="CO591" s="261"/>
      <c r="CP591" s="261"/>
      <c r="CQ591" s="261"/>
      <c r="CR591" s="261"/>
      <c r="CS591" s="261"/>
      <c r="CT591" s="261"/>
      <c r="CU591" s="261"/>
      <c r="CV591" s="261"/>
      <c r="CW591" s="261"/>
      <c r="CX591" s="261"/>
      <c r="CY591" s="261"/>
      <c r="CZ591" s="261"/>
      <c r="DA591" s="261"/>
      <c r="DB591" s="261"/>
      <c r="DC591" s="261"/>
      <c r="DD591" s="261"/>
      <c r="DE591" s="261"/>
      <c r="DF591" s="261"/>
      <c r="DG591" s="261"/>
      <c r="DH591" s="261"/>
      <c r="DI591" s="261"/>
      <c r="DJ591" s="261"/>
      <c r="DK591" s="261"/>
      <c r="DL591" s="261"/>
      <c r="DM591" s="261"/>
      <c r="DN591" s="261"/>
      <c r="DO591" s="261"/>
      <c r="DP591" s="261"/>
      <c r="DQ591" s="261"/>
      <c r="DR591" s="261"/>
      <c r="DS591" s="261"/>
      <c r="DY591" s="261"/>
      <c r="EC591" s="261"/>
      <c r="EP591" s="261"/>
    </row>
    <row r="592" spans="1:165">
      <c r="K592" s="261"/>
      <c r="L592" s="261"/>
      <c r="M592" s="261"/>
      <c r="N592" s="261"/>
      <c r="O592" s="261"/>
      <c r="P592" s="261"/>
      <c r="Q592" s="261"/>
      <c r="BR592" s="261"/>
      <c r="BS592" s="261"/>
      <c r="BT592" s="261"/>
      <c r="BU592" s="261"/>
      <c r="BV592" s="261"/>
      <c r="CJ592" s="261"/>
      <c r="CO592" s="261"/>
      <c r="CP592" s="261"/>
      <c r="CQ592" s="261"/>
      <c r="CR592" s="261"/>
      <c r="CS592" s="261"/>
      <c r="CT592" s="261"/>
      <c r="CU592" s="261"/>
      <c r="CV592" s="261"/>
      <c r="CW592" s="261"/>
      <c r="CX592" s="261"/>
      <c r="CY592" s="261"/>
      <c r="CZ592" s="261"/>
      <c r="DA592" s="261"/>
      <c r="DB592" s="261"/>
      <c r="DC592" s="261"/>
      <c r="DD592" s="261"/>
      <c r="DE592" s="261"/>
      <c r="DF592" s="261"/>
      <c r="DG592" s="261"/>
      <c r="DH592" s="261"/>
      <c r="DI592" s="261"/>
      <c r="DJ592" s="261"/>
      <c r="DK592" s="261"/>
      <c r="DL592" s="261"/>
      <c r="DM592" s="261"/>
      <c r="DN592" s="261"/>
      <c r="DO592" s="261"/>
      <c r="DP592" s="261"/>
      <c r="DQ592" s="261"/>
      <c r="DR592" s="261"/>
      <c r="DS592" s="261"/>
      <c r="DY592" s="261"/>
      <c r="EC592" s="261"/>
      <c r="EP592" s="261"/>
    </row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9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F27" sqref="F27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140625" style="94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5.5703125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4" t="s">
        <v>872</v>
      </c>
      <c r="C1" s="1023"/>
      <c r="D1" s="935"/>
      <c r="E1" s="935"/>
      <c r="F1" s="935"/>
      <c r="G1" s="1133" t="s">
        <v>873</v>
      </c>
      <c r="H1" s="1134">
        <f ca="1">LnkTXTIRTEco</f>
        <v>0.15570000000000001</v>
      </c>
      <c r="I1" s="70"/>
      <c r="J1" s="70"/>
      <c r="P1" s="1135" t="s">
        <v>874</v>
      </c>
      <c r="Q1" s="1136"/>
      <c r="S1" s="1137" t="s">
        <v>875</v>
      </c>
      <c r="T1" s="1136" t="s">
        <v>876</v>
      </c>
      <c r="W1" s="1135" t="s">
        <v>875</v>
      </c>
      <c r="X1" s="1136" t="s">
        <v>876</v>
      </c>
    </row>
    <row r="2" spans="2:24" ht="14.25">
      <c r="B2" s="136" t="str">
        <f>CAPA!C9</f>
        <v>Cegero</v>
      </c>
      <c r="C2" s="70"/>
      <c r="D2" s="70"/>
      <c r="G2" s="120" t="s">
        <v>877</v>
      </c>
      <c r="H2" s="121">
        <f ca="1">LnkTXTIRTTotal</f>
        <v>0.16300000000000001</v>
      </c>
      <c r="P2" s="1138">
        <f>DATE(YEAR(P4),MONTH(P4)-1,1)</f>
        <v>44440</v>
      </c>
      <c r="Q2" s="663"/>
      <c r="S2" s="662" t="s">
        <v>878</v>
      </c>
      <c r="T2" s="663" t="s">
        <v>879</v>
      </c>
      <c r="W2" s="662" t="s">
        <v>880</v>
      </c>
      <c r="X2" s="663" t="s">
        <v>879</v>
      </c>
    </row>
    <row r="3" spans="2:24" ht="14.25">
      <c r="P3" s="1135" t="s">
        <v>874</v>
      </c>
      <c r="Q3" s="1136"/>
      <c r="S3" s="1137" t="s">
        <v>875</v>
      </c>
      <c r="T3" s="1136" t="s">
        <v>876</v>
      </c>
      <c r="W3" s="1135" t="s">
        <v>875</v>
      </c>
      <c r="X3" s="1136" t="s">
        <v>876</v>
      </c>
    </row>
    <row r="4" spans="2:24" ht="14.25">
      <c r="P4" s="1138">
        <f>DATE(YEAR(P6),MONTH(P6)-1,1)</f>
        <v>44470</v>
      </c>
      <c r="Q4" s="663"/>
      <c r="S4" s="662" t="s">
        <v>538</v>
      </c>
      <c r="T4" s="663" t="s">
        <v>879</v>
      </c>
      <c r="W4" s="662" t="s">
        <v>880</v>
      </c>
      <c r="X4" s="663" t="s">
        <v>879</v>
      </c>
    </row>
    <row r="5" spans="2:24" ht="14.25">
      <c r="P5" s="1135" t="s">
        <v>874</v>
      </c>
      <c r="Q5" s="1136"/>
      <c r="S5" s="1135" t="s">
        <v>875</v>
      </c>
      <c r="T5" s="1136" t="s">
        <v>876</v>
      </c>
      <c r="V5" s="95"/>
      <c r="W5" s="1135" t="s">
        <v>875</v>
      </c>
      <c r="X5" s="1136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8">
        <f>DATE(YEAR(P8),MONTH(P8)-1,1)</f>
        <v>44501</v>
      </c>
      <c r="Q6" s="663"/>
      <c r="S6" s="662" t="str">
        <f>"=A3"</f>
        <v>=A3</v>
      </c>
      <c r="T6" s="663" t="s">
        <v>879</v>
      </c>
      <c r="W6" s="662" t="s">
        <v>880</v>
      </c>
      <c r="X6" s="663" t="s">
        <v>879</v>
      </c>
    </row>
    <row r="7" spans="2:24" ht="14.25">
      <c r="B7" s="1139" t="s">
        <v>778</v>
      </c>
      <c r="C7" s="1139" t="s">
        <v>108</v>
      </c>
      <c r="D7" s="1139" t="s">
        <v>884</v>
      </c>
      <c r="E7" s="96"/>
      <c r="F7" s="1139" t="s">
        <v>778</v>
      </c>
      <c r="G7" s="1139" t="s">
        <v>884</v>
      </c>
      <c r="I7" s="1140" t="s">
        <v>778</v>
      </c>
      <c r="J7" s="1140" t="s">
        <v>885</v>
      </c>
      <c r="L7" s="416" t="s">
        <v>886</v>
      </c>
      <c r="M7" s="416"/>
      <c r="N7" s="416" t="s">
        <v>725</v>
      </c>
      <c r="P7" s="1135" t="s">
        <v>874</v>
      </c>
      <c r="Q7" s="1136"/>
      <c r="S7" s="1135" t="s">
        <v>875</v>
      </c>
      <c r="T7" s="1136" t="s">
        <v>876</v>
      </c>
      <c r="W7" s="1135" t="s">
        <v>875</v>
      </c>
      <c r="X7" s="1136" t="s">
        <v>876</v>
      </c>
    </row>
    <row r="8" spans="2:24" ht="14.25">
      <c r="B8" s="1141" t="s">
        <v>887</v>
      </c>
      <c r="C8" s="1142">
        <f ca="1">SUM(C9:C15)</f>
        <v>183015.82199999996</v>
      </c>
      <c r="D8" s="1143">
        <f ca="1">SUM(D9:D15)</f>
        <v>68234943.710620001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0.27244898201761553</v>
      </c>
      <c r="L8" s="1144" t="s">
        <v>889</v>
      </c>
      <c r="M8" s="1145"/>
      <c r="N8" s="1146">
        <f>DSUM('BD MERCADO'!A2:AAA999998,"Total",S27:S28)</f>
        <v>6912778.4304599985</v>
      </c>
      <c r="P8" s="1138">
        <f>DATE(YEAR(P10),MONTH(P10)-1,1)</f>
        <v>44531</v>
      </c>
      <c r="Q8" s="663"/>
      <c r="S8" s="662" t="str">
        <f>"=A3a"</f>
        <v>=A3a</v>
      </c>
      <c r="T8" s="663" t="s">
        <v>879</v>
      </c>
      <c r="W8" s="662" t="s">
        <v>880</v>
      </c>
      <c r="X8" s="663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7" t="s">
        <v>755</v>
      </c>
      <c r="J9" s="1148">
        <f ca="1">SUM(INDIRECT("dados_MercadoBase[[PisPasep]:[Cofins]]"))/SUM(INDIRECT("dados_MercadoBase[[PisPasep]:[ICMS]]"),INDIRECT("dados_MercadoBase[FinTotAj]"))</f>
        <v>0</v>
      </c>
      <c r="L9" s="96" t="s">
        <v>890</v>
      </c>
      <c r="M9" s="415"/>
      <c r="N9" s="115">
        <f>DSUM('BD MERCADO'!A2:AAA999998,"Total",S29:S30)</f>
        <v>52999564.902710013</v>
      </c>
      <c r="P9" s="1135" t="s">
        <v>874</v>
      </c>
      <c r="Q9" s="1136"/>
      <c r="S9" s="1135" t="s">
        <v>875</v>
      </c>
      <c r="T9" s="1136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1137757.303992745</v>
      </c>
      <c r="L10" s="96" t="s">
        <v>892</v>
      </c>
      <c r="M10" s="415"/>
      <c r="N10" s="115">
        <f>DSUM('BD MERCADO'!A2:AAA999998,"Total",S31:S32)</f>
        <v>3137708.9280799995</v>
      </c>
      <c r="P10" s="1138">
        <f>DATE(YEAR(P12),MONTH(P12)-1,1)</f>
        <v>44562</v>
      </c>
      <c r="Q10" s="663"/>
      <c r="S10" s="662" t="s">
        <v>533</v>
      </c>
      <c r="T10" s="663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1696704.5826975643</v>
      </c>
      <c r="L11" s="96" t="s">
        <v>894</v>
      </c>
      <c r="M11" s="415"/>
      <c r="N11" s="115">
        <f>DSUM('BD MERCADO'!A2:AAA999998,"Total",S33:S34)</f>
        <v>4378096.8634499991</v>
      </c>
      <c r="P11" s="1135" t="s">
        <v>874</v>
      </c>
      <c r="Q11" s="1136"/>
      <c r="S11" s="1135" t="s">
        <v>875</v>
      </c>
      <c r="T11" s="1136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ca="1">SUM(INDIRECT("dados_Mercadobase["&amp;F12&amp;"]"))+S75</f>
        <v>11698227.974739904</v>
      </c>
      <c r="I12" s="111" t="s">
        <v>895</v>
      </c>
      <c r="L12" s="96" t="s">
        <v>896</v>
      </c>
      <c r="M12" s="415"/>
      <c r="N12" s="115">
        <f>DSUM('BD MERCADO'!A2:AAA999998,"Total",S35:S36)</f>
        <v>275058.18336000002</v>
      </c>
      <c r="P12" s="1138">
        <f>DATE(YEAR(P14),MONTH(P14)-1,1)</f>
        <v>44593</v>
      </c>
      <c r="Q12" s="663"/>
      <c r="S12" s="662" t="s">
        <v>897</v>
      </c>
      <c r="T12" s="663" t="s">
        <v>879</v>
      </c>
      <c r="X12" s="97"/>
    </row>
    <row r="13" spans="2:24" ht="14.25">
      <c r="B13" s="112" t="s">
        <v>533</v>
      </c>
      <c r="C13" s="98">
        <f t="shared" ca="1" si="2"/>
        <v>146123.73299999995</v>
      </c>
      <c r="D13" s="113">
        <f t="shared" ca="1" si="1"/>
        <v>53364850.632400014</v>
      </c>
      <c r="E13" s="96"/>
      <c r="F13" s="96" t="s">
        <v>40</v>
      </c>
      <c r="G13" s="115">
        <f t="shared" ca="1" si="0"/>
        <v>53031.933971517501</v>
      </c>
      <c r="I13" s="1140" t="s">
        <v>778</v>
      </c>
      <c r="J13" s="1140" t="s">
        <v>898</v>
      </c>
      <c r="L13" s="96" t="s">
        <v>899</v>
      </c>
      <c r="M13" s="415"/>
      <c r="N13" s="115">
        <f>DSUM('BD MERCADO'!A2:AAA999998,"Total",S37:S38)</f>
        <v>286047.17016000004</v>
      </c>
      <c r="P13" s="1135" t="s">
        <v>874</v>
      </c>
      <c r="Q13" s="1136"/>
      <c r="S13" s="1135" t="s">
        <v>875</v>
      </c>
      <c r="T13" s="1136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9" t="s">
        <v>901</v>
      </c>
      <c r="J14" s="1150">
        <f>CAPA!D41</f>
        <v>180869.08199999999</v>
      </c>
      <c r="L14" s="96" t="s">
        <v>902</v>
      </c>
      <c r="M14" s="415"/>
      <c r="N14" s="115">
        <f>DSUM('BD MERCADO'!A2:AAA999998,"Total",S39:S40)</f>
        <v>197829.95309999998</v>
      </c>
      <c r="P14" s="1138">
        <f>DATE(YEAR(P16),MONTH(P16)-1,1)</f>
        <v>44621</v>
      </c>
      <c r="Q14" s="663"/>
      <c r="S14" s="662" t="s">
        <v>880</v>
      </c>
      <c r="T14" s="663" t="s">
        <v>879</v>
      </c>
      <c r="X14" s="97"/>
    </row>
    <row r="15" spans="2:24" ht="14.25">
      <c r="B15" s="112" t="s">
        <v>540</v>
      </c>
      <c r="C15" s="98">
        <f t="shared" ca="1" si="2"/>
        <v>36892.089</v>
      </c>
      <c r="D15" s="113">
        <f t="shared" ca="1" si="1"/>
        <v>14870093.078219993</v>
      </c>
      <c r="E15" s="96"/>
      <c r="F15" s="96" t="s">
        <v>108</v>
      </c>
      <c r="G15" s="115">
        <f ca="1">SUM(C79:C84)</f>
        <v>31660728.081992824</v>
      </c>
      <c r="I15" s="1151" t="s">
        <v>831</v>
      </c>
      <c r="J15" s="1152">
        <f ca="1">IFERROR(Mercado_RA0_MWh/J14-1,0)</f>
        <v>1.1869026902010527E-2</v>
      </c>
      <c r="L15" s="1153" t="s">
        <v>903</v>
      </c>
      <c r="M15" s="1154"/>
      <c r="N15" s="1155">
        <f ca="1">D25-SUM(N8:N14)</f>
        <v>62277.279300004244</v>
      </c>
      <c r="P15" s="1135" t="s">
        <v>874</v>
      </c>
      <c r="Q15" s="1136"/>
      <c r="S15" s="1135" t="s">
        <v>904</v>
      </c>
      <c r="T15" s="1136" t="s">
        <v>876</v>
      </c>
      <c r="X15" s="97"/>
    </row>
    <row r="16" spans="2:24" ht="14.25">
      <c r="B16" s="1141" t="s">
        <v>905</v>
      </c>
      <c r="C16" s="1156">
        <f ca="1">DSUM(MercadoBase,"TUSD_E",INDIRECT("Mercado_CriterioResBr"))</f>
        <v>966.2679999999998</v>
      </c>
      <c r="D16" s="1157">
        <f ca="1">DSUM(MercadoBase,"Total",INDIRECT("Mercado_CriterioResBr"))</f>
        <v>318839.45196000003</v>
      </c>
      <c r="E16" s="96"/>
      <c r="F16" s="96" t="s">
        <v>906</v>
      </c>
      <c r="G16" s="115">
        <f ca="1">SUM(C87:C97)</f>
        <v>22001020.014690142</v>
      </c>
      <c r="P16" s="1138">
        <f>DATE(YEAR(P18),MONTH(P18)-1,1)</f>
        <v>44652</v>
      </c>
      <c r="Q16" s="663"/>
      <c r="S16" s="662" t="s">
        <v>907</v>
      </c>
      <c r="T16" s="663" t="s">
        <v>879</v>
      </c>
      <c r="X16" s="97"/>
    </row>
    <row r="17" spans="2:24" ht="14.25">
      <c r="B17" s="1141" t="s">
        <v>908</v>
      </c>
      <c r="C17" s="1156">
        <f ca="1">DSUM(MercadoBase,"TUSD_E",INDIRECT("Mercado_Criterio"&amp;$B17))</f>
        <v>0</v>
      </c>
      <c r="D17" s="1157">
        <f ca="1">DSUM(MercadoBase,"Total",INDIRECT("Mercado_Criterio"&amp;$B17))</f>
        <v>0</v>
      </c>
      <c r="E17" s="96"/>
      <c r="F17" s="1158" t="s">
        <v>760</v>
      </c>
      <c r="G17" s="1159">
        <f ca="1">SUM(G8:G16)</f>
        <v>68247469.892084703</v>
      </c>
      <c r="I17" s="226" t="str">
        <f>"Dado referente à "&amp;TEXT(P20,"mmmm/aaaa")</f>
        <v>Dado referente à junho/2022</v>
      </c>
      <c r="L17" s="79"/>
      <c r="P17" s="1135" t="s">
        <v>874</v>
      </c>
      <c r="Q17" s="1136"/>
      <c r="S17" s="1135" t="s">
        <v>876</v>
      </c>
      <c r="T17" s="1136"/>
      <c r="X17" s="97"/>
    </row>
    <row r="18" spans="2:24" ht="14.25">
      <c r="B18" s="1141" t="s">
        <v>909</v>
      </c>
      <c r="C18" s="1156">
        <f ca="1">DSUM(MercadoBase,"TUSD_E",INDIRECT("Mercado_Criterio"&amp;$B18))</f>
        <v>0</v>
      </c>
      <c r="D18" s="1157">
        <f ca="1">DSUM(MercadoBase,"Total",INDIRECT("Mercado_Criterio"&amp;$B18))</f>
        <v>0</v>
      </c>
      <c r="E18" s="96"/>
      <c r="I18" s="1160" t="s">
        <v>910</v>
      </c>
      <c r="J18" s="1161">
        <f>DSUM('BD MERCADO'!B2:BU724,"UC",C101:C102)</f>
        <v>6669</v>
      </c>
      <c r="L18" s="79"/>
      <c r="P18" s="1138">
        <f>DATE(YEAR(P20),MONTH(P20)-1,1)</f>
        <v>44682</v>
      </c>
      <c r="Q18" s="663"/>
      <c r="S18" s="662" t="s">
        <v>790</v>
      </c>
      <c r="T18" s="663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G19" s="104">
        <f ca="1">Mercado_RA0_Reais-G17</f>
        <v>1891.8185352981091</v>
      </c>
      <c r="L19" s="79"/>
      <c r="P19" s="1135" t="s">
        <v>874</v>
      </c>
      <c r="Q19" s="1136"/>
      <c r="S19" s="1135" t="s">
        <v>876</v>
      </c>
      <c r="T19" s="1136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8">
        <f>DATE(YEAR(P22),MONTH(P22)-1,1)</f>
        <v>44713</v>
      </c>
      <c r="Q20" s="663"/>
      <c r="S20" s="662" t="s">
        <v>909</v>
      </c>
      <c r="T20" s="663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14418</v>
      </c>
      <c r="E21" s="615"/>
      <c r="F21" s="616"/>
      <c r="G21" s="614"/>
      <c r="L21" s="79"/>
      <c r="P21" s="1135" t="s">
        <v>874</v>
      </c>
      <c r="Q21" s="1136"/>
      <c r="S21" s="1135" t="s">
        <v>876</v>
      </c>
      <c r="T21" s="1136"/>
    </row>
    <row r="22" spans="2:24" ht="14.25">
      <c r="B22" s="114" t="s">
        <v>914</v>
      </c>
      <c r="C22" s="98">
        <f ca="1">C18-C19</f>
        <v>0</v>
      </c>
      <c r="D22" s="113">
        <f ca="1">D18-D19</f>
        <v>0</v>
      </c>
      <c r="F22" s="617"/>
      <c r="G22" s="618"/>
      <c r="L22" s="79"/>
      <c r="M22" s="100"/>
      <c r="N22" s="97"/>
      <c r="O22" s="97"/>
      <c r="P22" s="1138">
        <f>DATE(YEAR(P24),MONTH(P24)-1,1)</f>
        <v>44743</v>
      </c>
      <c r="Q22" s="663"/>
      <c r="S22" s="662" t="s">
        <v>752</v>
      </c>
      <c r="T22" s="663"/>
      <c r="X22" s="97"/>
    </row>
    <row r="23" spans="2:24" ht="14.25">
      <c r="B23" s="1141" t="s">
        <v>915</v>
      </c>
      <c r="C23" s="1156">
        <v>0</v>
      </c>
      <c r="D23" s="1157">
        <v>0</v>
      </c>
      <c r="E23" s="615"/>
      <c r="F23" s="617"/>
      <c r="G23" s="618"/>
      <c r="L23" s="79"/>
      <c r="M23" s="100"/>
      <c r="N23" s="97"/>
      <c r="O23" s="97"/>
      <c r="P23" s="1135" t="s">
        <v>874</v>
      </c>
      <c r="Q23" s="1136"/>
      <c r="S23" s="1135" t="s">
        <v>876</v>
      </c>
      <c r="T23" s="1136"/>
      <c r="X23" s="97"/>
    </row>
    <row r="24" spans="2:24" ht="14.25">
      <c r="B24" s="1141" t="s">
        <v>916</v>
      </c>
      <c r="C24" s="1162"/>
      <c r="D24" s="1163"/>
      <c r="E24" s="615"/>
      <c r="F24" s="617"/>
      <c r="G24" s="618"/>
      <c r="L24" s="79"/>
      <c r="P24" s="1138">
        <f>SAS_RA0_DataFim</f>
        <v>44774</v>
      </c>
      <c r="Q24" s="663"/>
      <c r="S24" s="662" t="s">
        <v>913</v>
      </c>
      <c r="T24" s="663"/>
      <c r="X24" s="97"/>
    </row>
    <row r="25" spans="2:24" ht="14.25">
      <c r="B25" s="1164" t="s">
        <v>760</v>
      </c>
      <c r="C25" s="1165">
        <f ca="1">C18+C8+C24+C20+C21+SuprimentoE</f>
        <v>183015.82199999996</v>
      </c>
      <c r="D25" s="1166">
        <f ca="1">D18+D8+D24+D20+D21+D17</f>
        <v>68249361.710620001</v>
      </c>
      <c r="E25" s="615"/>
      <c r="N25" s="69">
        <f>SUMIFS('BD MERCADO'!$P$3:$P$6000,'BD MERCADO'!$D$3:$D$6000,"A4",'BD MERCADO'!$I$3:$I$6000,U10)</f>
        <v>14008.167000000001</v>
      </c>
      <c r="S25" s="101" t="s">
        <v>876</v>
      </c>
      <c r="T25" s="102"/>
      <c r="X25" s="97"/>
    </row>
    <row r="26" spans="2:24" ht="14.25">
      <c r="F26" s="617"/>
      <c r="G26" s="618"/>
      <c r="S26" s="662" t="s">
        <v>917</v>
      </c>
      <c r="T26" s="663"/>
      <c r="X26" s="97"/>
    </row>
    <row r="27" spans="2:24" ht="14.25">
      <c r="F27" s="617"/>
      <c r="G27" s="618"/>
      <c r="I27" s="97"/>
      <c r="S27" s="1167" t="s">
        <v>524</v>
      </c>
      <c r="T27" s="1168"/>
      <c r="X27" s="97"/>
    </row>
    <row r="28" spans="2:24" ht="14.25">
      <c r="F28" s="226"/>
      <c r="G28" s="619"/>
      <c r="I28" s="97"/>
      <c r="S28" s="1169" t="s">
        <v>889</v>
      </c>
      <c r="T28" s="1170"/>
      <c r="X28" s="97"/>
    </row>
    <row r="29" spans="2:24" ht="14.25">
      <c r="I29" s="97"/>
      <c r="S29" s="1167" t="s">
        <v>524</v>
      </c>
      <c r="T29" s="1168"/>
    </row>
    <row r="30" spans="2:24" ht="14.25">
      <c r="I30" s="97"/>
      <c r="S30" s="1169" t="s">
        <v>890</v>
      </c>
      <c r="T30" s="1170"/>
    </row>
    <row r="31" spans="2:24" ht="16.5">
      <c r="B31"/>
      <c r="C31"/>
      <c r="H31" s="97"/>
      <c r="I31" s="97"/>
      <c r="S31" s="1167" t="s">
        <v>524</v>
      </c>
      <c r="T31" s="1168"/>
      <c r="X31" s="97"/>
    </row>
    <row r="32" spans="2:24" ht="14.25">
      <c r="H32" s="97"/>
      <c r="I32" s="97"/>
      <c r="S32" s="1169" t="s">
        <v>918</v>
      </c>
      <c r="T32" s="1170"/>
      <c r="X32" s="97"/>
    </row>
    <row r="33" spans="2:24" ht="16.5">
      <c r="B33" s="1764" t="s">
        <v>919</v>
      </c>
      <c r="C33" s="68" t="s">
        <v>920</v>
      </c>
      <c r="D33"/>
      <c r="S33" s="1167" t="s">
        <v>524</v>
      </c>
      <c r="T33" s="1168"/>
      <c r="X33" s="97"/>
    </row>
    <row r="34" spans="2:24" ht="16.5">
      <c r="B34" s="1765">
        <v>44440</v>
      </c>
      <c r="C34" s="92">
        <v>15170.117999999995</v>
      </c>
      <c r="D34"/>
      <c r="S34" s="1169" t="s">
        <v>894</v>
      </c>
      <c r="T34" s="1170"/>
      <c r="X34" s="97"/>
    </row>
    <row r="35" spans="2:24" ht="16.5">
      <c r="B35" s="1765">
        <v>44470</v>
      </c>
      <c r="C35" s="92">
        <v>15390.894999999999</v>
      </c>
      <c r="D35"/>
      <c r="S35" s="1167" t="s">
        <v>524</v>
      </c>
      <c r="T35" s="1168"/>
    </row>
    <row r="36" spans="2:24" ht="16.5">
      <c r="B36" s="1765">
        <v>44501</v>
      </c>
      <c r="C36" s="92">
        <v>15817.060999999998</v>
      </c>
      <c r="D36"/>
      <c r="M36" s="97"/>
      <c r="S36" s="1169" t="s">
        <v>896</v>
      </c>
      <c r="T36" s="1170"/>
    </row>
    <row r="37" spans="2:24" ht="16.5">
      <c r="B37" s="1765">
        <v>44531</v>
      </c>
      <c r="C37" s="92">
        <v>14163.195000000002</v>
      </c>
      <c r="D37"/>
      <c r="M37" s="97"/>
      <c r="S37" s="1167" t="s">
        <v>524</v>
      </c>
      <c r="T37" s="1168"/>
    </row>
    <row r="38" spans="2:24" ht="16.5">
      <c r="B38" s="1765">
        <v>44562</v>
      </c>
      <c r="C38" s="92">
        <v>15054.136000000002</v>
      </c>
      <c r="D38"/>
      <c r="M38" s="97"/>
      <c r="S38" s="1169" t="s">
        <v>899</v>
      </c>
      <c r="T38" s="1170"/>
    </row>
    <row r="39" spans="2:24" ht="16.5">
      <c r="B39" s="1765">
        <v>44593</v>
      </c>
      <c r="C39" s="92">
        <v>15021.782999999998</v>
      </c>
      <c r="D39"/>
      <c r="S39" s="1167" t="s">
        <v>524</v>
      </c>
      <c r="T39" s="1168"/>
    </row>
    <row r="40" spans="2:24" ht="16.5">
      <c r="B40" s="1765">
        <v>44621</v>
      </c>
      <c r="C40" s="92">
        <v>16341.192999999996</v>
      </c>
      <c r="D40"/>
      <c r="S40" s="1169" t="s">
        <v>921</v>
      </c>
      <c r="T40" s="1170"/>
    </row>
    <row r="41" spans="2:24" ht="16.5">
      <c r="B41" s="1765">
        <v>44652</v>
      </c>
      <c r="C41" s="92">
        <v>14622.200000000003</v>
      </c>
      <c r="D41"/>
      <c r="N41" s="97"/>
      <c r="O41" s="97"/>
      <c r="P41" s="97"/>
      <c r="Q41" s="97"/>
      <c r="R41" s="97"/>
      <c r="S41" s="1167" t="s">
        <v>524</v>
      </c>
      <c r="T41" s="1168"/>
    </row>
    <row r="42" spans="2:24" ht="16.5">
      <c r="B42" s="1765">
        <v>44682</v>
      </c>
      <c r="C42" s="92">
        <v>15066.904</v>
      </c>
      <c r="D42"/>
      <c r="N42" s="97"/>
      <c r="O42" s="97"/>
      <c r="P42" s="97"/>
      <c r="Q42" s="97"/>
      <c r="R42" s="97"/>
      <c r="S42" s="1169" t="s">
        <v>922</v>
      </c>
      <c r="T42" s="1170"/>
    </row>
    <row r="43" spans="2:24" ht="16.5">
      <c r="B43" s="1765">
        <v>44713</v>
      </c>
      <c r="C43" s="92">
        <v>15136.817999999997</v>
      </c>
      <c r="D43"/>
      <c r="N43" s="97"/>
      <c r="O43" s="97"/>
      <c r="P43" s="97"/>
      <c r="Q43" s="97"/>
      <c r="R43" s="97"/>
      <c r="S43" s="1135" t="s">
        <v>875</v>
      </c>
      <c r="T43" s="1136" t="s">
        <v>876</v>
      </c>
    </row>
    <row r="44" spans="2:24" ht="16.5">
      <c r="B44" s="1765">
        <v>44743</v>
      </c>
      <c r="C44" s="92">
        <v>15397.915000000001</v>
      </c>
      <c r="D44"/>
      <c r="S44" s="662" t="s">
        <v>538</v>
      </c>
      <c r="T44" s="663" t="s">
        <v>909</v>
      </c>
    </row>
    <row r="45" spans="2:24" ht="16.5">
      <c r="B45" s="1765">
        <v>44774</v>
      </c>
      <c r="C45" s="92">
        <v>15833.603999999998</v>
      </c>
      <c r="D45"/>
      <c r="S45" s="1135" t="s">
        <v>875</v>
      </c>
      <c r="T45" s="1136" t="s">
        <v>876</v>
      </c>
    </row>
    <row r="46" spans="2:24" ht="16.5">
      <c r="B46" s="1765" t="s">
        <v>923</v>
      </c>
      <c r="C46" s="92">
        <v>183015.82199999999</v>
      </c>
      <c r="D46"/>
      <c r="S46" s="662" t="s">
        <v>535</v>
      </c>
      <c r="T46" s="663" t="s">
        <v>909</v>
      </c>
    </row>
    <row r="47" spans="2:24" ht="16.5">
      <c r="B47"/>
      <c r="C47"/>
      <c r="D47"/>
      <c r="S47" s="1135" t="s">
        <v>875</v>
      </c>
      <c r="T47" s="1136" t="s">
        <v>876</v>
      </c>
    </row>
    <row r="48" spans="2:24" ht="16.5">
      <c r="B48"/>
      <c r="C48"/>
      <c r="D48"/>
      <c r="S48" s="662" t="s">
        <v>537</v>
      </c>
      <c r="T48" s="663" t="s">
        <v>909</v>
      </c>
    </row>
    <row r="49" spans="2:21" ht="16.5">
      <c r="B49"/>
      <c r="C49"/>
      <c r="D49"/>
      <c r="S49" s="1135" t="s">
        <v>875</v>
      </c>
      <c r="T49" s="1136" t="s">
        <v>876</v>
      </c>
    </row>
    <row r="50" spans="2:21" ht="16.5">
      <c r="B50"/>
      <c r="C50"/>
      <c r="D50"/>
      <c r="S50" s="662" t="s">
        <v>533</v>
      </c>
      <c r="T50" s="663" t="s">
        <v>909</v>
      </c>
    </row>
    <row r="51" spans="2:21" ht="16.5">
      <c r="B51"/>
      <c r="C51"/>
      <c r="S51" s="1135" t="s">
        <v>875</v>
      </c>
      <c r="T51" s="1136" t="s">
        <v>876</v>
      </c>
    </row>
    <row r="52" spans="2:21" ht="16.5">
      <c r="B52"/>
      <c r="C52"/>
      <c r="S52" s="662" t="s">
        <v>880</v>
      </c>
      <c r="T52" s="663" t="s">
        <v>909</v>
      </c>
    </row>
    <row r="53" spans="2:21" ht="16.5">
      <c r="B53"/>
      <c r="C53"/>
      <c r="S53" s="1135" t="s">
        <v>875</v>
      </c>
      <c r="T53" s="1136" t="s">
        <v>876</v>
      </c>
    </row>
    <row r="54" spans="2:21" ht="14.25">
      <c r="S54" s="662" t="s">
        <v>897</v>
      </c>
      <c r="T54" s="663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71" t="s">
        <v>925</v>
      </c>
      <c r="C62" s="1171"/>
      <c r="D62" s="1171" t="s">
        <v>888</v>
      </c>
      <c r="E62" s="1171" t="s">
        <v>49</v>
      </c>
      <c r="F62" s="1171" t="s">
        <v>891</v>
      </c>
      <c r="G62" s="1171" t="s">
        <v>47</v>
      </c>
      <c r="H62" s="1171" t="s">
        <v>41</v>
      </c>
      <c r="I62" s="1171" t="s">
        <v>40</v>
      </c>
      <c r="J62" s="1171" t="s">
        <v>112</v>
      </c>
      <c r="K62" s="1171" t="s">
        <v>926</v>
      </c>
      <c r="L62" s="1171" t="s">
        <v>927</v>
      </c>
      <c r="M62" s="1171" t="s">
        <v>928</v>
      </c>
      <c r="N62" s="1171" t="s">
        <v>929</v>
      </c>
      <c r="O62" s="1171" t="s">
        <v>930</v>
      </c>
      <c r="P62" s="1171" t="s">
        <v>931</v>
      </c>
      <c r="Q62" s="1171" t="s">
        <v>932</v>
      </c>
      <c r="R62" s="1171" t="s">
        <v>933</v>
      </c>
      <c r="S62" s="1171" t="s">
        <v>2029</v>
      </c>
      <c r="T62" s="1171" t="s">
        <v>1053</v>
      </c>
      <c r="U62" s="1171" t="s">
        <v>2084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94316.957572604108</v>
      </c>
      <c r="G63" s="103">
        <f t="shared" ca="1" si="4"/>
        <v>140915.12414965892</v>
      </c>
      <c r="H63" s="103">
        <f t="shared" ca="1" si="4"/>
        <v>814270.66658717813</v>
      </c>
      <c r="I63" s="103">
        <f t="shared" ca="1" si="4"/>
        <v>4364.817172988699</v>
      </c>
      <c r="J63" s="103">
        <f t="shared" ca="1" si="4"/>
        <v>0</v>
      </c>
      <c r="K63" s="103">
        <f t="shared" ca="1" si="4"/>
        <v>0</v>
      </c>
      <c r="L63" s="103">
        <f t="shared" ca="1" si="4"/>
        <v>471.70000000000005</v>
      </c>
      <c r="M63" s="103">
        <f t="shared" ca="1" si="4"/>
        <v>0</v>
      </c>
      <c r="N63" s="103">
        <f t="shared" ca="1" si="4"/>
        <v>805.95038460000058</v>
      </c>
      <c r="O63" s="103">
        <f t="shared" ca="1" si="4"/>
        <v>31608.817790399989</v>
      </c>
      <c r="P63" s="103">
        <f t="shared" ca="1" si="4"/>
        <v>14651.279849999997</v>
      </c>
      <c r="Q63" s="103">
        <f t="shared" ca="1" si="4"/>
        <v>4003.68228</v>
      </c>
      <c r="R63" s="103">
        <f t="shared" ca="1" si="4"/>
        <v>990991.70059974049</v>
      </c>
      <c r="S63" s="103">
        <f ca="1">DSUM(MercadoBase,S$62,INDIRECT("P"&amp;5+2*(ROW()-65)&amp;":P"&amp;6+2*(ROW()-65)))</f>
        <v>155278.58257319746</v>
      </c>
      <c r="T63" s="103">
        <f t="shared" ca="1" si="4"/>
        <v>-214247.05869304153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95684.366362715795</v>
      </c>
      <c r="G64" s="103">
        <f t="shared" ca="1" si="4"/>
        <v>142981.73156506478</v>
      </c>
      <c r="H64" s="103">
        <f t="shared" ca="1" si="4"/>
        <v>825702.24591024837</v>
      </c>
      <c r="I64" s="103">
        <f t="shared" ca="1" si="4"/>
        <v>4419.1940264822024</v>
      </c>
      <c r="J64" s="103">
        <f t="shared" ca="1" si="4"/>
        <v>0</v>
      </c>
      <c r="K64" s="103">
        <f t="shared" ca="1" si="4"/>
        <v>0</v>
      </c>
      <c r="L64" s="103">
        <f t="shared" ca="1" si="4"/>
        <v>471.70000000000005</v>
      </c>
      <c r="M64" s="103">
        <f t="shared" ca="1" si="4"/>
        <v>0</v>
      </c>
      <c r="N64" s="103">
        <f t="shared" ca="1" si="4"/>
        <v>826.03829039999869</v>
      </c>
      <c r="O64" s="103">
        <f t="shared" ca="1" si="4"/>
        <v>32966.745619999987</v>
      </c>
      <c r="P64" s="103">
        <f t="shared" ca="1" si="4"/>
        <v>13722.945017999999</v>
      </c>
      <c r="Q64" s="103">
        <f t="shared" ca="1" si="4"/>
        <v>4010.47874</v>
      </c>
      <c r="R64" s="103">
        <f t="shared" ca="1" si="4"/>
        <v>991912.77958354016</v>
      </c>
      <c r="S64" s="103">
        <f t="shared" ca="1" si="4"/>
        <v>157458.54496985258</v>
      </c>
      <c r="T64" s="103">
        <f t="shared" ca="1" si="4"/>
        <v>-214446.19099958224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98349.508817345952</v>
      </c>
      <c r="G65" s="103">
        <f t="shared" ca="1" si="4"/>
        <v>146926.94467040981</v>
      </c>
      <c r="H65" s="103">
        <f t="shared" ca="1" si="4"/>
        <v>850666.38820721197</v>
      </c>
      <c r="I65" s="103">
        <f t="shared" ca="1" si="4"/>
        <v>4579.2252193705963</v>
      </c>
      <c r="J65" s="103">
        <f t="shared" ca="1" si="4"/>
        <v>0</v>
      </c>
      <c r="K65" s="103">
        <f t="shared" ca="1" si="4"/>
        <v>0</v>
      </c>
      <c r="L65" s="103">
        <f t="shared" ca="1" si="4"/>
        <v>471.70000000000005</v>
      </c>
      <c r="M65" s="103">
        <f t="shared" ca="1" si="4"/>
        <v>0</v>
      </c>
      <c r="N65" s="103">
        <f t="shared" ca="1" si="4"/>
        <v>1030.089123</v>
      </c>
      <c r="O65" s="103">
        <f t="shared" ca="1" si="4"/>
        <v>38775.641834399998</v>
      </c>
      <c r="P65" s="103">
        <f t="shared" ca="1" si="4"/>
        <v>16147.609019999996</v>
      </c>
      <c r="Q65" s="103">
        <f t="shared" ca="1" si="4"/>
        <v>4182.70532</v>
      </c>
      <c r="R65" s="103">
        <f t="shared" ca="1" si="4"/>
        <v>1028559.7650840281</v>
      </c>
      <c r="S65" s="103">
        <f t="shared" ca="1" si="4"/>
        <v>162219.1200342536</v>
      </c>
      <c r="T65" s="103">
        <f t="shared" ca="1" si="4"/>
        <v>-222369.07153298569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88026.547412415093</v>
      </c>
      <c r="G66" s="103">
        <f t="shared" ca="1" si="4"/>
        <v>131409.72953879624</v>
      </c>
      <c r="H66" s="103">
        <f t="shared" ca="1" si="4"/>
        <v>764834.94272508554</v>
      </c>
      <c r="I66" s="103">
        <f t="shared" ca="1" si="4"/>
        <v>4167.4473723168685</v>
      </c>
      <c r="J66" s="103">
        <f t="shared" ca="1" si="4"/>
        <v>0</v>
      </c>
      <c r="K66" s="103">
        <f t="shared" ca="1" si="4"/>
        <v>0</v>
      </c>
      <c r="L66" s="103">
        <f t="shared" ca="1" si="4"/>
        <v>471.70000000000005</v>
      </c>
      <c r="M66" s="103">
        <f t="shared" ca="1" si="4"/>
        <v>0</v>
      </c>
      <c r="N66" s="103">
        <f t="shared" ca="1" si="4"/>
        <v>1045.4808353999997</v>
      </c>
      <c r="O66" s="103">
        <f t="shared" ca="1" si="4"/>
        <v>41504.628781599997</v>
      </c>
      <c r="P66" s="103">
        <f t="shared" ca="1" si="4"/>
        <v>17654.028786000006</v>
      </c>
      <c r="Q66" s="103">
        <f t="shared" ca="1" si="4"/>
        <v>4250.3044399999999</v>
      </c>
      <c r="R66" s="103">
        <f t="shared" ca="1" si="4"/>
        <v>1037349.6599564451</v>
      </c>
      <c r="S66" s="103">
        <f t="shared" ca="1" si="4"/>
        <v>145851.36206191569</v>
      </c>
      <c r="T66" s="103">
        <f t="shared" ca="1" si="4"/>
        <v>-224269.39937780699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93581.977966768973</v>
      </c>
      <c r="G67" s="103">
        <f t="shared" ca="1" si="4"/>
        <v>139645.94143233178</v>
      </c>
      <c r="H67" s="103">
        <f t="shared" ca="1" si="4"/>
        <v>811917.88433044194</v>
      </c>
      <c r="I67" s="103">
        <f t="shared" ca="1" si="4"/>
        <v>4416.4693475128151</v>
      </c>
      <c r="J67" s="103">
        <f t="shared" ca="1" si="4"/>
        <v>0</v>
      </c>
      <c r="K67" s="103">
        <f t="shared" ca="1" si="4"/>
        <v>0</v>
      </c>
      <c r="L67" s="103">
        <f t="shared" ca="1" si="4"/>
        <v>471.70000000000005</v>
      </c>
      <c r="M67" s="103">
        <f t="shared" ca="1" si="4"/>
        <v>0</v>
      </c>
      <c r="N67" s="103">
        <f t="shared" ca="1" si="4"/>
        <v>1027.8516696000002</v>
      </c>
      <c r="O67" s="103">
        <f t="shared" ca="1" si="4"/>
        <v>43187.657807599986</v>
      </c>
      <c r="P67" s="103">
        <f t="shared" ca="1" si="4"/>
        <v>19928.661558000003</v>
      </c>
      <c r="Q67" s="103">
        <f t="shared" ca="1" si="4"/>
        <v>4526.9246999999996</v>
      </c>
      <c r="R67" s="103">
        <f t="shared" ca="1" si="4"/>
        <v>1060538.0789512051</v>
      </c>
      <c r="S67" s="103">
        <f t="shared" ca="1" si="4"/>
        <v>154829.91518418223</v>
      </c>
      <c r="T67" s="103">
        <f t="shared" ca="1" si="4"/>
        <v>-229282.61044946648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93407.8051176429</v>
      </c>
      <c r="G68" s="103">
        <f t="shared" ca="1" si="4"/>
        <v>139246.35550234022</v>
      </c>
      <c r="H68" s="103">
        <f t="shared" ca="1" si="4"/>
        <v>808624.93665780721</v>
      </c>
      <c r="I68" s="103">
        <f t="shared" ca="1" si="4"/>
        <v>4393.5046213384067</v>
      </c>
      <c r="J68" s="103">
        <f t="shared" ca="1" si="4"/>
        <v>0</v>
      </c>
      <c r="K68" s="103">
        <f t="shared" ca="1" si="4"/>
        <v>0</v>
      </c>
      <c r="L68" s="103">
        <f t="shared" ca="1" si="4"/>
        <v>471.70000000000005</v>
      </c>
      <c r="M68" s="103">
        <f t="shared" ca="1" si="4"/>
        <v>0</v>
      </c>
      <c r="N68" s="103">
        <f t="shared" ca="1" si="4"/>
        <v>1290.7647377999992</v>
      </c>
      <c r="O68" s="103">
        <f t="shared" ca="1" si="4"/>
        <v>36999.309957599988</v>
      </c>
      <c r="P68" s="103">
        <f t="shared" ca="1" si="4"/>
        <v>20568.883319999994</v>
      </c>
      <c r="Q68" s="103">
        <f t="shared" ca="1" si="4"/>
        <v>5547.8805999999995</v>
      </c>
      <c r="R68" s="103">
        <f t="shared" ca="1" si="4"/>
        <v>1053653.9632480955</v>
      </c>
      <c r="S68" s="103">
        <f t="shared" ca="1" si="4"/>
        <v>154201.96152199575</v>
      </c>
      <c r="T68" s="103">
        <f t="shared" ca="1" si="4"/>
        <v>-227794.30177826242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101605.50091375769</v>
      </c>
      <c r="G69" s="103">
        <f t="shared" ca="1" si="4"/>
        <v>151426.29461901271</v>
      </c>
      <c r="H69" s="103">
        <f t="shared" ca="1" si="4"/>
        <v>878086.70441590599</v>
      </c>
      <c r="I69" s="103">
        <f t="shared" ca="1" si="4"/>
        <v>4757.848417003016</v>
      </c>
      <c r="J69" s="103">
        <f t="shared" ca="1" si="4"/>
        <v>0</v>
      </c>
      <c r="K69" s="103">
        <f t="shared" ca="1" si="4"/>
        <v>0</v>
      </c>
      <c r="L69" s="103">
        <f t="shared" ca="1" si="4"/>
        <v>471.70000000000005</v>
      </c>
      <c r="M69" s="103">
        <f t="shared" ca="1" si="4"/>
        <v>0</v>
      </c>
      <c r="N69" s="103">
        <f t="shared" ca="1" si="4"/>
        <v>1280.4626172000021</v>
      </c>
      <c r="O69" s="103">
        <f t="shared" ca="1" si="4"/>
        <v>37556.862302799993</v>
      </c>
      <c r="P69" s="103">
        <f t="shared" ca="1" si="4"/>
        <v>22896.624491999995</v>
      </c>
      <c r="Q69" s="103">
        <f t="shared" ca="1" si="4"/>
        <v>6190.9255600000006</v>
      </c>
      <c r="R69" s="103">
        <f t="shared" ca="1" si="4"/>
        <v>1062782.6862162135</v>
      </c>
      <c r="S69" s="103">
        <f t="shared" ca="1" si="4"/>
        <v>167448.07891648915</v>
      </c>
      <c r="T69" s="103">
        <f t="shared" ca="1" si="4"/>
        <v>-229767.88242919935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90896.029061311376</v>
      </c>
      <c r="G70" s="103">
        <f t="shared" ca="1" si="4"/>
        <v>135386.73603630086</v>
      </c>
      <c r="H70" s="103">
        <f t="shared" ca="1" si="4"/>
        <v>784155.12770069379</v>
      </c>
      <c r="I70" s="103">
        <f t="shared" ca="1" si="4"/>
        <v>4242.2201282894184</v>
      </c>
      <c r="J70" s="103">
        <f t="shared" ca="1" si="4"/>
        <v>0</v>
      </c>
      <c r="K70" s="103">
        <f t="shared" ca="1" si="4"/>
        <v>0</v>
      </c>
      <c r="L70" s="103">
        <f t="shared" ca="1" si="4"/>
        <v>471.70000000000005</v>
      </c>
      <c r="M70" s="103">
        <f t="shared" ca="1" si="4"/>
        <v>0</v>
      </c>
      <c r="N70" s="103">
        <f t="shared" ca="1" si="4"/>
        <v>988.83146579999834</v>
      </c>
      <c r="O70" s="103">
        <f t="shared" ca="1" si="4"/>
        <v>31382.789369999995</v>
      </c>
      <c r="P70" s="103">
        <f t="shared" ca="1" si="4"/>
        <v>22170.367122000003</v>
      </c>
      <c r="Q70" s="103">
        <f t="shared" ca="1" si="4"/>
        <v>6769.5834400000003</v>
      </c>
      <c r="R70" s="103">
        <f t="shared" ca="1" si="4"/>
        <v>1006924.3790879814</v>
      </c>
      <c r="S70" s="103">
        <f t="shared" ca="1" si="4"/>
        <v>149535.65410529519</v>
      </c>
      <c r="T70" s="103">
        <f t="shared" ca="1" si="4"/>
        <v>-217691.61781613185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93657.811442650418</v>
      </c>
      <c r="G71" s="103">
        <f t="shared" ca="1" si="4"/>
        <v>139498.59510804157</v>
      </c>
      <c r="H71" s="103">
        <f t="shared" ca="1" si="4"/>
        <v>805859.4257192614</v>
      </c>
      <c r="I71" s="103">
        <f t="shared" ca="1" si="4"/>
        <v>4335.544207216275</v>
      </c>
      <c r="J71" s="103">
        <f t="shared" ca="1" si="4"/>
        <v>0</v>
      </c>
      <c r="K71" s="103">
        <f t="shared" ca="1" si="4"/>
        <v>0</v>
      </c>
      <c r="L71" s="103">
        <f t="shared" ca="1" si="4"/>
        <v>471.70000000000005</v>
      </c>
      <c r="M71" s="103">
        <f t="shared" ca="1" si="4"/>
        <v>0</v>
      </c>
      <c r="N71" s="103">
        <f t="shared" ca="1" si="4"/>
        <v>952.41752639999959</v>
      </c>
      <c r="O71" s="103">
        <f t="shared" ca="1" si="4"/>
        <v>29221.003544799991</v>
      </c>
      <c r="P71" s="103">
        <f t="shared" ca="1" si="4"/>
        <v>14982.941807999998</v>
      </c>
      <c r="Q71" s="103">
        <f t="shared" ca="1" si="4"/>
        <v>6953.9135000000006</v>
      </c>
      <c r="R71" s="103">
        <f t="shared" ca="1" si="4"/>
        <v>1000323.3865445448</v>
      </c>
      <c r="S71" s="103">
        <f t="shared" ca="1" si="4"/>
        <v>153674.58820959594</v>
      </c>
      <c r="T71" s="103">
        <f t="shared" ca="1" si="4"/>
        <v>-216264.51884443505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94097.566226668874</v>
      </c>
      <c r="G72" s="103">
        <f t="shared" ca="1" si="4"/>
        <v>140066.95089519734</v>
      </c>
      <c r="H72" s="103">
        <f t="shared" ca="1" si="4"/>
        <v>810538.2155085858</v>
      </c>
      <c r="I72" s="103">
        <f t="shared" ca="1" si="4"/>
        <v>4380.3212549182899</v>
      </c>
      <c r="J72" s="103">
        <f t="shared" ca="1" si="4"/>
        <v>0</v>
      </c>
      <c r="K72" s="103">
        <f t="shared" ca="1" si="4"/>
        <v>0</v>
      </c>
      <c r="L72" s="103">
        <f t="shared" ca="1" si="4"/>
        <v>471.70000000000005</v>
      </c>
      <c r="M72" s="103">
        <f t="shared" ca="1" si="4"/>
        <v>0</v>
      </c>
      <c r="N72" s="103">
        <f t="shared" ca="1" si="4"/>
        <v>909.43875120000018</v>
      </c>
      <c r="O72" s="103">
        <f t="shared" ca="1" si="4"/>
        <v>29520.742250399995</v>
      </c>
      <c r="P72" s="103">
        <f t="shared" ca="1" si="4"/>
        <v>15572.179505999999</v>
      </c>
      <c r="Q72" s="103">
        <f t="shared" ca="1" si="4"/>
        <v>7059.5583600000009</v>
      </c>
      <c r="R72" s="103">
        <f t="shared" ca="1" si="4"/>
        <v>1001902.9996628205</v>
      </c>
      <c r="S72" s="103">
        <f t="shared" ca="1" si="4"/>
        <v>154566.81714090367</v>
      </c>
      <c r="T72" s="103">
        <f t="shared" ca="1" si="4"/>
        <v>-216606.02267767471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95714.709480225152</v>
      </c>
      <c r="G73" s="103">
        <f t="shared" ca="1" si="4"/>
        <v>142595.2460775167</v>
      </c>
      <c r="H73" s="103">
        <f t="shared" ca="1" si="4"/>
        <v>823425.86293808219</v>
      </c>
      <c r="I73" s="103">
        <f t="shared" ca="1" si="4"/>
        <v>4424.8688259518212</v>
      </c>
      <c r="J73" s="103">
        <f t="shared" ca="1" si="4"/>
        <v>0</v>
      </c>
      <c r="K73" s="103">
        <f t="shared" ca="1" si="4"/>
        <v>0</v>
      </c>
      <c r="L73" s="103">
        <f t="shared" ca="1" si="4"/>
        <v>471.70000000000005</v>
      </c>
      <c r="M73" s="103">
        <f t="shared" ca="1" si="4"/>
        <v>0</v>
      </c>
      <c r="N73" s="103">
        <f t="shared" ca="1" si="4"/>
        <v>787.78029599999991</v>
      </c>
      <c r="O73" s="103">
        <f t="shared" ca="1" si="4"/>
        <v>28961.520825199987</v>
      </c>
      <c r="P73" s="103">
        <f t="shared" ca="1" si="4"/>
        <v>10970.336646</v>
      </c>
      <c r="Q73" s="103">
        <f t="shared" ca="1" si="4"/>
        <v>6927.4284600000001</v>
      </c>
      <c r="R73" s="103">
        <f t="shared" ca="1" si="4"/>
        <v>994109.33908756042</v>
      </c>
      <c r="S73" s="103">
        <f t="shared" ca="1" si="4"/>
        <v>157024.44665854637</v>
      </c>
      <c r="T73" s="103">
        <f t="shared" ca="1" si="4"/>
        <v>-214921.07531263537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98418.523618638472</v>
      </c>
      <c r="G74" s="103">
        <f t="shared" ca="1" si="4"/>
        <v>146604.93310289358</v>
      </c>
      <c r="H74" s="103">
        <f t="shared" ca="1" si="4"/>
        <v>846610.7741220243</v>
      </c>
      <c r="I74" s="103">
        <f t="shared" ca="1" si="4"/>
        <v>4550.4733781291661</v>
      </c>
      <c r="J74" s="103">
        <f t="shared" ca="1" si="4"/>
        <v>0</v>
      </c>
      <c r="K74" s="103">
        <f t="shared" ca="1" si="4"/>
        <v>0</v>
      </c>
      <c r="L74" s="103">
        <f t="shared" ca="1" si="4"/>
        <v>471.70000000000005</v>
      </c>
      <c r="M74" s="103">
        <f t="shared" ca="1" si="4"/>
        <v>0</v>
      </c>
      <c r="N74" s="103">
        <f t="shared" ca="1" si="4"/>
        <v>881.11406639999984</v>
      </c>
      <c r="O74" s="103">
        <f t="shared" ca="1" si="4"/>
        <v>29264.674967199986</v>
      </c>
      <c r="P74" s="103">
        <f t="shared" ca="1" si="4"/>
        <v>11959.480595999998</v>
      </c>
      <c r="Q74" s="103">
        <f t="shared" ca="1" si="4"/>
        <v>7147.1600400000007</v>
      </c>
      <c r="R74" s="103">
        <f t="shared" ca="1" si="4"/>
        <v>1021513.4294948725</v>
      </c>
      <c r="S74" s="103">
        <f t="shared" ca="1" si="4"/>
        <v>161445.72854116291</v>
      </c>
      <c r="T74" s="103">
        <f t="shared" ca="1" si="4"/>
        <v>-220845.69179768933</v>
      </c>
      <c r="U74" s="103">
        <f t="shared" ca="1" si="4"/>
        <v>0</v>
      </c>
    </row>
    <row r="75" spans="2:21" ht="14.25">
      <c r="B75" s="1172" t="s">
        <v>934</v>
      </c>
      <c r="C75" s="1173"/>
      <c r="D75" s="1173">
        <f t="shared" ref="D75:Q75" ca="1" si="5">SUM(D63:D74)</f>
        <v>0</v>
      </c>
      <c r="E75" s="1173">
        <f t="shared" ca="1" si="5"/>
        <v>0</v>
      </c>
      <c r="F75" s="1173">
        <f t="shared" ca="1" si="5"/>
        <v>1137757.3039927448</v>
      </c>
      <c r="G75" s="1173">
        <f t="shared" ca="1" si="5"/>
        <v>1696704.5826975643</v>
      </c>
      <c r="H75" s="1173">
        <f t="shared" ca="1" si="5"/>
        <v>9824693.1748225261</v>
      </c>
      <c r="I75" s="1173">
        <f t="shared" ca="1" si="5"/>
        <v>53031.933971517581</v>
      </c>
      <c r="J75" s="1173">
        <f t="shared" ca="1" si="5"/>
        <v>0</v>
      </c>
      <c r="K75" s="1173">
        <f t="shared" ca="1" si="5"/>
        <v>0</v>
      </c>
      <c r="L75" s="1173">
        <f t="shared" ca="1" si="5"/>
        <v>5660.3999999999987</v>
      </c>
      <c r="M75" s="1173">
        <f t="shared" ca="1" si="5"/>
        <v>0</v>
      </c>
      <c r="N75" s="1173">
        <f t="shared" ca="1" si="5"/>
        <v>11826.219763799998</v>
      </c>
      <c r="O75" s="1173">
        <f t="shared" ca="1" si="5"/>
        <v>410950.39505199989</v>
      </c>
      <c r="P75" s="1173">
        <f t="shared" ca="1" si="5"/>
        <v>201225.337722</v>
      </c>
      <c r="Q75" s="1173">
        <f t="shared" ca="1" si="5"/>
        <v>67570.545440000002</v>
      </c>
      <c r="R75" s="1173">
        <f t="shared" ref="R75:S75" ca="1" si="6">SUM(R63:R74)</f>
        <v>12250562.167517049</v>
      </c>
      <c r="S75" s="1173">
        <f t="shared" ca="1" si="6"/>
        <v>1873534.7999173906</v>
      </c>
      <c r="T75" s="1173">
        <f t="shared" ref="T75:U75" ca="1" si="7">SUM(T63:T74)</f>
        <v>-2648505.4417089112</v>
      </c>
      <c r="U75" s="1173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74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5" t="s">
        <v>937</v>
      </c>
      <c r="C79" s="1176">
        <f t="shared" ref="C79:C84" ca="1" si="8">SUM(INDIRECT("dados_MercadoBase["&amp;B79&amp;"]"))</f>
        <v>30175615.777910002</v>
      </c>
      <c r="J79" s="94" t="s">
        <v>938</v>
      </c>
      <c r="K79" s="1177"/>
      <c r="L79" s="1177"/>
      <c r="M79" s="1177">
        <f>SUMIFS(M63:M74,$B$63:$B$74,42826)</f>
        <v>0</v>
      </c>
      <c r="N79" s="1177">
        <f>SUMIFS(N63:N74,$B$63:$B$74,42826)</f>
        <v>0</v>
      </c>
      <c r="O79" s="1177">
        <f>SUMIFS(O63:O74,$B$63:$B$74,42826)</f>
        <v>0</v>
      </c>
      <c r="P79" s="1177">
        <f>SUMIFS(P63:P74,$B$63:$B$74,42826)</f>
        <v>0</v>
      </c>
      <c r="Q79" s="1177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1485112.3040828207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8"/>
      <c r="C85" s="1179"/>
    </row>
    <row r="86" spans="2:13" ht="14.25"/>
    <row r="87" spans="2:13" ht="14.25">
      <c r="B87" s="1175" t="s">
        <v>943</v>
      </c>
      <c r="C87" s="1176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9750457.8471730743</v>
      </c>
      <c r="E96" s="105"/>
      <c r="G96" s="105"/>
    </row>
    <row r="97" spans="1:7" ht="14.25">
      <c r="B97" s="1178" t="s">
        <v>953</v>
      </c>
      <c r="C97" s="1179">
        <f t="shared" ca="1" si="9"/>
        <v>12250562.167517068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7" t="s">
        <v>955</v>
      </c>
      <c r="C101" s="1168" t="s">
        <v>874</v>
      </c>
      <c r="D101" s="230"/>
    </row>
    <row r="102" spans="1:7" ht="12.75" customHeight="1">
      <c r="A102" s="230"/>
      <c r="B102" s="1169" t="s">
        <v>956</v>
      </c>
      <c r="C102" s="1180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9" t="s">
        <v>778</v>
      </c>
      <c r="C111" s="1139" t="s">
        <v>108</v>
      </c>
      <c r="D111" s="1139" t="s">
        <v>884</v>
      </c>
    </row>
    <row r="112" spans="1:7" ht="12.75" customHeight="1">
      <c r="B112" s="1141" t="s">
        <v>909</v>
      </c>
      <c r="C112" s="1142"/>
      <c r="D112" s="1143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4" t="s">
        <v>769</v>
      </c>
      <c r="C120" s="1165">
        <f ca="1">SUM(C114:C119)</f>
        <v>0</v>
      </c>
      <c r="D120" s="1166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D9" zoomScale="95" zoomScaleNormal="95" workbookViewId="0">
      <selection activeCell="I37" sqref="I37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4" t="s">
        <v>1080</v>
      </c>
      <c r="C1" s="1023"/>
      <c r="D1" s="935"/>
      <c r="E1" s="935"/>
      <c r="F1" s="1133" t="s">
        <v>873</v>
      </c>
      <c r="G1" s="1134">
        <f ca="1">LnkTXTIRTEco</f>
        <v>0.15570000000000001</v>
      </c>
    </row>
    <row r="2" spans="2:19" ht="23.25" customHeight="1">
      <c r="B2" s="136" t="str">
        <f>CAPA!C9</f>
        <v>Cegero</v>
      </c>
      <c r="C2" s="70"/>
      <c r="D2" s="70"/>
      <c r="E2" s="70"/>
      <c r="F2" s="120" t="s">
        <v>877</v>
      </c>
      <c r="G2" s="121">
        <f ca="1">LnkTXTIRTTotal</f>
        <v>0.16300000000000001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81" t="s">
        <v>778</v>
      </c>
      <c r="C4" s="1181" t="s">
        <v>695</v>
      </c>
      <c r="D4" s="1181" t="s">
        <v>696</v>
      </c>
      <c r="G4" s="68"/>
      <c r="H4" s="124"/>
      <c r="K4" s="1181" t="s">
        <v>895</v>
      </c>
      <c r="L4" s="1181" t="s">
        <v>695</v>
      </c>
      <c r="M4" s="1181" t="s">
        <v>898</v>
      </c>
      <c r="P4" s="68" t="s">
        <v>1083</v>
      </c>
    </row>
    <row r="5" spans="2:19">
      <c r="B5" s="1182" t="s">
        <v>1084</v>
      </c>
      <c r="C5" s="1183">
        <f ca="1">C6+C9</f>
        <v>198670.25725438847</v>
      </c>
      <c r="D5" s="1183">
        <f ca="1">SUM(D6,D9)</f>
        <v>197311.52174999996</v>
      </c>
      <c r="G5" s="68"/>
      <c r="K5" s="68" t="s">
        <v>781</v>
      </c>
      <c r="L5" s="92">
        <f ca="1">M5</f>
        <v>183015.82199999996</v>
      </c>
      <c r="M5" s="139">
        <f ca="1">FornecimentoE</f>
        <v>183015.82199999996</v>
      </c>
      <c r="P5" s="68" t="s">
        <v>1085</v>
      </c>
    </row>
    <row r="6" spans="2:19">
      <c r="B6" s="1184" t="s">
        <v>1086</v>
      </c>
      <c r="C6" s="1185">
        <f ca="1">LnkTXTEV</f>
        <v>183015.82199999996</v>
      </c>
      <c r="D6" s="1185">
        <f ca="1">SUM(D7:D8)</f>
        <v>183015.82199999996</v>
      </c>
      <c r="F6" s="1455">
        <f ca="1">C24/LnkTXTEV-1</f>
        <v>7.811182439734643E-2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183015.82199999996</v>
      </c>
      <c r="D7" s="144">
        <f ca="1">M5</f>
        <v>183015.82199999996</v>
      </c>
      <c r="G7" s="68"/>
      <c r="K7" s="68" t="s">
        <v>1088</v>
      </c>
      <c r="L7" s="92">
        <f t="shared" ca="1" si="0"/>
        <v>0</v>
      </c>
      <c r="M7" s="139">
        <f ca="1">LivreE</f>
        <v>0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84" t="s">
        <v>1091</v>
      </c>
      <c r="C9" s="1185">
        <f ca="1">SUM(C10:C13)</f>
        <v>15654.435254388527</v>
      </c>
      <c r="D9" s="1185">
        <f ca="1">SUM(D10:D13)</f>
        <v>14295.699750000013</v>
      </c>
      <c r="G9" s="68"/>
      <c r="K9" s="787" t="s">
        <v>1092</v>
      </c>
      <c r="L9" s="1560">
        <f t="shared" ca="1" si="0"/>
        <v>36892.089</v>
      </c>
      <c r="M9" s="1186">
        <f ca="1">FornecimentoE_BT</f>
        <v>36892.089</v>
      </c>
      <c r="P9" s="68" t="s">
        <v>1093</v>
      </c>
    </row>
    <row r="10" spans="2:19">
      <c r="B10" s="1193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9052.280942448966</v>
      </c>
      <c r="D11" s="144">
        <f ca="1">N17</f>
        <v>7957.6449000000139</v>
      </c>
      <c r="G11" s="68"/>
      <c r="K11" s="71" t="s">
        <v>1095</v>
      </c>
      <c r="L11" s="71"/>
      <c r="M11" s="125"/>
      <c r="P11" s="68" t="s">
        <v>1096</v>
      </c>
      <c r="Q11" s="492">
        <f ca="1">M20/(D6+M20)</f>
        <v>4.1668850805158711E-2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264.0994619395625</v>
      </c>
      <c r="D12" s="144">
        <f ca="1">N18</f>
        <v>264.0994619395625</v>
      </c>
      <c r="E12" s="72"/>
      <c r="G12" s="72"/>
      <c r="K12" s="145" t="s">
        <v>778</v>
      </c>
      <c r="L12" s="145" t="s">
        <v>695</v>
      </c>
      <c r="M12" s="1187" t="s">
        <v>1098</v>
      </c>
      <c r="N12" s="1188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6338.0548499999986</v>
      </c>
      <c r="D13" s="144">
        <f ca="1">N19</f>
        <v>6073.9553880604362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2">
        <f ca="1">IF(Q11&lt;Q12,Q11,(IF(Q11=0,0,Q11*0.75+Q12*0.25)))</f>
        <v>4.1668850805158711E-2</v>
      </c>
      <c r="R13" s="69">
        <f ca="1">($M$5+$M$6-$M$8)*Q13/(1-Q13)</f>
        <v>7957.6449000000139</v>
      </c>
    </row>
    <row r="14" spans="2:19">
      <c r="B14" s="1189" t="s">
        <v>1100</v>
      </c>
      <c r="C14" s="1190">
        <f>VLOOKUP("custo Médio",DRA_CM_Perdas[#All],3,FALSE)</f>
        <v>164.87852382432999</v>
      </c>
      <c r="D14" s="1190">
        <f ca="1">IFERROR(E24,0)</f>
        <v>172.60439033144232</v>
      </c>
      <c r="E14" s="127"/>
      <c r="F14" s="127"/>
      <c r="G14" s="127"/>
      <c r="K14" s="68" t="s">
        <v>1104</v>
      </c>
      <c r="L14" s="393">
        <f>VLOOKUP("PERDAS TÉCNICAS",DRA_CM_Perdas[#All],3,FALSE)</f>
        <v>4.7130579225647798E-2</v>
      </c>
      <c r="M14" s="393">
        <f>IF(CAPA!H29=0,CAPA!K34,CAPA!H29)</f>
        <v>4.4400000000000002E-2</v>
      </c>
      <c r="N14" s="393">
        <f ca="1">IFERROR(N17/((M5+M6-M8+N16)+N17),0)</f>
        <v>4.1668850805158711E-2</v>
      </c>
      <c r="P14" s="68" t="s">
        <v>1105</v>
      </c>
      <c r="Q14" s="492">
        <f ca="1">(M17+M16)/(M16+M17+M5+M6)</f>
        <v>4.4400000000000009E-2</v>
      </c>
      <c r="R14" s="69">
        <f ca="1">IF(CAPA!H33="",(M5+M6-M8)/(1-M14)*M14,CAPA!H33)+IF(CAPA!H34="",M13*M9,CAPA!H34)</f>
        <v>8503.4559405609034</v>
      </c>
    </row>
    <row r="15" spans="2:19">
      <c r="B15" s="1191" t="s">
        <v>1103</v>
      </c>
      <c r="C15" s="1192">
        <f ca="1">C14*C5</f>
        <v>32756458.743903458</v>
      </c>
      <c r="D15" s="1192">
        <f ca="1">D14*D5</f>
        <v>34056834.917027861</v>
      </c>
      <c r="E15" s="79">
        <v>34057219.529595152</v>
      </c>
      <c r="F15" s="72"/>
      <c r="G15" s="126"/>
      <c r="K15" s="787" t="s">
        <v>1106</v>
      </c>
      <c r="L15" s="1743">
        <f>VLOOKUP("PERDAS NA RB (sobre as perdas na D)",DRA_CM_Perdas[#All],3,FALSE)</f>
        <v>0</v>
      </c>
      <c r="M15" s="1456">
        <f>IF(CAPA!H31=0,0,CAPA!H31)</f>
        <v>0</v>
      </c>
      <c r="N15" s="1561">
        <f ca="1">IFERROR(M22/(M5+M6+M23+N17+N16),0)</f>
        <v>3.3188143635255962E-2</v>
      </c>
      <c r="P15" s="68" t="s">
        <v>1107</v>
      </c>
      <c r="Q15" s="79">
        <f ca="1">IF(Q14&lt;Q13,Q14,Q13)</f>
        <v>4.1668850805158711E-2</v>
      </c>
      <c r="R15" s="69">
        <f ca="1">IF(R14&lt;R13,R14,R13)</f>
        <v>7957.6449000000139</v>
      </c>
      <c r="S15" s="79">
        <f ca="1">R15/(M5+R15)</f>
        <v>4.1668850805158711E-2</v>
      </c>
    </row>
    <row r="16" spans="2:19">
      <c r="K16" s="1193" t="s">
        <v>1109</v>
      </c>
      <c r="L16" s="1193">
        <f ca="1">L13*L9</f>
        <v>0</v>
      </c>
      <c r="M16" s="1193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4.1668850805158711E-2</v>
      </c>
      <c r="R16" s="69">
        <f ca="1">($M$5+$M$6-$M$8+R15)*Q16</f>
        <v>7957.6449000000139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9052.280942448966</v>
      </c>
      <c r="M17" s="139">
        <f ca="1">IF(CAPA!H33="",(M5+M6-M8+M16)/(1-M14)*M14,CAPA!H33)</f>
        <v>8503.4559405609034</v>
      </c>
      <c r="N17" s="465">
        <f ca="1">IF($M$21&lt;$M$20,M17,($M$20/$M$21)*M17)+M23</f>
        <v>7957.6449000000139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81" t="s">
        <v>1111</v>
      </c>
      <c r="C18" s="1181" t="s">
        <v>1112</v>
      </c>
      <c r="D18" s="1181"/>
      <c r="E18" s="1181" t="s">
        <v>1113</v>
      </c>
      <c r="F18" s="1181" t="s">
        <v>1114</v>
      </c>
      <c r="G18" s="764"/>
      <c r="H18" s="766"/>
      <c r="I18" s="132"/>
      <c r="K18" s="139" t="s">
        <v>1094</v>
      </c>
      <c r="L18" s="465">
        <f ca="1">N18</f>
        <v>264.0994619395625</v>
      </c>
      <c r="M18" s="465"/>
      <c r="N18" s="1482">
        <f ca="1">(N16+N17)*N15</f>
        <v>264.0994619395625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3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5"/>
      <c r="H19" s="766"/>
      <c r="K19" s="1186" t="s">
        <v>1097</v>
      </c>
      <c r="L19" s="1457">
        <f ca="1">N19</f>
        <v>6073.9553880604362</v>
      </c>
      <c r="M19" s="1457"/>
      <c r="N19" s="1483">
        <f ca="1">(M5+M6)*N15</f>
        <v>6073.9553880604362</v>
      </c>
      <c r="Q19" s="140"/>
    </row>
    <row r="20" spans="1:22">
      <c r="B20" s="78" t="s">
        <v>47</v>
      </c>
      <c r="C20" s="251" cm="1">
        <f t="array" ref="C20">TabEnergiaProinfa[MWh]</f>
        <v>3159.0104146825497</v>
      </c>
      <c r="D20" s="88"/>
      <c r="E20" s="88">
        <v>0</v>
      </c>
      <c r="F20" s="77">
        <v>0</v>
      </c>
      <c r="G20" s="765"/>
      <c r="H20" s="766"/>
      <c r="J20" s="132"/>
      <c r="K20" s="139" t="s">
        <v>1118</v>
      </c>
      <c r="L20" s="139"/>
      <c r="M20" s="139">
        <f>'Perdas de Energia'!I18</f>
        <v>7957.6449000000139</v>
      </c>
      <c r="N20" s="465"/>
      <c r="O20" s="140"/>
    </row>
    <row r="21" spans="1:22">
      <c r="B21" s="78" t="str">
        <f>B63</f>
        <v>Angra</v>
      </c>
      <c r="C21" s="251">
        <f ca="1">C63*N30</f>
        <v>7079.8525363058243</v>
      </c>
      <c r="D21" s="88"/>
      <c r="E21" s="88">
        <f>E63</f>
        <v>349.15</v>
      </c>
      <c r="F21" s="77">
        <f ca="1">E21*C21</f>
        <v>2471930.5130511783</v>
      </c>
      <c r="G21" s="765"/>
      <c r="H21" s="766"/>
      <c r="K21" s="1186" t="s">
        <v>1119</v>
      </c>
      <c r="L21" s="1186"/>
      <c r="M21" s="1186">
        <f ca="1">M16+M17</f>
        <v>8503.4559405609034</v>
      </c>
      <c r="N21" s="1457"/>
    </row>
    <row r="22" spans="1:22">
      <c r="B22" s="78" t="str">
        <f>B64</f>
        <v>CCGF</v>
      </c>
      <c r="C22" s="251">
        <f ca="1">(C64+C65)*N30</f>
        <v>39920.984901833675</v>
      </c>
      <c r="D22" s="88"/>
      <c r="E22" s="88">
        <f>IFERROR((F64+F65)/(C64+C65),0)</f>
        <v>149.05721397214094</v>
      </c>
      <c r="F22" s="77">
        <f ca="1">E22*C22</f>
        <v>5950510.7884912305</v>
      </c>
      <c r="G22" s="765"/>
      <c r="H22" s="766"/>
      <c r="K22" s="68" t="s">
        <v>2052</v>
      </c>
      <c r="M22" s="72">
        <f>SUMIFS(TabPerdaDIT[Valor],TabPerdaDIT[Dados de perda],"Perdas RB")</f>
        <v>6338.0548499999995</v>
      </c>
    </row>
    <row r="23" spans="1:22">
      <c r="B23" s="78" t="s">
        <v>1120</v>
      </c>
      <c r="C23" s="251">
        <f ca="1">IF(J60=0,E35,(J48+J60))*N30</f>
        <v>147151.67389717791</v>
      </c>
      <c r="D23" s="88"/>
      <c r="E23" s="88">
        <f ca="1">IF(K60=0,H35,(N48+N60)/(M48+M60))</f>
        <v>174.20388729928723</v>
      </c>
      <c r="F23" s="77">
        <f ca="1">E23*C23</f>
        <v>25634393.615485448</v>
      </c>
      <c r="G23" s="765"/>
      <c r="H23" s="766"/>
      <c r="K23" s="68" t="s">
        <v>2124</v>
      </c>
      <c r="M23" s="72">
        <f>SUMIFS(TabPerdaDIT[Valor],TabPerdaDIT[Dados de perda],"Perdas DITs")</f>
        <v>0</v>
      </c>
    </row>
    <row r="24" spans="1:22" ht="27.75" customHeight="1">
      <c r="B24" s="1194" t="s">
        <v>1121</v>
      </c>
      <c r="C24" s="1195">
        <f ca="1">SUM(C19:C23)</f>
        <v>197311.52174999996</v>
      </c>
      <c r="D24" s="1196"/>
      <c r="E24" s="1196">
        <f ca="1">IF(SUM(C19:C23)=0,0,SUM(F19:F23)/SUM(C19:C23))</f>
        <v>172.60439033144232</v>
      </c>
      <c r="F24" s="1197">
        <f ca="1">SUM(F19:F23)</f>
        <v>34056834.917027861</v>
      </c>
      <c r="G24" s="765"/>
      <c r="H24" s="810"/>
      <c r="J24" s="72"/>
      <c r="K24" s="1582"/>
      <c r="L24" s="1582"/>
      <c r="M24" s="1198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3"/>
    </row>
    <row r="26" spans="1:22">
      <c r="A26" s="74"/>
      <c r="B26" s="841" t="s">
        <v>2051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9" t="s">
        <v>27</v>
      </c>
      <c r="C27" s="1199" t="s">
        <v>875</v>
      </c>
      <c r="D27" s="1199" t="s">
        <v>1122</v>
      </c>
      <c r="E27" s="1199" t="s">
        <v>898</v>
      </c>
      <c r="F27" s="1199" t="s">
        <v>1123</v>
      </c>
      <c r="G27" s="1200" t="s">
        <v>1124</v>
      </c>
      <c r="H27" s="1200" t="s">
        <v>1125</v>
      </c>
      <c r="I27" s="1200" t="s">
        <v>1126</v>
      </c>
      <c r="K27" s="128"/>
      <c r="L27" s="1584"/>
      <c r="M27" s="100"/>
      <c r="N27" s="100"/>
    </row>
    <row r="28" spans="1:22">
      <c r="A28" s="74">
        <v>5697</v>
      </c>
      <c r="B28" s="512" t="s">
        <v>2197</v>
      </c>
      <c r="C28" s="512" t="s">
        <v>2329</v>
      </c>
      <c r="D28" s="512">
        <f>IF(B28="","",SUMIFS(Faturas!V:V,Faturas!U:U,"Consumo*",Faturas!S:S,Energia!C28,Faturas!R:R,Energia!B28))</f>
        <v>31314900</v>
      </c>
      <c r="E28" s="512">
        <f t="shared" ref="E28:E34" si="1">IF(B28="","",D28/1000)</f>
        <v>31314.9</v>
      </c>
      <c r="F28" s="600">
        <v>0</v>
      </c>
      <c r="G28" s="513">
        <f>IFERROR(VLOOKUP(CONCATENATE(A28,A78),BD!$H$43:$S$59,12,FALSE),"")</f>
        <v>284.99</v>
      </c>
      <c r="H28" s="513">
        <f t="shared" ref="H28:H34" si="2">IF(B28="","",IFERROR(G28*(1-F28),0))</f>
        <v>284.99</v>
      </c>
      <c r="I28" s="511">
        <f>SUMIFS(DescontoEnergia[Desconto],DescontoEnergia[idSupridora],Energia!A28,DescontoEnergia[Nível],Energia!C28)</f>
        <v>0.29289999999999999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201" t="s">
        <v>22</v>
      </c>
      <c r="L29" s="1202" t="s">
        <v>1128</v>
      </c>
      <c r="M29" s="1202" t="s">
        <v>1129</v>
      </c>
      <c r="N29" s="1203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181427.91250085022</v>
      </c>
      <c r="M30" s="92">
        <f ca="1">LnkTXTER-LnkTXTProinfa</f>
        <v>194152.51133531739</v>
      </c>
      <c r="N30" s="210">
        <f ca="1">M30/L30</f>
        <v>1.070135838852291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5"/>
      <c r="L31" s="797"/>
      <c r="M31" s="796"/>
      <c r="N31" s="798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793"/>
      <c r="L32" s="1793"/>
      <c r="M32" s="799"/>
      <c r="N32" s="799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800"/>
      <c r="L33" s="801"/>
      <c r="M33" s="799"/>
      <c r="N33" s="797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62" t="s">
        <v>2157</v>
      </c>
      <c r="L34" s="1563"/>
      <c r="M34" s="749"/>
      <c r="N34" s="100"/>
      <c r="O34" s="128"/>
      <c r="V34" s="140" t="e">
        <f ca="1">V32+V33</f>
        <v>#VALUE!</v>
      </c>
    </row>
    <row r="35" spans="1:22" ht="14.25" customHeight="1">
      <c r="A35" s="74"/>
      <c r="B35" s="731"/>
      <c r="C35" s="732"/>
      <c r="D35" s="733">
        <f>SUM(D28:D34)</f>
        <v>31314900</v>
      </c>
      <c r="E35" s="733">
        <f>SUM(E28:E34)</f>
        <v>31314.9</v>
      </c>
      <c r="F35" s="730"/>
      <c r="G35" s="726">
        <f>IFERROR(SUMPRODUCT(G28:G34,E28:E34)/SUM(E28:E34),0)</f>
        <v>284.98999999999995</v>
      </c>
      <c r="H35" s="727">
        <f>IFERROR(SUMPRODUCT(H28:H34,E28:E34)/SUM(E28:E34),0)</f>
        <v>284.98999999999995</v>
      </c>
      <c r="I35" s="726"/>
      <c r="K35" s="1564" t="s">
        <v>2158</v>
      </c>
      <c r="L35" s="1565">
        <f ca="1">(L16+L17+L18+L19)/LnkTXTEV</f>
        <v>8.4092924995572069E-2</v>
      </c>
      <c r="M35" s="749"/>
      <c r="N35" s="750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41" t="s">
        <v>2048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41" t="s">
        <v>2049</v>
      </c>
      <c r="C39" s="69"/>
      <c r="G39" s="135"/>
      <c r="O39" s="128"/>
    </row>
    <row r="40" spans="1:22" ht="24" customHeight="1">
      <c r="A40" s="74"/>
      <c r="B40" s="1204" t="s">
        <v>778</v>
      </c>
      <c r="C40" s="1205" t="s">
        <v>1132</v>
      </c>
      <c r="D40" s="1206"/>
      <c r="E40" s="1205" t="s">
        <v>62</v>
      </c>
      <c r="F40" s="1205" t="s">
        <v>61</v>
      </c>
      <c r="G40" s="1205" t="s">
        <v>1133</v>
      </c>
      <c r="H40" s="1205" t="s">
        <v>1134</v>
      </c>
      <c r="I40" s="1205" t="s">
        <v>1135</v>
      </c>
      <c r="J40" s="1205" t="s">
        <v>898</v>
      </c>
      <c r="K40" s="1205" t="s">
        <v>1136</v>
      </c>
      <c r="L40" s="1205" t="s">
        <v>1137</v>
      </c>
      <c r="M40" s="1205" t="s">
        <v>1138</v>
      </c>
      <c r="N40" s="1205" t="s">
        <v>1139</v>
      </c>
      <c r="O40" s="128"/>
    </row>
    <row r="41" spans="1:22" ht="24" customHeight="1">
      <c r="A41" s="74"/>
      <c r="B41" s="792"/>
      <c r="C41" s="792"/>
      <c r="D41" s="792"/>
      <c r="E41" s="1749"/>
      <c r="F41" s="1750"/>
      <c r="G41" s="1751"/>
      <c r="H41" s="1752"/>
      <c r="I41" s="1749"/>
      <c r="J41" s="1745"/>
      <c r="K41" s="1747">
        <f>H7</f>
        <v>0</v>
      </c>
      <c r="L41" s="793">
        <f>IFERROR(J41*K41,0)</f>
        <v>0</v>
      </c>
      <c r="M41" s="802">
        <f t="shared" ref="M41:M47" ca="1" si="7">IFERROR(J41*$N$30,0)</f>
        <v>0</v>
      </c>
      <c r="N41" s="793">
        <f ca="1">IFERROR(K41*M41,0)</f>
        <v>0</v>
      </c>
      <c r="O41" s="128"/>
    </row>
    <row r="42" spans="1:22" ht="24" customHeight="1">
      <c r="A42" s="74"/>
      <c r="B42" s="792"/>
      <c r="C42" s="792"/>
      <c r="D42" s="792"/>
      <c r="E42" s="1749"/>
      <c r="F42" s="1750"/>
      <c r="G42" s="1751"/>
      <c r="H42" s="1752"/>
      <c r="I42" s="1753"/>
      <c r="J42" s="1745"/>
      <c r="K42" s="1747">
        <f>H8</f>
        <v>0</v>
      </c>
      <c r="L42" s="793">
        <f>IFERROR(J42*K42,0)</f>
        <v>0</v>
      </c>
      <c r="M42" s="802">
        <f t="shared" ca="1" si="7"/>
        <v>0</v>
      </c>
      <c r="N42" s="793">
        <f ca="1">IFERROR(K42*M42,0)</f>
        <v>0</v>
      </c>
      <c r="O42" s="128"/>
    </row>
    <row r="43" spans="1:22" ht="24" customHeight="1">
      <c r="A43" s="74"/>
      <c r="B43" s="792"/>
      <c r="C43" s="792"/>
      <c r="D43" s="792" t="s">
        <v>114</v>
      </c>
      <c r="E43" s="1749" t="str">
        <f>IF(B43="","",D43/1000)</f>
        <v/>
      </c>
      <c r="F43" s="1750" t="str">
        <f>IF(B43="","",I43)</f>
        <v/>
      </c>
      <c r="G43" s="1751" t="s">
        <v>114</v>
      </c>
      <c r="H43" s="1752">
        <v>0</v>
      </c>
      <c r="I43" s="1749">
        <v>0</v>
      </c>
      <c r="J43" s="1745"/>
      <c r="K43" s="1747">
        <f>IFERROR(E43*(VLOOKUP(EDATE(G43,-1),Índices!#REF!,3,FALSE)/VLOOKUP(EDATE(F43,-1),Índices!#REF!,3,FALSE)),0)</f>
        <v>0</v>
      </c>
      <c r="L43" s="793">
        <f t="shared" ref="L43:L47" si="8">J43*K43</f>
        <v>0</v>
      </c>
      <c r="M43" s="802">
        <f t="shared" ca="1" si="7"/>
        <v>0</v>
      </c>
      <c r="N43" s="793">
        <f t="shared" ref="N43:N47" ca="1" si="9">K43*M43</f>
        <v>0</v>
      </c>
      <c r="O43" s="128"/>
    </row>
    <row r="44" spans="1:22" ht="24" customHeight="1">
      <c r="A44" s="74"/>
      <c r="B44" s="792"/>
      <c r="C44" s="792"/>
      <c r="D44" s="792" t="s">
        <v>114</v>
      </c>
      <c r="E44" s="1749" t="str">
        <f>IF(B44="","",D44/1000)</f>
        <v/>
      </c>
      <c r="F44" s="1750" t="str">
        <f>IF(B44="","",I44)</f>
        <v/>
      </c>
      <c r="G44" s="1751" t="s">
        <v>114</v>
      </c>
      <c r="H44" s="1752">
        <v>0</v>
      </c>
      <c r="I44" s="1749">
        <v>0</v>
      </c>
      <c r="J44" s="1745"/>
      <c r="K44" s="1747">
        <f>IFERROR(E44*(VLOOKUP(EDATE(G44,-1),Índices!#REF!,3,FALSE)/VLOOKUP(EDATE(F44,-1),Índices!#REF!,3,FALSE)),0)</f>
        <v>0</v>
      </c>
      <c r="L44" s="793">
        <f t="shared" si="8"/>
        <v>0</v>
      </c>
      <c r="M44" s="802">
        <f t="shared" ca="1" si="7"/>
        <v>0</v>
      </c>
      <c r="N44" s="793">
        <f ca="1">K44*M44</f>
        <v>0</v>
      </c>
      <c r="O44" s="128"/>
    </row>
    <row r="45" spans="1:22" ht="24" customHeight="1">
      <c r="A45" s="74"/>
      <c r="B45" s="792"/>
      <c r="C45" s="792"/>
      <c r="D45" s="792" t="s">
        <v>114</v>
      </c>
      <c r="E45" s="1749" t="str">
        <f>IF(B45="","",D45/1000)</f>
        <v/>
      </c>
      <c r="F45" s="1750" t="str">
        <f>IF(B45="","",I45)</f>
        <v/>
      </c>
      <c r="G45" s="1751" t="s">
        <v>114</v>
      </c>
      <c r="H45" s="1752">
        <v>0</v>
      </c>
      <c r="I45" s="1749">
        <v>0</v>
      </c>
      <c r="J45" s="1745"/>
      <c r="K45" s="1747">
        <f>IFERROR(E45*(VLOOKUP(EDATE(G45,-1),Índices!#REF!,3,FALSE)/VLOOKUP(EDATE(F45,-1),Índices!#REF!,3,FALSE)),0)</f>
        <v>0</v>
      </c>
      <c r="L45" s="793">
        <f t="shared" si="8"/>
        <v>0</v>
      </c>
      <c r="M45" s="802">
        <f t="shared" ca="1" si="7"/>
        <v>0</v>
      </c>
      <c r="N45" s="793">
        <f t="shared" ca="1" si="9"/>
        <v>0</v>
      </c>
      <c r="O45" s="128"/>
    </row>
    <row r="46" spans="1:22" ht="24" customHeight="1">
      <c r="A46" s="74"/>
      <c r="B46" s="792"/>
      <c r="C46" s="792"/>
      <c r="D46" s="792" t="s">
        <v>114</v>
      </c>
      <c r="E46" s="1749" t="str">
        <f>IF(B46="","",D46/1000)</f>
        <v/>
      </c>
      <c r="F46" s="1750" t="str">
        <f>IF(B46="","",I46)</f>
        <v/>
      </c>
      <c r="G46" s="1751" t="s">
        <v>114</v>
      </c>
      <c r="H46" s="1752">
        <v>0</v>
      </c>
      <c r="I46" s="1749">
        <v>0</v>
      </c>
      <c r="J46" s="1745"/>
      <c r="K46" s="1747">
        <f>IFERROR(E46*(VLOOKUP(EDATE(G46,-1),Índices!#REF!,3,FALSE)/VLOOKUP(EDATE(F46,-1),Índices!#REF!,3,FALSE)),0)</f>
        <v>0</v>
      </c>
      <c r="L46" s="793">
        <f t="shared" si="8"/>
        <v>0</v>
      </c>
      <c r="M46" s="802">
        <f t="shared" ca="1" si="7"/>
        <v>0</v>
      </c>
      <c r="N46" s="793">
        <f t="shared" ca="1" si="9"/>
        <v>0</v>
      </c>
      <c r="O46" s="128"/>
    </row>
    <row r="47" spans="1:22" ht="24" customHeight="1">
      <c r="A47" s="74"/>
      <c r="B47" s="792"/>
      <c r="C47" s="792"/>
      <c r="D47" s="792" t="s">
        <v>114</v>
      </c>
      <c r="E47" s="1749" t="str">
        <f>IF(B47="","",D47/1000)</f>
        <v/>
      </c>
      <c r="F47" s="1750" t="str">
        <f>IF(B47="","",I47)</f>
        <v/>
      </c>
      <c r="G47" s="1751" t="s">
        <v>114</v>
      </c>
      <c r="H47" s="1752">
        <v>0</v>
      </c>
      <c r="I47" s="1749">
        <v>0</v>
      </c>
      <c r="J47" s="1745"/>
      <c r="K47" s="1747">
        <f>IFERROR(E47*(VLOOKUP(EDATE(G47,-1),Índices!#REF!,3,FALSE)/VLOOKUP(EDATE(F47,-1),Índices!#REF!,3,FALSE)),0)</f>
        <v>0</v>
      </c>
      <c r="L47" s="793">
        <f t="shared" si="8"/>
        <v>0</v>
      </c>
      <c r="M47" s="802">
        <f t="shared" ca="1" si="7"/>
        <v>0</v>
      </c>
      <c r="N47" s="793">
        <f t="shared" ca="1" si="9"/>
        <v>0</v>
      </c>
      <c r="O47" s="128"/>
    </row>
    <row r="48" spans="1:22" ht="24" customHeight="1">
      <c r="A48" s="74"/>
      <c r="B48" s="1207" t="s">
        <v>769</v>
      </c>
      <c r="C48" s="1208"/>
      <c r="D48" s="1208"/>
      <c r="E48" s="1207"/>
      <c r="F48" s="1207"/>
      <c r="G48" s="1209"/>
      <c r="H48" s="1207"/>
      <c r="I48" s="1207"/>
      <c r="J48" s="1210">
        <f>SUM(J41:J47)</f>
        <v>0</v>
      </c>
      <c r="K48" s="1211">
        <f ca="1">IFERROR(SUMPRODUCT(K41:K47,M41:M47)/SUM(M41:M47),0)</f>
        <v>0</v>
      </c>
      <c r="L48" s="1207"/>
      <c r="M48" s="1212">
        <f ca="1">SUM(M41:M47)</f>
        <v>0</v>
      </c>
      <c r="N48" s="1212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41" t="s">
        <v>2050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4" t="s">
        <v>778</v>
      </c>
      <c r="C52" s="1205" t="s">
        <v>1132</v>
      </c>
      <c r="D52" s="1206"/>
      <c r="E52" s="1205" t="s">
        <v>62</v>
      </c>
      <c r="F52" s="1205" t="s">
        <v>61</v>
      </c>
      <c r="G52" s="1205" t="s">
        <v>1133</v>
      </c>
      <c r="H52" s="1205" t="s">
        <v>1134</v>
      </c>
      <c r="I52" s="1205" t="s">
        <v>1135</v>
      </c>
      <c r="J52" s="1205" t="s">
        <v>898</v>
      </c>
      <c r="K52" s="1205" t="s">
        <v>1136</v>
      </c>
      <c r="L52" s="1205" t="s">
        <v>1137</v>
      </c>
      <c r="M52" s="1205" t="s">
        <v>1138</v>
      </c>
      <c r="N52" s="1205" t="s">
        <v>1139</v>
      </c>
      <c r="O52" s="128"/>
      <c r="V52" s="140" t="e">
        <f ca="1">V34-V51</f>
        <v>#VALUE!</v>
      </c>
    </row>
    <row r="53" spans="1:22" ht="18" customHeight="1">
      <c r="A53" s="74"/>
      <c r="B53" s="792" t="s">
        <v>2381</v>
      </c>
      <c r="C53" s="792"/>
      <c r="D53" s="792"/>
      <c r="E53" s="1749">
        <v>148.28</v>
      </c>
      <c r="F53" s="1750">
        <v>44136</v>
      </c>
      <c r="G53" s="1751">
        <v>44805</v>
      </c>
      <c r="H53" s="1752"/>
      <c r="I53" s="1746"/>
      <c r="J53" s="1745">
        <f>15.357*24*122+15.868*24*243</f>
        <v>137507.47199999998</v>
      </c>
      <c r="K53" s="1747">
        <f>IFERROR(E53*(VLOOKUP(EDATE(G53,-1),Índices!B5:D499,3,FALSE)/VLOOKUP(EDATE(F53,-1),Índices!B5:D499,3,FALSE)),0)</f>
        <v>174.20388729928723</v>
      </c>
      <c r="L53" s="793">
        <f>IFERROR(J53*K53,0)</f>
        <v>23954336.155097891</v>
      </c>
      <c r="M53" s="802">
        <f t="shared" ref="M53:M59" ca="1" si="10">IFERROR(J53*$N$30,0)</f>
        <v>147151.67389717791</v>
      </c>
      <c r="N53" s="793">
        <f ca="1">IFERROR(K53*M53,0)</f>
        <v>25634393.615485448</v>
      </c>
      <c r="O53" s="134"/>
    </row>
    <row r="54" spans="1:22">
      <c r="B54" s="792"/>
      <c r="C54" s="792"/>
      <c r="D54" s="792"/>
      <c r="E54" s="1749"/>
      <c r="F54" s="1750"/>
      <c r="G54" s="1751"/>
      <c r="H54" s="1752"/>
      <c r="I54" s="1748"/>
      <c r="J54" s="1745"/>
      <c r="K54" s="1747" t="str">
        <f>H29</f>
        <v/>
      </c>
      <c r="L54" s="793">
        <f>IFERROR(J54*K54,0)</f>
        <v>0</v>
      </c>
      <c r="M54" s="802">
        <f t="shared" ca="1" si="10"/>
        <v>0</v>
      </c>
      <c r="N54" s="793">
        <f ca="1">IFERROR(K54*M54,0)</f>
        <v>0</v>
      </c>
      <c r="V54" s="68">
        <v>7728827.6146981604</v>
      </c>
    </row>
    <row r="55" spans="1:22">
      <c r="B55" s="792"/>
      <c r="C55" s="792"/>
      <c r="D55" s="792" t="s">
        <v>114</v>
      </c>
      <c r="E55" s="1749" t="str">
        <f>IF(B55="","",D55/1000)</f>
        <v/>
      </c>
      <c r="F55" s="1750" t="str">
        <f>IF(B55="","",I55)</f>
        <v/>
      </c>
      <c r="G55" s="1751" t="s">
        <v>114</v>
      </c>
      <c r="H55" s="1752">
        <v>0</v>
      </c>
      <c r="I55" s="1746">
        <v>0</v>
      </c>
      <c r="J55" s="1745"/>
      <c r="K55" s="1747">
        <f>IFERROR(E55*(VLOOKUP(EDATE(G55,-1),Índices!B7:D501,3,FALSE)/VLOOKUP(EDATE(F55,-1),Índices!B7:D501,3,FALSE)),0)</f>
        <v>0</v>
      </c>
      <c r="L55" s="793">
        <f t="shared" ref="L55:L59" si="11">J55*K55</f>
        <v>0</v>
      </c>
      <c r="M55" s="802">
        <f t="shared" ca="1" si="10"/>
        <v>0</v>
      </c>
      <c r="N55" s="793">
        <f t="shared" ref="N55:N59" ca="1" si="12">K55*M55</f>
        <v>0</v>
      </c>
    </row>
    <row r="56" spans="1:22">
      <c r="B56" s="792"/>
      <c r="C56" s="792"/>
      <c r="D56" s="792" t="s">
        <v>114</v>
      </c>
      <c r="E56" s="1749" t="str">
        <f>IF(B56="","",D56/1000)</f>
        <v/>
      </c>
      <c r="F56" s="1750" t="str">
        <f>IF(B56="","",I56)</f>
        <v/>
      </c>
      <c r="G56" s="1751" t="s">
        <v>114</v>
      </c>
      <c r="H56" s="1752">
        <v>0</v>
      </c>
      <c r="I56" s="1746">
        <v>0</v>
      </c>
      <c r="J56" s="1745"/>
      <c r="K56" s="1747">
        <f>IFERROR(E56*(VLOOKUP(EDATE(G56,-1),Índices!B8:D502,3,FALSE)/VLOOKUP(EDATE(F56,-1),Índices!B8:D502,3,FALSE)),0)</f>
        <v>0</v>
      </c>
      <c r="L56" s="793">
        <f t="shared" si="11"/>
        <v>0</v>
      </c>
      <c r="M56" s="802">
        <f t="shared" ca="1" si="10"/>
        <v>0</v>
      </c>
      <c r="N56" s="793">
        <f t="shared" ca="1" si="12"/>
        <v>0</v>
      </c>
      <c r="V56" s="140" t="e">
        <f ca="1">V52+V54</f>
        <v>#VALUE!</v>
      </c>
    </row>
    <row r="57" spans="1:22">
      <c r="B57" s="792"/>
      <c r="C57" s="792"/>
      <c r="D57" s="792" t="s">
        <v>114</v>
      </c>
      <c r="E57" s="1749" t="str">
        <f>IF(B57="","",D57/1000)</f>
        <v/>
      </c>
      <c r="F57" s="1750" t="str">
        <f>IF(B57="","",I57)</f>
        <v/>
      </c>
      <c r="G57" s="1751" t="s">
        <v>114</v>
      </c>
      <c r="H57" s="1752">
        <v>0</v>
      </c>
      <c r="I57" s="1746">
        <v>0</v>
      </c>
      <c r="J57" s="1745"/>
      <c r="K57" s="1747">
        <f>IFERROR(E57*(VLOOKUP(EDATE(G57,-1),Índices!B9:D503,3,FALSE)/VLOOKUP(EDATE(F57,-1),Índices!B9:D503,3,FALSE)),0)</f>
        <v>0</v>
      </c>
      <c r="L57" s="793">
        <f t="shared" si="11"/>
        <v>0</v>
      </c>
      <c r="M57" s="802">
        <f t="shared" ca="1" si="10"/>
        <v>0</v>
      </c>
      <c r="N57" s="793">
        <f t="shared" ca="1" si="12"/>
        <v>0</v>
      </c>
    </row>
    <row r="58" spans="1:22">
      <c r="B58" s="792"/>
      <c r="C58" s="792"/>
      <c r="D58" s="792" t="s">
        <v>114</v>
      </c>
      <c r="E58" s="1749" t="str">
        <f>IF(B58="","",D58/1000)</f>
        <v/>
      </c>
      <c r="F58" s="1750" t="str">
        <f>IF(B58="","",I58)</f>
        <v/>
      </c>
      <c r="G58" s="1751" t="s">
        <v>114</v>
      </c>
      <c r="H58" s="1752">
        <v>0</v>
      </c>
      <c r="I58" s="1746">
        <v>0</v>
      </c>
      <c r="J58" s="1745"/>
      <c r="K58" s="1747">
        <f>IFERROR(E58*(VLOOKUP(EDATE(G58,-1),Índices!B10:D504,3,FALSE)/VLOOKUP(EDATE(F58,-1),Índices!B10:D504,3,FALSE)),0)</f>
        <v>0</v>
      </c>
      <c r="L58" s="793">
        <f t="shared" si="11"/>
        <v>0</v>
      </c>
      <c r="M58" s="802">
        <f t="shared" ca="1" si="10"/>
        <v>0</v>
      </c>
      <c r="N58" s="793">
        <f t="shared" ca="1" si="12"/>
        <v>0</v>
      </c>
    </row>
    <row r="59" spans="1:22">
      <c r="B59" s="792"/>
      <c r="C59" s="792"/>
      <c r="D59" s="792" t="s">
        <v>114</v>
      </c>
      <c r="E59" s="1749" t="str">
        <f>IF(B59="","",D59/1000)</f>
        <v/>
      </c>
      <c r="F59" s="1750" t="str">
        <f>IF(B59="","",I59)</f>
        <v/>
      </c>
      <c r="G59" s="1751" t="s">
        <v>114</v>
      </c>
      <c r="H59" s="1752">
        <v>0</v>
      </c>
      <c r="I59" s="1746">
        <v>0</v>
      </c>
      <c r="J59" s="1745"/>
      <c r="K59" s="1747">
        <f>IFERROR(E59*(VLOOKUP(EDATE(G59,-1),Índices!B11:D505,3,FALSE)/VLOOKUP(EDATE(F59,-1),Índices!B11:D505,3,FALSE)),0)</f>
        <v>0</v>
      </c>
      <c r="L59" s="793">
        <f t="shared" si="11"/>
        <v>0</v>
      </c>
      <c r="M59" s="802">
        <f t="shared" ca="1" si="10"/>
        <v>0</v>
      </c>
      <c r="N59" s="793">
        <f t="shared" ca="1" si="12"/>
        <v>0</v>
      </c>
    </row>
    <row r="60" spans="1:22">
      <c r="B60" s="1207" t="s">
        <v>769</v>
      </c>
      <c r="C60" s="1208"/>
      <c r="D60" s="1208"/>
      <c r="E60" s="1207"/>
      <c r="F60" s="1207"/>
      <c r="G60" s="1209"/>
      <c r="H60" s="1207"/>
      <c r="I60" s="1207"/>
      <c r="J60" s="1210">
        <f>SUM(J53:J59)</f>
        <v>137507.47199999998</v>
      </c>
      <c r="K60" s="1211">
        <f ca="1">IFERROR(SUMPRODUCT(K53:K59,M53:M59)/SUM(M53:M59),0)</f>
        <v>174.20388729928723</v>
      </c>
      <c r="L60" s="1207"/>
      <c r="M60" s="1212">
        <f ca="1">SUM(M53:M59)</f>
        <v>147151.67389717791</v>
      </c>
      <c r="N60" s="1212">
        <f ca="1">SUM(N53:N59)</f>
        <v>25634393.615485448</v>
      </c>
    </row>
    <row r="61" spans="1:22">
      <c r="C61" s="412"/>
      <c r="D61" s="412"/>
      <c r="E61" s="412"/>
      <c r="K61" s="68" t="s">
        <v>2053</v>
      </c>
    </row>
    <row r="62" spans="1:22" ht="15.75">
      <c r="B62" s="1213" t="s">
        <v>1140</v>
      </c>
      <c r="C62" s="1214" t="s">
        <v>1141</v>
      </c>
      <c r="D62" s="1215"/>
      <c r="E62" s="1216" t="s">
        <v>1142</v>
      </c>
      <c r="F62" s="1216" t="s">
        <v>1143</v>
      </c>
      <c r="H62" s="1217" t="s">
        <v>1144</v>
      </c>
      <c r="I62" s="1218" t="s">
        <v>42</v>
      </c>
      <c r="J62" s="1219" t="s">
        <v>43</v>
      </c>
      <c r="K62" s="1220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6615.8447173387713</v>
      </c>
      <c r="D63" s="1744">
        <f t="shared" ref="D63:D65" si="13">E63</f>
        <v>349.15</v>
      </c>
      <c r="E63" s="217">
        <f>IFERROR(VLOOKUP("Angra",AngraCota[],4,FALSE),0)</f>
        <v>349.15</v>
      </c>
      <c r="F63" s="107">
        <f>C63*E63</f>
        <v>2309922.1830588318</v>
      </c>
      <c r="H63" s="1221" t="s">
        <v>1146</v>
      </c>
      <c r="I63" s="1222" cm="1">
        <f t="array" ref="I63">GSFRH[GSF previsto]</f>
        <v>0.87029999999999996</v>
      </c>
      <c r="J63" s="1223" cm="1">
        <f t="array" ref="J63">GSFRH[PLD]</f>
        <v>195.04</v>
      </c>
      <c r="K63" s="1224">
        <f>(J63*(1-I63)*(C64+C65))</f>
        <v>943682.72050160519</v>
      </c>
    </row>
    <row r="64" spans="1:22" ht="15.75">
      <c r="B64" s="78" t="s">
        <v>1146</v>
      </c>
      <c r="C64" s="251">
        <f>BD!AE22</f>
        <v>14363.798360478617</v>
      </c>
      <c r="D64" s="1744">
        <f t="shared" si="13"/>
        <v>136.07034753314048</v>
      </c>
      <c r="E64" s="217">
        <f>BD!AG22</f>
        <v>136.07034753314048</v>
      </c>
      <c r="F64" s="107">
        <f>C64*E64</f>
        <v>1954487.0348062788</v>
      </c>
      <c r="H64" s="803" t="s">
        <v>1147</v>
      </c>
      <c r="I64" s="804">
        <f>I63</f>
        <v>0.87029999999999996</v>
      </c>
      <c r="J64" s="805">
        <f>J63</f>
        <v>195.04</v>
      </c>
      <c r="K64" s="806"/>
    </row>
    <row r="65" spans="1:11" ht="15.75">
      <c r="B65" s="78" t="s">
        <v>1146</v>
      </c>
      <c r="C65" s="251">
        <f>BD!AE23</f>
        <v>22940.797423032844</v>
      </c>
      <c r="D65" s="1744">
        <f t="shared" si="13"/>
        <v>157.18861095126169</v>
      </c>
      <c r="E65" s="217">
        <f>BD!AG23</f>
        <v>157.18861095126169</v>
      </c>
      <c r="F65" s="107">
        <f>C65*E65</f>
        <v>3606032.0810408164</v>
      </c>
      <c r="H65" s="807" t="s">
        <v>1148</v>
      </c>
      <c r="I65" s="804">
        <f>I64</f>
        <v>0.87029999999999996</v>
      </c>
      <c r="J65" s="805">
        <f>J64</f>
        <v>195.04</v>
      </c>
      <c r="K65" s="806">
        <f>(J65*(1-I65)*I68*K68*365*24)</f>
        <v>1714210.2239841947</v>
      </c>
    </row>
    <row r="66" spans="1:11" ht="15.75">
      <c r="B66" s="794"/>
      <c r="C66" s="794">
        <f>SUM(C63:C65)</f>
        <v>43920.440500850236</v>
      </c>
      <c r="D66" s="794"/>
      <c r="E66" s="794"/>
      <c r="F66" s="794">
        <f>SUM(F63:F65)</f>
        <v>7870441.2989059268</v>
      </c>
      <c r="H66" s="788" t="s">
        <v>1149</v>
      </c>
      <c r="I66" s="1225"/>
      <c r="J66" s="1226"/>
      <c r="K66" s="1227">
        <f>SUM(K63:K65)</f>
        <v>2657892.9444857999</v>
      </c>
    </row>
    <row r="67" spans="1:11" ht="15.75">
      <c r="H67" s="1794" t="s">
        <v>45</v>
      </c>
      <c r="I67" s="1794"/>
      <c r="J67" s="1228"/>
      <c r="K67" s="1228" t="s">
        <v>44</v>
      </c>
    </row>
    <row r="68" spans="1:11" ht="15.75">
      <c r="H68" s="789" t="str">
        <f>CAPA!C9</f>
        <v>Cegero</v>
      </c>
      <c r="I68" s="809" cm="1">
        <f t="array" ref="I68">GSFRH[Fator de rateio]</f>
        <v>5.2481529999999998E-4</v>
      </c>
      <c r="J68" s="902">
        <f>J63</f>
        <v>195.04</v>
      </c>
      <c r="K68" s="790" cm="1">
        <f t="array" ref="K68">GSFRH[MWm repactuado]</f>
        <v>14739.74</v>
      </c>
    </row>
    <row r="69" spans="1:11" ht="15">
      <c r="B69" s="1213" t="s">
        <v>1150</v>
      </c>
      <c r="C69" s="1214" t="s">
        <v>1141</v>
      </c>
      <c r="D69" s="1215"/>
      <c r="E69" s="1216" t="s">
        <v>1142</v>
      </c>
      <c r="F69" s="1216" t="s">
        <v>1143</v>
      </c>
    </row>
    <row r="70" spans="1:11">
      <c r="B70" s="78" t="s">
        <v>1151</v>
      </c>
      <c r="C70" s="251">
        <f>D89</f>
        <v>0</v>
      </c>
      <c r="D70" s="808">
        <f t="shared" ref="D70" si="14">E70</f>
        <v>0</v>
      </c>
      <c r="E70" s="792">
        <v>0</v>
      </c>
      <c r="F70" s="107">
        <f>C70*E70</f>
        <v>0</v>
      </c>
    </row>
    <row r="71" spans="1:11">
      <c r="B71" s="78"/>
      <c r="C71" s="251"/>
      <c r="D71" s="808"/>
      <c r="E71" s="792"/>
      <c r="F71" s="107"/>
      <c r="I71" s="68">
        <f>30+31+30+31</f>
        <v>122</v>
      </c>
      <c r="J71" s="140"/>
    </row>
    <row r="72" spans="1:11">
      <c r="B72" s="794"/>
      <c r="C72" s="794">
        <f>SUM(C70:C71)</f>
        <v>0</v>
      </c>
      <c r="D72" s="794"/>
      <c r="E72" s="794"/>
      <c r="F72" s="794">
        <f>SUM(F70:F71)</f>
        <v>0</v>
      </c>
      <c r="J72" s="140"/>
    </row>
    <row r="75" spans="1:11">
      <c r="C75" s="123" t="s">
        <v>1150</v>
      </c>
    </row>
    <row r="76" spans="1:11">
      <c r="C76" s="1722" t="s">
        <v>2195</v>
      </c>
      <c r="D76" s="1722" t="s">
        <v>2303</v>
      </c>
    </row>
    <row r="77" spans="1:11">
      <c r="A77" s="68" t="s">
        <v>1152</v>
      </c>
      <c r="C77" s="1740">
        <f>SAS_RA0_DataInicio</f>
        <v>44440</v>
      </c>
      <c r="D77" s="853">
        <f>IFERROR(VLOOKUP(C77,GeracaoPropria[],2,FALSE)/1000,0)</f>
        <v>0</v>
      </c>
      <c r="F77" s="68">
        <v>31</v>
      </c>
    </row>
    <row r="78" spans="1:11">
      <c r="A78" s="68" t="str">
        <f>TRIM(LEFT(C28,3))</f>
        <v>A2</v>
      </c>
      <c r="C78" s="1740">
        <f>EDATE(C77,1)</f>
        <v>44470</v>
      </c>
      <c r="D78" s="853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40">
        <f t="shared" ref="C79:C87" si="16">EDATE(C78,1)</f>
        <v>44501</v>
      </c>
      <c r="D79" s="853">
        <f>IFERROR(VLOOKUP(C79,GeracaoPropria[],2,FALSE)/1000,0)</f>
        <v>0</v>
      </c>
      <c r="F79" s="68">
        <v>28</v>
      </c>
    </row>
    <row r="80" spans="1:11">
      <c r="A80" s="68" t="str">
        <f t="shared" si="15"/>
        <v/>
      </c>
      <c r="C80" s="1740">
        <f t="shared" si="16"/>
        <v>44531</v>
      </c>
      <c r="D80" s="853">
        <f>IFERROR(VLOOKUP(C80,GeracaoPropria[],2,FALSE)/1000,0)</f>
        <v>0</v>
      </c>
      <c r="F80" s="68">
        <v>31</v>
      </c>
    </row>
    <row r="81" spans="1:6">
      <c r="A81" s="68" t="str">
        <f t="shared" si="15"/>
        <v/>
      </c>
      <c r="C81" s="1740">
        <f t="shared" si="16"/>
        <v>44562</v>
      </c>
      <c r="D81" s="853">
        <f>IFERROR(VLOOKUP(C81,GeracaoPropria[],2,FALSE)/1000,0)</f>
        <v>0</v>
      </c>
      <c r="F81" s="68">
        <v>30</v>
      </c>
    </row>
    <row r="82" spans="1:6">
      <c r="A82" s="68" t="str">
        <f t="shared" si="15"/>
        <v/>
      </c>
      <c r="C82" s="1740">
        <f t="shared" si="16"/>
        <v>44593</v>
      </c>
      <c r="D82" s="853">
        <f>IFERROR(VLOOKUP(C82,GeracaoPropria[],2,FALSE)/1000,0)</f>
        <v>0</v>
      </c>
      <c r="F82" s="68">
        <v>31</v>
      </c>
    </row>
    <row r="83" spans="1:6">
      <c r="A83" s="68" t="str">
        <f t="shared" si="15"/>
        <v/>
      </c>
      <c r="C83" s="1740">
        <f t="shared" si="16"/>
        <v>44621</v>
      </c>
      <c r="D83" s="853">
        <f>IFERROR(VLOOKUP(C83,GeracaoPropria[],2,FALSE)/1000,0)</f>
        <v>0</v>
      </c>
      <c r="F83" s="68">
        <v>30</v>
      </c>
    </row>
    <row r="84" spans="1:6">
      <c r="A84" s="68" t="str">
        <f t="shared" si="15"/>
        <v/>
      </c>
      <c r="C84" s="1740">
        <f t="shared" si="16"/>
        <v>44652</v>
      </c>
      <c r="D84" s="853">
        <f>IFERROR(VLOOKUP(C84,GeracaoPropria[],2,FALSE)/1000,0)</f>
        <v>0</v>
      </c>
      <c r="F84" s="68">
        <v>31</v>
      </c>
    </row>
    <row r="85" spans="1:6">
      <c r="C85" s="1740">
        <f t="shared" si="16"/>
        <v>44682</v>
      </c>
      <c r="D85" s="853">
        <f>IFERROR(VLOOKUP(C85,GeracaoPropria[],2,FALSE)/1000,0)</f>
        <v>0</v>
      </c>
      <c r="F85" s="68">
        <v>31</v>
      </c>
    </row>
    <row r="86" spans="1:6">
      <c r="C86" s="1740">
        <f>EDATE(C85,1)</f>
        <v>44713</v>
      </c>
      <c r="D86" s="853">
        <f>IFERROR(VLOOKUP(C86,GeracaoPropria[],2,FALSE)/1000,D85)</f>
        <v>0</v>
      </c>
    </row>
    <row r="87" spans="1:6">
      <c r="C87" s="1740">
        <f t="shared" si="16"/>
        <v>44743</v>
      </c>
      <c r="D87" s="853">
        <f>IFERROR(VLOOKUP(C87,GeracaoPropria[],2,FALSE)/1000,D86)</f>
        <v>0</v>
      </c>
    </row>
    <row r="88" spans="1:6">
      <c r="C88" s="1740">
        <f>EDATE(C87,1)</f>
        <v>44774</v>
      </c>
      <c r="D88" s="853">
        <f>IFERROR(VLOOKUP(C88,GeracaoPropria[],2,FALSE)/1000,D87)</f>
        <v>0</v>
      </c>
    </row>
    <row r="89" spans="1:6">
      <c r="C89" s="1723" t="s">
        <v>769</v>
      </c>
      <c r="D89" s="1119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L23"/>
  <sheetViews>
    <sheetView showGridLines="0" workbookViewId="0">
      <selection activeCell="D26" sqref="D26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  <col min="12" max="12" width="11.28515625" bestFit="1" customWidth="1"/>
  </cols>
  <sheetData>
    <row r="1" spans="2:12">
      <c r="B1" s="1725" t="s">
        <v>2278</v>
      </c>
      <c r="C1" s="1726"/>
      <c r="D1" s="1727"/>
      <c r="E1" s="1727"/>
      <c r="F1" s="1728" t="s">
        <v>873</v>
      </c>
      <c r="G1" s="1729">
        <f ca="1">LnkTXTIRTEco</f>
        <v>0.15570000000000001</v>
      </c>
    </row>
    <row r="2" spans="2:12">
      <c r="B2" s="1730" t="str">
        <f>CAPA!C9</f>
        <v>Cegero</v>
      </c>
      <c r="C2" s="1731"/>
      <c r="D2" s="1731"/>
      <c r="E2" s="1731"/>
      <c r="F2" s="1732" t="s">
        <v>877</v>
      </c>
      <c r="G2" s="1733">
        <f ca="1">LnkTXTIRTTotal</f>
        <v>0.16300000000000001</v>
      </c>
    </row>
    <row r="4" spans="2:12">
      <c r="B4" s="9"/>
    </row>
    <row r="5" spans="2:12" ht="25.5">
      <c r="B5" s="1722" t="s">
        <v>2195</v>
      </c>
      <c r="C5" s="1722" t="s">
        <v>2176</v>
      </c>
      <c r="D5" s="1722" t="s">
        <v>2177</v>
      </c>
      <c r="E5" s="1722" t="s">
        <v>2178</v>
      </c>
      <c r="F5" s="1722" t="s">
        <v>790</v>
      </c>
      <c r="G5" s="1722" t="s">
        <v>109</v>
      </c>
      <c r="H5" s="1722" t="s">
        <v>2196</v>
      </c>
      <c r="I5" s="1722" t="s">
        <v>742</v>
      </c>
      <c r="J5" s="1722" t="s">
        <v>1282</v>
      </c>
    </row>
    <row r="6" spans="2:12">
      <c r="B6" s="1740">
        <f>SAS_RA0_DataInicio</f>
        <v>44440</v>
      </c>
      <c r="C6" s="853">
        <f>IFERROR(VLOOKUP(B6,PerdasDitFinal[#All],2,FALSE),0)</f>
        <v>0</v>
      </c>
      <c r="D6" s="853">
        <f>IFERROR(VLOOKUP(B6,PerdasDitFinal[#All],3,FALSE),0)</f>
        <v>0</v>
      </c>
      <c r="E6" s="853">
        <f>IFERROR(VLOOKUP(B6,PerdasDitFinal[#All],4,FALSE),0)</f>
        <v>0</v>
      </c>
      <c r="F6" s="853">
        <f>IF(C6=0,(SUMIF(FaturasT!I:I,'Perdas de Energia'!B6,FaturasT!N:N)+SUMIF(FaturasT!I:I,'Perdas de Energia'!B6,FaturasT!O:ON))/1000,0)</f>
        <v>15459.707</v>
      </c>
      <c r="G6" s="853">
        <f>IF(C6=0,(SUMIF(FaturasT!I:I,'Perdas de Energia'!B6,FaturasT!P:P)/1000),0)</f>
        <v>274.32799999999997</v>
      </c>
      <c r="H6" s="853">
        <f>SUMIF(dados_MercadoBase[AnoMes],'Perdas de Energia'!B6,dados_MercadoBase[TE_E])</f>
        <v>15170.117999999995</v>
      </c>
      <c r="I6" s="1741">
        <f>C6-D6-E6+F6-H6+G6</f>
        <v>563.91700000000537</v>
      </c>
      <c r="J6" s="1742">
        <f>I6/(C6-D6-E6+F6+G6)</f>
        <v>3.5840583804472623E-2</v>
      </c>
      <c r="L6" s="913">
        <f>C6-D6+F6+G6</f>
        <v>15734.035</v>
      </c>
    </row>
    <row r="7" spans="2:12">
      <c r="B7" s="1740">
        <f>EDATE(B6,1)</f>
        <v>44470</v>
      </c>
      <c r="C7" s="853">
        <f>IFERROR(VLOOKUP(B7,PerdasDitFinal[#All],2,FALSE),0)</f>
        <v>0</v>
      </c>
      <c r="D7" s="853">
        <f>IFERROR(VLOOKUP(B7,PerdasDitFinal[#All],3,FALSE),0)</f>
        <v>0</v>
      </c>
      <c r="E7" s="853">
        <f>IFERROR(VLOOKUP(B7,PerdasDitFinal[#All],4,FALSE),0)</f>
        <v>0</v>
      </c>
      <c r="F7" s="853">
        <f>IF(C7=0,(SUMIF(FaturasT!I:I,'Perdas de Energia'!B7,FaturasT!N:N)+SUMIF(FaturasT!I:I,'Perdas de Energia'!B7,FaturasT!O:ON))/1000,0)</f>
        <v>15855.192999999999</v>
      </c>
      <c r="G7" s="853">
        <f>IF(C7=0,(SUMIF(FaturasT!I:I,'Perdas de Energia'!B7,FaturasT!P:P)/1000),0)</f>
        <v>292.09399999999999</v>
      </c>
      <c r="H7" s="853">
        <f>SUMIF(dados_MercadoBase[AnoMes],'Perdas de Energia'!B7,dados_MercadoBase[TE_E])</f>
        <v>15390.894999999999</v>
      </c>
      <c r="I7" s="1741">
        <f t="shared" ref="I7:I16" si="0">C7-D7-E7+F7-H7+G7</f>
        <v>756.39200000000073</v>
      </c>
      <c r="J7" s="1742">
        <f t="shared" ref="J7:J17" si="1">I7/(C7-D7-E7+F7+G7)</f>
        <v>4.6843287048777965E-2</v>
      </c>
      <c r="L7" s="913">
        <f t="shared" ref="L7:L17" si="2">C7-D7+F7+G7</f>
        <v>16147.286999999998</v>
      </c>
    </row>
    <row r="8" spans="2:12">
      <c r="B8" s="1740">
        <f t="shared" ref="B8:B16" si="3">EDATE(B7,1)</f>
        <v>44501</v>
      </c>
      <c r="C8" s="853">
        <f>IFERROR(VLOOKUP(B8,PerdasDitFinal[#All],2,FALSE),0)</f>
        <v>16922.480299999999</v>
      </c>
      <c r="D8" s="853">
        <f>IFERROR(VLOOKUP(B8,PerdasDitFinal[#All],3,FALSE),0)</f>
        <v>459.7921</v>
      </c>
      <c r="E8" s="853">
        <f>IFERROR(VLOOKUP(B8,PerdasDitFinal[#All],4,FALSE),0)</f>
        <v>0</v>
      </c>
      <c r="F8" s="853">
        <f>IF(C8=0,(SUMIF(FaturasT!I:I,'Perdas de Energia'!B8,FaturasT!N:N)+SUMIF(FaturasT!I:I,'Perdas de Energia'!B8,FaturasT!O:ON))/1000,0)</f>
        <v>0</v>
      </c>
      <c r="G8" s="853">
        <f>IF(C8=0,(SUMIF(FaturasT!I:I,'Perdas de Energia'!B8,FaturasT!P:P)/1000),0)</f>
        <v>0</v>
      </c>
      <c r="H8" s="853">
        <f>SUMIF(dados_MercadoBase[AnoMes],'Perdas de Energia'!B8,dados_MercadoBase[TE_E])</f>
        <v>15817.060999999998</v>
      </c>
      <c r="I8" s="1741">
        <f t="shared" si="0"/>
        <v>645.62720000000263</v>
      </c>
      <c r="J8" s="1742">
        <f t="shared" si="1"/>
        <v>3.9217604813775349E-2</v>
      </c>
      <c r="L8" s="913">
        <f t="shared" si="2"/>
        <v>16462.688200000001</v>
      </c>
    </row>
    <row r="9" spans="2:12">
      <c r="B9" s="1740">
        <f t="shared" si="3"/>
        <v>44531</v>
      </c>
      <c r="C9" s="853">
        <f>IFERROR(VLOOKUP(B9,PerdasDitFinal[#All],2,FALSE),0)</f>
        <v>15157.683199999999</v>
      </c>
      <c r="D9" s="853">
        <f>IFERROR(VLOOKUP(B9,PerdasDitFinal[#All],3,FALSE),0)</f>
        <v>459.44229999999999</v>
      </c>
      <c r="E9" s="853">
        <f>IFERROR(VLOOKUP(B9,PerdasDitFinal[#All],4,FALSE),0)</f>
        <v>0</v>
      </c>
      <c r="F9" s="853">
        <f>IF(C9=0,(SUMIF(FaturasT!I:I,'Perdas de Energia'!B9,FaturasT!N:N)+SUMIF(FaturasT!I:I,'Perdas de Energia'!B9,FaturasT!O:ON))/1000,0)</f>
        <v>0</v>
      </c>
      <c r="G9" s="853">
        <f>IF(C9=0,(SUMIF(FaturasT!I:I,'Perdas de Energia'!B9,FaturasT!P:P)/1000),0)</f>
        <v>0</v>
      </c>
      <c r="H9" s="853">
        <f>SUMIF(dados_MercadoBase[AnoMes],'Perdas de Energia'!B9,dados_MercadoBase[TE_E])</f>
        <v>14163.195000000002</v>
      </c>
      <c r="I9" s="1741">
        <f t="shared" si="0"/>
        <v>535.04589999999735</v>
      </c>
      <c r="J9" s="1742">
        <f t="shared" si="1"/>
        <v>3.6402036382462435E-2</v>
      </c>
      <c r="L9" s="913">
        <f t="shared" si="2"/>
        <v>14698.240899999999</v>
      </c>
    </row>
    <row r="10" spans="2:12">
      <c r="B10" s="1740">
        <f t="shared" si="3"/>
        <v>44562</v>
      </c>
      <c r="C10" s="853">
        <f>IFERROR(VLOOKUP(B10,PerdasDitFinal[#All],2,FALSE),0)</f>
        <v>16630.0056</v>
      </c>
      <c r="D10" s="853">
        <f>IFERROR(VLOOKUP(B10,PerdasDitFinal[#All],3,FALSE),0)</f>
        <v>573.74699999999996</v>
      </c>
      <c r="E10" s="853">
        <f>IFERROR(VLOOKUP(B10,PerdasDitFinal[#All],4,FALSE),0)</f>
        <v>0</v>
      </c>
      <c r="F10" s="853">
        <f>IF(C10=0,(SUMIF(FaturasT!I:I,'Perdas de Energia'!B10,FaturasT!N:N)+SUMIF(FaturasT!I:I,'Perdas de Energia'!B10,FaturasT!O:ON))/1000,0)</f>
        <v>0</v>
      </c>
      <c r="G10" s="853">
        <f>IF(C10=0,(SUMIF(FaturasT!I:I,'Perdas de Energia'!B10,FaturasT!P:P)/1000),0)</f>
        <v>0</v>
      </c>
      <c r="H10" s="853">
        <f>SUMIF(dados_MercadoBase[AnoMes],'Perdas de Energia'!B10,dados_MercadoBase[TE_E])</f>
        <v>15054.136000000002</v>
      </c>
      <c r="I10" s="1741">
        <f t="shared" si="0"/>
        <v>1002.1225999999988</v>
      </c>
      <c r="J10" s="1742">
        <f t="shared" si="1"/>
        <v>6.2413207520212628E-2</v>
      </c>
      <c r="L10" s="913">
        <f t="shared" si="2"/>
        <v>16056.258600000001</v>
      </c>
    </row>
    <row r="11" spans="2:12">
      <c r="B11" s="1740">
        <f t="shared" si="3"/>
        <v>44593</v>
      </c>
      <c r="C11" s="853">
        <f>IFERROR(VLOOKUP(B11,PerdasDitFinal[#All],2,FALSE),0)</f>
        <v>16314.9809</v>
      </c>
      <c r="D11" s="853">
        <f>IFERROR(VLOOKUP(B11,PerdasDitFinal[#All],3,FALSE),0)</f>
        <v>585.8048</v>
      </c>
      <c r="E11" s="853">
        <f>IFERROR(VLOOKUP(B11,PerdasDitFinal[#All],4,FALSE),0)</f>
        <v>0</v>
      </c>
      <c r="F11" s="853">
        <f>IF(C11=0,(SUMIF(FaturasT!I:I,'Perdas de Energia'!B11,FaturasT!N:N)+SUMIF(FaturasT!I:I,'Perdas de Energia'!B11,FaturasT!O:ON))/1000,0)</f>
        <v>0</v>
      </c>
      <c r="G11" s="853">
        <f>IF(C11=0,(SUMIF(FaturasT!I:I,'Perdas de Energia'!B11,FaturasT!P:P)/1000),0)</f>
        <v>0</v>
      </c>
      <c r="H11" s="853">
        <f>SUMIF(dados_MercadoBase[AnoMes],'Perdas de Energia'!B11,dados_MercadoBase[TE_E])</f>
        <v>15021.782999999998</v>
      </c>
      <c r="I11" s="1741">
        <f t="shared" si="0"/>
        <v>707.39310000000296</v>
      </c>
      <c r="J11" s="1742">
        <f t="shared" si="1"/>
        <v>4.4973309186868531E-2</v>
      </c>
      <c r="L11" s="913">
        <f t="shared" si="2"/>
        <v>15729.176100000001</v>
      </c>
    </row>
    <row r="12" spans="2:12">
      <c r="B12" s="1740">
        <f t="shared" si="3"/>
        <v>44621</v>
      </c>
      <c r="C12" s="853">
        <f>IFERROR(VLOOKUP(B12,PerdasDitFinal[#All],2,FALSE),0)</f>
        <v>17652.553400000001</v>
      </c>
      <c r="D12" s="853">
        <f>IFERROR(VLOOKUP(B12,PerdasDitFinal[#All],3,FALSE),0)</f>
        <v>628.5752</v>
      </c>
      <c r="E12" s="853">
        <f>IFERROR(VLOOKUP(B12,PerdasDitFinal[#All],4,FALSE),0)</f>
        <v>0</v>
      </c>
      <c r="F12" s="853">
        <f>IF(C12=0,(SUMIF(FaturasT!I:I,'Perdas de Energia'!B12,FaturasT!N:N)+SUMIF(FaturasT!I:I,'Perdas de Energia'!B12,FaturasT!O:ON))/1000,0)</f>
        <v>0</v>
      </c>
      <c r="G12" s="853">
        <f>IF(C12=0,(SUMIF(FaturasT!I:I,'Perdas de Energia'!B12,FaturasT!P:P)/1000),0)</f>
        <v>0</v>
      </c>
      <c r="H12" s="853">
        <f>SUMIF(dados_MercadoBase[AnoMes],'Perdas de Energia'!B12,dados_MercadoBase[TE_E])</f>
        <v>16341.192999999997</v>
      </c>
      <c r="I12" s="1741">
        <f t="shared" si="0"/>
        <v>682.7852000000039</v>
      </c>
      <c r="J12" s="1742">
        <f t="shared" si="1"/>
        <v>4.0107264705026693E-2</v>
      </c>
      <c r="L12" s="913">
        <f t="shared" si="2"/>
        <v>17023.978200000001</v>
      </c>
    </row>
    <row r="13" spans="2:12">
      <c r="B13" s="1740">
        <f t="shared" si="3"/>
        <v>44652</v>
      </c>
      <c r="C13" s="853">
        <f>IFERROR(VLOOKUP(B13,PerdasDitFinal[#All],2,FALSE),0)</f>
        <v>15534.6608</v>
      </c>
      <c r="D13" s="853">
        <f>IFERROR(VLOOKUP(B13,PerdasDitFinal[#All],3,FALSE),0)</f>
        <v>528.52589999999998</v>
      </c>
      <c r="E13" s="853">
        <f>IFERROR(VLOOKUP(B13,PerdasDitFinal[#All],4,FALSE),0)</f>
        <v>0</v>
      </c>
      <c r="F13" s="853">
        <f>IF(C13=0,(SUMIF(FaturasT!I:I,'Perdas de Energia'!B13,FaturasT!N:N)+SUMIF(FaturasT!I:I,'Perdas de Energia'!B13,FaturasT!O:ON))/1000,0)</f>
        <v>0</v>
      </c>
      <c r="G13" s="853">
        <f>IF(C13=0,(SUMIF(FaturasT!I:I,'Perdas de Energia'!B13,FaturasT!P:P)/1000),0)</f>
        <v>0</v>
      </c>
      <c r="H13" s="853">
        <f>SUMIF(dados_MercadoBase[AnoMes],'Perdas de Energia'!B13,dados_MercadoBase[TE_E])</f>
        <v>14622.200000000003</v>
      </c>
      <c r="I13" s="1741">
        <f t="shared" si="0"/>
        <v>383.93489999999656</v>
      </c>
      <c r="J13" s="1742">
        <f t="shared" si="1"/>
        <v>2.5585195825475124E-2</v>
      </c>
      <c r="L13" s="913">
        <f t="shared" si="2"/>
        <v>15006.134899999999</v>
      </c>
    </row>
    <row r="14" spans="2:12">
      <c r="B14" s="1740">
        <f t="shared" si="3"/>
        <v>44682</v>
      </c>
      <c r="C14" s="853">
        <f>IFERROR(VLOOKUP(B14,PerdasDitFinal[#All],2,FALSE),0)</f>
        <v>16382.0942</v>
      </c>
      <c r="D14" s="853">
        <f>IFERROR(VLOOKUP(B14,PerdasDitFinal[#All],3,FALSE),D13)</f>
        <v>578.16880000000003</v>
      </c>
      <c r="E14" s="853">
        <f>IFERROR(VLOOKUP(B14,PerdasDitFinal[#All],4,FALSE),E13)</f>
        <v>0</v>
      </c>
      <c r="F14" s="853">
        <f>IF(C14=0,IF(IFERROR(VLOOKUP(B14,Consulta3[MesAno],1,FALSE),0)='Perdas de Energia'!B14,(SUMIF(FaturasT!I:I,'Perdas de Energia'!B14,FaturasT!N:N)+SUMIF(FaturasT!I:I,'Perdas de Energia'!B14,FaturasT!O:ON))/1000,F13),0)</f>
        <v>0</v>
      </c>
      <c r="G14" s="853">
        <f>IF(C14=0,IF(IFERROR(VLOOKUP(B14,FaturasT!I:I,1,FALSE),0)=B14,(SUMIF(Consulta3[MesAno],'Perdas de Energia'!B14,Consulta3[Proinfa (kWh)])/1000),G13),0)</f>
        <v>0</v>
      </c>
      <c r="H14" s="853">
        <f>SUMIF(dados_MercadoBase[AnoMes],'Perdas de Energia'!B14,dados_MercadoBase[TE_E])</f>
        <v>15066.904</v>
      </c>
      <c r="I14" s="1741">
        <f t="shared" si="0"/>
        <v>737.02139999999963</v>
      </c>
      <c r="J14" s="1742">
        <f t="shared" si="1"/>
        <v>4.6635337825626511E-2</v>
      </c>
      <c r="L14" s="913">
        <f t="shared" si="2"/>
        <v>15803.9254</v>
      </c>
    </row>
    <row r="15" spans="2:12">
      <c r="B15" s="1740">
        <f>EDATE(B14,1)</f>
        <v>44713</v>
      </c>
      <c r="C15" s="853">
        <f>IFERROR(VLOOKUP(B15,PerdasDitFinal[#All],2,FALSE),C14)</f>
        <v>16065.6119</v>
      </c>
      <c r="D15" s="853">
        <f>IFERROR(VLOOKUP(B15,PerdasDitFinal[#All],3,FALSE),D14)</f>
        <v>411.31380000000001</v>
      </c>
      <c r="E15" s="853">
        <f>IFERROR(VLOOKUP(B15,PerdasDitFinal[#All],4,FALSE),E14)</f>
        <v>0</v>
      </c>
      <c r="F15" s="853">
        <f>IF(C15=0,IF(IFERROR(VLOOKUP(B15,Consulta3[MesAno],1,FALSE),0)='Perdas de Energia'!B15,(SUMIF(FaturasT!I:I,'Perdas de Energia'!B15,FaturasT!N:N)+SUMIF(FaturasT!I:I,'Perdas de Energia'!B15,FaturasT!O:ON))/1000,F14),0)</f>
        <v>0</v>
      </c>
      <c r="G15" s="853">
        <f>IF(C15=0,IF(IFERROR(VLOOKUP(B15,FaturasT!I:I,1,FALSE),0)=B15,(SUMIF(Consulta3[MesAno],'Perdas de Energia'!B15,Consulta3[Proinfa (kWh)])/1000),G14),0)</f>
        <v>0</v>
      </c>
      <c r="H15" s="853">
        <f>SUMIF(dados_MercadoBase[AnoMes],'Perdas de Energia'!B15,dados_MercadoBase[TE_E])</f>
        <v>15136.817999999997</v>
      </c>
      <c r="I15" s="1741">
        <f t="shared" si="0"/>
        <v>517.48010000000249</v>
      </c>
      <c r="J15" s="1742">
        <f t="shared" si="1"/>
        <v>3.305674241632095E-2</v>
      </c>
      <c r="L15" s="913">
        <f t="shared" si="2"/>
        <v>15654.2981</v>
      </c>
    </row>
    <row r="16" spans="2:12">
      <c r="B16" s="1740">
        <f t="shared" si="3"/>
        <v>44743</v>
      </c>
      <c r="C16" s="853">
        <f>IFERROR(VLOOKUP(B16,PerdasDitFinal[#All],2,FALSE),C15)</f>
        <v>16534.652300000002</v>
      </c>
      <c r="D16" s="853">
        <f>IFERROR(VLOOKUP(B16,PerdasDitFinal[#All],3,FALSE),D15)</f>
        <v>376.82780000000002</v>
      </c>
      <c r="E16" s="853">
        <f>IFERROR(VLOOKUP(B16,PerdasDitFinal[#All],4,FALSE),E15)</f>
        <v>0</v>
      </c>
      <c r="F16" s="853">
        <f>IF(C16=0,IF(IFERROR(VLOOKUP(B16,Consulta3[MesAno],1,FALSE),0)='Perdas de Energia'!B16,(SUMIF(FaturasT!I:I,'Perdas de Energia'!B16,FaturasT!N:N)+SUMIF(FaturasT!I:I,'Perdas de Energia'!B16,FaturasT!O:ON))/1000,F15),0)</f>
        <v>0</v>
      </c>
      <c r="G16" s="853">
        <f>IF(C16=0,IF(IFERROR(VLOOKUP(B16,FaturasT!I:I,1,FALSE),0)=B16,(SUMIF(Consulta3[MesAno],'Perdas de Energia'!B16,Consulta3[Proinfa (kWh)])/1000),G15),0)</f>
        <v>0</v>
      </c>
      <c r="H16" s="853">
        <f>SUMIF(dados_MercadoBase[AnoMes],'Perdas de Energia'!B16,dados_MercadoBase[TE_E])</f>
        <v>15397.915000000001</v>
      </c>
      <c r="I16" s="1741">
        <f t="shared" si="0"/>
        <v>759.90950000000157</v>
      </c>
      <c r="J16" s="1742">
        <f t="shared" si="1"/>
        <v>4.7030434078548226E-2</v>
      </c>
      <c r="L16" s="913">
        <f t="shared" si="2"/>
        <v>16157.824500000002</v>
      </c>
    </row>
    <row r="17" spans="2:12">
      <c r="B17" s="1740">
        <f>EDATE(B16,1)</f>
        <v>44774</v>
      </c>
      <c r="C17" s="853">
        <v>16905.509999999998</v>
      </c>
      <c r="D17" s="853">
        <v>405.89</v>
      </c>
      <c r="E17" s="853">
        <f>IFERROR(VLOOKUP(B17,PerdasDitFinal[#All],4,FALSE),E16)</f>
        <v>0</v>
      </c>
      <c r="F17" s="853">
        <f>IF(C17=0,IF(IFERROR(VLOOKUP(B17,Consulta3[MesAno],1,FALSE),0)='Perdas de Energia'!B17,(SUMIF(FaturasT!I:I,'Perdas de Energia'!B17,FaturasT!N:N)+SUMIF(FaturasT!I:I,'Perdas de Energia'!B17,FaturasT!O:ON))/1000,F16),0)</f>
        <v>0</v>
      </c>
      <c r="G17" s="853">
        <f>IF(C17=0,IF(IFERROR(VLOOKUP(B17,FaturasT!I:I,1,FALSE),0)=B17,(SUMIF(Consulta3[MesAno],'Perdas de Energia'!B17,Consulta3[Proinfa (kWh)])/1000),G16),0)</f>
        <v>0</v>
      </c>
      <c r="H17" s="853">
        <f>SUMIF(dados_MercadoBase[AnoMes],'Perdas de Energia'!B17,dados_MercadoBase[TE_E])</f>
        <v>15833.603999999998</v>
      </c>
      <c r="I17" s="1741">
        <f>C17-D17-E17+F17-H17+G17</f>
        <v>666.01600000000144</v>
      </c>
      <c r="J17" s="1742">
        <f t="shared" si="1"/>
        <v>4.0365535691125096E-2</v>
      </c>
      <c r="L17" s="913">
        <f t="shared" si="2"/>
        <v>16499.62</v>
      </c>
    </row>
    <row r="18" spans="2:12">
      <c r="B18" s="1723" t="s">
        <v>769</v>
      </c>
      <c r="C18" s="1119">
        <f t="shared" ref="C18:G18" si="4">SUM(C6:C17)</f>
        <v>164100.23260000002</v>
      </c>
      <c r="D18" s="1119">
        <f t="shared" si="4"/>
        <v>5008.0877</v>
      </c>
      <c r="E18" s="1119">
        <f t="shared" si="4"/>
        <v>0</v>
      </c>
      <c r="F18" s="1119">
        <f t="shared" si="4"/>
        <v>31314.9</v>
      </c>
      <c r="G18" s="1119">
        <f t="shared" si="4"/>
        <v>566.42200000000003</v>
      </c>
      <c r="H18" s="1119">
        <f>SUM(H6:H17)</f>
        <v>183015.82199999999</v>
      </c>
      <c r="I18" s="1119">
        <f>SUM(I6:I17)</f>
        <v>7957.6449000000139</v>
      </c>
      <c r="J18" s="1724">
        <f>I18/(C18-D18-E18+F18+G18)</f>
        <v>4.1668850805158704E-2</v>
      </c>
      <c r="L18" s="913">
        <f>SUM(L6:L17)</f>
        <v>190973.4669</v>
      </c>
    </row>
    <row r="22" spans="2:12">
      <c r="E22">
        <v>164.87852382433041</v>
      </c>
    </row>
    <row r="23" spans="2:12">
      <c r="D23" s="913">
        <f>D18*E22</f>
        <v>825726.10715878615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9" t="s">
        <v>635</v>
      </c>
      <c r="C1" s="1023">
        <f>Resultado!C1</f>
        <v>0</v>
      </c>
      <c r="D1" s="1230"/>
      <c r="E1" s="1231"/>
      <c r="F1" s="1232"/>
      <c r="G1" s="1133" t="s">
        <v>873</v>
      </c>
      <c r="H1" s="1233">
        <f ca="1">LnkTXTIRTEco</f>
        <v>0.15570000000000001</v>
      </c>
    </row>
    <row r="2" spans="2:27">
      <c r="B2" s="136" t="str">
        <f>CAPA!C9</f>
        <v>Cegero</v>
      </c>
      <c r="C2" s="70"/>
      <c r="D2" s="70"/>
      <c r="G2" s="120" t="s">
        <v>877</v>
      </c>
      <c r="H2" s="146">
        <f ca="1">LnkTXTIRTTotal</f>
        <v>0.16300000000000001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4" t="s">
        <v>1153</v>
      </c>
      <c r="C6" s="1234"/>
      <c r="D6" s="1234"/>
      <c r="E6" s="1234"/>
      <c r="F6" s="1234"/>
      <c r="G6" s="1234"/>
      <c r="H6" s="1234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5" t="s">
        <v>778</v>
      </c>
      <c r="C8" s="1235" t="s">
        <v>1154</v>
      </c>
      <c r="D8" s="1235" t="s">
        <v>1155</v>
      </c>
      <c r="E8" s="1235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6" t="s">
        <v>1157</v>
      </c>
      <c r="C10" s="1237">
        <f>SUMIFS($M$18:$M$63,$D$18:$D$63,"Fora Ponta")</f>
        <v>0</v>
      </c>
      <c r="D10" s="1237">
        <f>SUMIFS($J$18:$J$63,$D$18:$D$63,"Fora Ponta")</f>
        <v>0</v>
      </c>
      <c r="E10" s="1237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8" t="s">
        <v>1158</v>
      </c>
      <c r="G14" s="1239"/>
      <c r="H14" s="1239"/>
      <c r="I14" s="1239"/>
      <c r="J14" s="1239"/>
      <c r="K14" s="1239"/>
      <c r="L14" s="1239"/>
      <c r="M14" s="1239"/>
      <c r="N14" s="1239"/>
      <c r="O14" s="1239"/>
      <c r="P14" s="1239"/>
      <c r="Q14" s="1239"/>
      <c r="R14" s="1240"/>
    </row>
    <row r="15" spans="2:27">
      <c r="B15" s="1805" t="s">
        <v>1159</v>
      </c>
      <c r="C15" s="1806" t="s">
        <v>1160</v>
      </c>
      <c r="D15" s="1807" t="s">
        <v>78</v>
      </c>
      <c r="E15" s="1808" t="s">
        <v>1161</v>
      </c>
      <c r="F15" s="1808"/>
      <c r="G15" s="1808"/>
      <c r="H15" s="1809"/>
      <c r="I15" s="1810" t="s">
        <v>1162</v>
      </c>
      <c r="J15" s="1811"/>
      <c r="K15" s="1811"/>
      <c r="L15" s="1811"/>
      <c r="M15" s="1795" t="s">
        <v>1163</v>
      </c>
      <c r="N15" s="1796"/>
      <c r="O15" s="1796"/>
      <c r="P15" s="1796"/>
      <c r="Q15" s="1796"/>
      <c r="R15" s="1796"/>
      <c r="S15" s="1796"/>
      <c r="T15" s="1796"/>
      <c r="U15" s="1796"/>
      <c r="V15" s="1796"/>
      <c r="W15" s="1796"/>
      <c r="X15" s="1796"/>
      <c r="Y15" s="1796"/>
      <c r="Z15" s="65"/>
      <c r="AA15" s="382"/>
    </row>
    <row r="16" spans="2:27">
      <c r="B16" s="1805"/>
      <c r="C16" s="1806"/>
      <c r="D16" s="1807"/>
      <c r="E16" s="1799" t="s">
        <v>110</v>
      </c>
      <c r="F16" s="1800"/>
      <c r="G16" s="1800" t="s">
        <v>1164</v>
      </c>
      <c r="H16" s="1801"/>
      <c r="I16" s="1802" t="s">
        <v>110</v>
      </c>
      <c r="J16" s="1803"/>
      <c r="K16" s="1803" t="s">
        <v>1164</v>
      </c>
      <c r="L16" s="1804"/>
      <c r="M16" s="1797"/>
      <c r="N16" s="1798"/>
      <c r="O16" s="1798"/>
      <c r="P16" s="1798"/>
      <c r="Q16" s="1798"/>
      <c r="R16" s="1798"/>
      <c r="S16" s="1798"/>
      <c r="T16" s="1798"/>
      <c r="U16" s="1798"/>
      <c r="V16" s="1798"/>
      <c r="W16" s="1798"/>
      <c r="X16" s="1798"/>
      <c r="Y16" s="1798"/>
      <c r="Z16" s="65"/>
      <c r="AA16" s="382"/>
    </row>
    <row r="17" spans="2:27">
      <c r="B17" s="1805"/>
      <c r="C17" s="1806"/>
      <c r="D17" s="1807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41">
        <f>RBBD!B3</f>
        <v>0</v>
      </c>
      <c r="C18" s="1241">
        <f>RBBD!C3</f>
        <v>0</v>
      </c>
      <c r="D18" s="1241">
        <f>RBBD!D3</f>
        <v>0</v>
      </c>
      <c r="E18" s="1241">
        <f>RBBD!E3</f>
        <v>0</v>
      </c>
      <c r="F18" s="1241">
        <f>RBBD!F3</f>
        <v>0</v>
      </c>
      <c r="G18" s="1241">
        <f>RBBD!G3</f>
        <v>0</v>
      </c>
      <c r="H18" s="1241">
        <f>RBBD!H3</f>
        <v>0</v>
      </c>
      <c r="I18" s="1241">
        <f>E18*$M18</f>
        <v>0</v>
      </c>
      <c r="J18" s="1241">
        <f>F18*$M18</f>
        <v>0</v>
      </c>
      <c r="K18" s="1241">
        <f>G18*$M18</f>
        <v>0</v>
      </c>
      <c r="L18" s="1241">
        <f>H18*$M18</f>
        <v>0</v>
      </c>
      <c r="M18" s="1241">
        <f>SUM(N18:Y18)</f>
        <v>0</v>
      </c>
      <c r="N18" s="1241">
        <f>RBBD!I3</f>
        <v>0</v>
      </c>
      <c r="O18" s="1241">
        <f>RBBD!J3</f>
        <v>0</v>
      </c>
      <c r="P18" s="1241">
        <f>RBBD!K3</f>
        <v>0</v>
      </c>
      <c r="Q18" s="1241">
        <f>RBBD!L3</f>
        <v>0</v>
      </c>
      <c r="R18" s="1241">
        <f>RBBD!M3</f>
        <v>0</v>
      </c>
      <c r="S18" s="1241">
        <f>RBBD!N3</f>
        <v>0</v>
      </c>
      <c r="T18" s="1241">
        <f>RBBD!O3</f>
        <v>0</v>
      </c>
      <c r="U18" s="1241">
        <f>RBBD!P3</f>
        <v>0</v>
      </c>
      <c r="V18" s="1241">
        <f>RBBD!Q3</f>
        <v>0</v>
      </c>
      <c r="W18" s="1241">
        <f>RBBD!R3</f>
        <v>0</v>
      </c>
      <c r="X18" s="1241">
        <f>RBBD!S3</f>
        <v>0</v>
      </c>
      <c r="Y18" s="1241">
        <f>RBBD!T3</f>
        <v>0</v>
      </c>
      <c r="Z18" s="65"/>
      <c r="AA18" s="324">
        <f t="shared" ref="AA18:AA23" si="1">IF(B18=0,0,1)</f>
        <v>0</v>
      </c>
    </row>
    <row r="19" spans="2:27" hidden="1">
      <c r="B19" s="1241">
        <f>RBBD!B4</f>
        <v>0</v>
      </c>
      <c r="C19" s="1241">
        <f>RBBD!C4</f>
        <v>0</v>
      </c>
      <c r="D19" s="1241">
        <f>RBBD!D4</f>
        <v>0</v>
      </c>
      <c r="E19" s="1241">
        <f>RBBD!E4</f>
        <v>0</v>
      </c>
      <c r="F19" s="1241">
        <f>RBBD!F4</f>
        <v>0</v>
      </c>
      <c r="G19" s="1241">
        <f>RBBD!G4</f>
        <v>0</v>
      </c>
      <c r="H19" s="1241">
        <f>RBBD!H4</f>
        <v>0</v>
      </c>
      <c r="I19" s="1241">
        <f t="shared" ref="I19:L60" si="2">E19*$M19</f>
        <v>0</v>
      </c>
      <c r="J19" s="1241">
        <f t="shared" si="2"/>
        <v>0</v>
      </c>
      <c r="K19" s="1241">
        <f t="shared" si="2"/>
        <v>0</v>
      </c>
      <c r="L19" s="1241">
        <f t="shared" si="2"/>
        <v>0</v>
      </c>
      <c r="M19" s="1241">
        <f t="shared" ref="M19:M60" si="3">SUM(N19:Y19)</f>
        <v>0</v>
      </c>
      <c r="N19" s="1241">
        <f>RBBD!I4</f>
        <v>0</v>
      </c>
      <c r="O19" s="1241">
        <f>RBBD!J4</f>
        <v>0</v>
      </c>
      <c r="P19" s="1241">
        <f>RBBD!K4</f>
        <v>0</v>
      </c>
      <c r="Q19" s="1241">
        <f>RBBD!L4</f>
        <v>0</v>
      </c>
      <c r="R19" s="1241">
        <f>RBBD!M4</f>
        <v>0</v>
      </c>
      <c r="S19" s="1241">
        <f>RBBD!N4</f>
        <v>0</v>
      </c>
      <c r="T19" s="1241">
        <f>RBBD!O4</f>
        <v>0</v>
      </c>
      <c r="U19" s="1241">
        <f>RBBD!P4</f>
        <v>0</v>
      </c>
      <c r="V19" s="1241">
        <f>RBBD!Q4</f>
        <v>0</v>
      </c>
      <c r="W19" s="1241">
        <f>RBBD!R4</f>
        <v>0</v>
      </c>
      <c r="X19" s="1241">
        <f>RBBD!S4</f>
        <v>0</v>
      </c>
      <c r="Y19" s="1241">
        <f>RBBD!T4</f>
        <v>0</v>
      </c>
      <c r="Z19" s="65"/>
      <c r="AA19" s="324">
        <f t="shared" si="1"/>
        <v>0</v>
      </c>
    </row>
    <row r="20" spans="2:27" hidden="1">
      <c r="B20" s="1241">
        <f>RBBD!B5</f>
        <v>0</v>
      </c>
      <c r="C20" s="1241">
        <f>RBBD!C5</f>
        <v>0</v>
      </c>
      <c r="D20" s="1241">
        <f>RBBD!D5</f>
        <v>0</v>
      </c>
      <c r="E20" s="1241">
        <f>RBBD!E5</f>
        <v>0</v>
      </c>
      <c r="F20" s="1241">
        <f>RBBD!F5</f>
        <v>0</v>
      </c>
      <c r="G20" s="1241">
        <f>RBBD!G5</f>
        <v>0</v>
      </c>
      <c r="H20" s="1241">
        <f>RBBD!H5</f>
        <v>0</v>
      </c>
      <c r="I20" s="1241">
        <f t="shared" si="2"/>
        <v>0</v>
      </c>
      <c r="J20" s="1241">
        <f t="shared" si="2"/>
        <v>0</v>
      </c>
      <c r="K20" s="1241">
        <f t="shared" si="2"/>
        <v>0</v>
      </c>
      <c r="L20" s="1241">
        <f t="shared" si="2"/>
        <v>0</v>
      </c>
      <c r="M20" s="1241">
        <f t="shared" si="3"/>
        <v>0</v>
      </c>
      <c r="N20" s="1241">
        <f>RBBD!I5</f>
        <v>0</v>
      </c>
      <c r="O20" s="1241">
        <f>RBBD!J5</f>
        <v>0</v>
      </c>
      <c r="P20" s="1241">
        <f>RBBD!K5</f>
        <v>0</v>
      </c>
      <c r="Q20" s="1241">
        <f>RBBD!L5</f>
        <v>0</v>
      </c>
      <c r="R20" s="1241">
        <f>RBBD!M5</f>
        <v>0</v>
      </c>
      <c r="S20" s="1241">
        <f>RBBD!N5</f>
        <v>0</v>
      </c>
      <c r="T20" s="1241">
        <f>RBBD!O5</f>
        <v>0</v>
      </c>
      <c r="U20" s="1241">
        <f>RBBD!P5</f>
        <v>0</v>
      </c>
      <c r="V20" s="1241">
        <f>RBBD!Q5</f>
        <v>0</v>
      </c>
      <c r="W20" s="1241">
        <f>RBBD!R5</f>
        <v>0</v>
      </c>
      <c r="X20" s="1241">
        <f>RBBD!S5</f>
        <v>0</v>
      </c>
      <c r="Y20" s="1241">
        <f>RBBD!T5</f>
        <v>0</v>
      </c>
      <c r="Z20" s="65"/>
      <c r="AA20" s="324">
        <f t="shared" si="1"/>
        <v>0</v>
      </c>
    </row>
    <row r="21" spans="2:27" hidden="1">
      <c r="B21" s="1241">
        <f>RBBD!B6</f>
        <v>0</v>
      </c>
      <c r="C21" s="1241">
        <f>RBBD!C6</f>
        <v>0</v>
      </c>
      <c r="D21" s="1241">
        <f>RBBD!D6</f>
        <v>0</v>
      </c>
      <c r="E21" s="1241">
        <f>RBBD!E6</f>
        <v>0</v>
      </c>
      <c r="F21" s="1241">
        <f>RBBD!F6</f>
        <v>0</v>
      </c>
      <c r="G21" s="1241">
        <f>RBBD!G6</f>
        <v>0</v>
      </c>
      <c r="H21" s="1241">
        <f>RBBD!H6</f>
        <v>0</v>
      </c>
      <c r="I21" s="1241">
        <f t="shared" si="2"/>
        <v>0</v>
      </c>
      <c r="J21" s="1241">
        <f t="shared" si="2"/>
        <v>0</v>
      </c>
      <c r="K21" s="1241">
        <f t="shared" si="2"/>
        <v>0</v>
      </c>
      <c r="L21" s="1241">
        <f t="shared" si="2"/>
        <v>0</v>
      </c>
      <c r="M21" s="1241">
        <f t="shared" si="3"/>
        <v>0</v>
      </c>
      <c r="N21" s="1241">
        <f>RBBD!I6</f>
        <v>0</v>
      </c>
      <c r="O21" s="1241">
        <f>RBBD!J6</f>
        <v>0</v>
      </c>
      <c r="P21" s="1241">
        <f>RBBD!K6</f>
        <v>0</v>
      </c>
      <c r="Q21" s="1241">
        <f>RBBD!L6</f>
        <v>0</v>
      </c>
      <c r="R21" s="1241">
        <f>RBBD!M6</f>
        <v>0</v>
      </c>
      <c r="S21" s="1241">
        <f>RBBD!N6</f>
        <v>0</v>
      </c>
      <c r="T21" s="1241">
        <f>RBBD!O6</f>
        <v>0</v>
      </c>
      <c r="U21" s="1241">
        <f>RBBD!P6</f>
        <v>0</v>
      </c>
      <c r="V21" s="1241">
        <f>RBBD!Q6</f>
        <v>0</v>
      </c>
      <c r="W21" s="1241">
        <f>RBBD!R6</f>
        <v>0</v>
      </c>
      <c r="X21" s="1241">
        <f>RBBD!S6</f>
        <v>0</v>
      </c>
      <c r="Y21" s="1241">
        <f>RBBD!T6</f>
        <v>0</v>
      </c>
      <c r="Z21" s="65"/>
      <c r="AA21" s="324">
        <f t="shared" si="1"/>
        <v>0</v>
      </c>
    </row>
    <row r="22" spans="2:27" hidden="1">
      <c r="B22" s="1241">
        <f>RBBD!B7</f>
        <v>0</v>
      </c>
      <c r="C22" s="1241">
        <f>RBBD!C7</f>
        <v>0</v>
      </c>
      <c r="D22" s="1241">
        <f>RBBD!D7</f>
        <v>0</v>
      </c>
      <c r="E22" s="1241">
        <f>RBBD!E7</f>
        <v>0</v>
      </c>
      <c r="F22" s="1241">
        <f>RBBD!F7</f>
        <v>0</v>
      </c>
      <c r="G22" s="1241">
        <f>RBBD!G7</f>
        <v>0</v>
      </c>
      <c r="H22" s="1241">
        <f>RBBD!H7</f>
        <v>0</v>
      </c>
      <c r="I22" s="1241">
        <f t="shared" si="2"/>
        <v>0</v>
      </c>
      <c r="J22" s="1241">
        <f t="shared" si="2"/>
        <v>0</v>
      </c>
      <c r="K22" s="1241">
        <f t="shared" si="2"/>
        <v>0</v>
      </c>
      <c r="L22" s="1241">
        <f t="shared" si="2"/>
        <v>0</v>
      </c>
      <c r="M22" s="1241">
        <f t="shared" si="3"/>
        <v>0</v>
      </c>
      <c r="N22" s="1241">
        <f>RBBD!I7</f>
        <v>0</v>
      </c>
      <c r="O22" s="1241">
        <f>RBBD!J7</f>
        <v>0</v>
      </c>
      <c r="P22" s="1241">
        <f>RBBD!K7</f>
        <v>0</v>
      </c>
      <c r="Q22" s="1241">
        <f>RBBD!L7</f>
        <v>0</v>
      </c>
      <c r="R22" s="1241">
        <f>RBBD!M7</f>
        <v>0</v>
      </c>
      <c r="S22" s="1241">
        <f>RBBD!N7</f>
        <v>0</v>
      </c>
      <c r="T22" s="1241">
        <f>RBBD!O7</f>
        <v>0</v>
      </c>
      <c r="U22" s="1241">
        <f>RBBD!P7</f>
        <v>0</v>
      </c>
      <c r="V22" s="1241">
        <f>RBBD!Q7</f>
        <v>0</v>
      </c>
      <c r="W22" s="1241">
        <f>RBBD!R7</f>
        <v>0</v>
      </c>
      <c r="X22" s="1241">
        <f>RBBD!S7</f>
        <v>0</v>
      </c>
      <c r="Y22" s="1241">
        <f>RBBD!T7</f>
        <v>0</v>
      </c>
      <c r="Z22" s="65"/>
      <c r="AA22" s="324">
        <f t="shared" si="1"/>
        <v>0</v>
      </c>
    </row>
    <row r="23" spans="2:27" hidden="1">
      <c r="B23" s="1241">
        <f>RBBD!B8</f>
        <v>0</v>
      </c>
      <c r="C23" s="1241">
        <f>RBBD!C8</f>
        <v>0</v>
      </c>
      <c r="D23" s="1241">
        <f>RBBD!D8</f>
        <v>0</v>
      </c>
      <c r="E23" s="1241">
        <f>RBBD!E8</f>
        <v>0</v>
      </c>
      <c r="F23" s="1241">
        <f>RBBD!F8</f>
        <v>0</v>
      </c>
      <c r="G23" s="1241">
        <f>RBBD!G8</f>
        <v>0</v>
      </c>
      <c r="H23" s="1241">
        <f>RBBD!H8</f>
        <v>0</v>
      </c>
      <c r="I23" s="1241">
        <f t="shared" si="2"/>
        <v>0</v>
      </c>
      <c r="J23" s="1241">
        <f t="shared" si="2"/>
        <v>0</v>
      </c>
      <c r="K23" s="1241">
        <f t="shared" si="2"/>
        <v>0</v>
      </c>
      <c r="L23" s="1241">
        <f t="shared" si="2"/>
        <v>0</v>
      </c>
      <c r="M23" s="1241">
        <f t="shared" si="3"/>
        <v>0</v>
      </c>
      <c r="N23" s="1241">
        <f>RBBD!I8</f>
        <v>0</v>
      </c>
      <c r="O23" s="1241">
        <f>RBBD!J8</f>
        <v>0</v>
      </c>
      <c r="P23" s="1241">
        <f>RBBD!K8</f>
        <v>0</v>
      </c>
      <c r="Q23" s="1241">
        <f>RBBD!L8</f>
        <v>0</v>
      </c>
      <c r="R23" s="1241">
        <f>RBBD!M8</f>
        <v>0</v>
      </c>
      <c r="S23" s="1241">
        <f>RBBD!N8</f>
        <v>0</v>
      </c>
      <c r="T23" s="1241">
        <f>RBBD!O8</f>
        <v>0</v>
      </c>
      <c r="U23" s="1241">
        <f>RBBD!P8</f>
        <v>0</v>
      </c>
      <c r="V23" s="1241">
        <f>RBBD!Q8</f>
        <v>0</v>
      </c>
      <c r="W23" s="1241">
        <f>RBBD!R8</f>
        <v>0</v>
      </c>
      <c r="X23" s="1241">
        <f>RBBD!S8</f>
        <v>0</v>
      </c>
      <c r="Y23" s="1241">
        <f>RBBD!T8</f>
        <v>0</v>
      </c>
      <c r="Z23" s="65"/>
      <c r="AA23" s="324">
        <f t="shared" si="1"/>
        <v>0</v>
      </c>
    </row>
    <row r="24" spans="2:27" hidden="1">
      <c r="B24" s="1241">
        <f>RBBD!B9</f>
        <v>0</v>
      </c>
      <c r="C24" s="1241">
        <f>RBBD!C9</f>
        <v>0</v>
      </c>
      <c r="D24" s="1241">
        <f>RBBD!D9</f>
        <v>0</v>
      </c>
      <c r="E24" s="1241">
        <f>RBBD!E9</f>
        <v>0</v>
      </c>
      <c r="F24" s="1241">
        <f>RBBD!F9</f>
        <v>0</v>
      </c>
      <c r="G24" s="1241">
        <f>RBBD!G9</f>
        <v>0</v>
      </c>
      <c r="H24" s="1241">
        <f>RBBD!H9</f>
        <v>0</v>
      </c>
      <c r="I24" s="1241">
        <f t="shared" si="2"/>
        <v>0</v>
      </c>
      <c r="J24" s="1241">
        <f t="shared" si="2"/>
        <v>0</v>
      </c>
      <c r="K24" s="1241">
        <f t="shared" si="2"/>
        <v>0</v>
      </c>
      <c r="L24" s="1241">
        <f t="shared" si="2"/>
        <v>0</v>
      </c>
      <c r="M24" s="1241">
        <f t="shared" si="3"/>
        <v>0</v>
      </c>
      <c r="N24" s="1241">
        <f>RBBD!I9</f>
        <v>0</v>
      </c>
      <c r="O24" s="1241">
        <f>RBBD!J9</f>
        <v>0</v>
      </c>
      <c r="P24" s="1241">
        <f>RBBD!K9</f>
        <v>0</v>
      </c>
      <c r="Q24" s="1241">
        <f>RBBD!L9</f>
        <v>0</v>
      </c>
      <c r="R24" s="1241">
        <f>RBBD!M9</f>
        <v>0</v>
      </c>
      <c r="S24" s="1241">
        <f>RBBD!N9</f>
        <v>0</v>
      </c>
      <c r="T24" s="1241">
        <f>RBBD!O9</f>
        <v>0</v>
      </c>
      <c r="U24" s="1241">
        <f>RBBD!P9</f>
        <v>0</v>
      </c>
      <c r="V24" s="1241">
        <f>RBBD!Q9</f>
        <v>0</v>
      </c>
      <c r="W24" s="1241">
        <f>RBBD!R9</f>
        <v>0</v>
      </c>
      <c r="X24" s="1241">
        <f>RBBD!S9</f>
        <v>0</v>
      </c>
      <c r="Y24" s="1241">
        <f>RBBD!T9</f>
        <v>0</v>
      </c>
      <c r="Z24" s="65"/>
      <c r="AA24" s="324">
        <f t="shared" ref="AA24:AA38" si="4">IF(B24=0,0,1)</f>
        <v>0</v>
      </c>
    </row>
    <row r="25" spans="2:27" hidden="1">
      <c r="B25" s="1241">
        <f>RBBD!B10</f>
        <v>0</v>
      </c>
      <c r="C25" s="1241">
        <f>RBBD!C10</f>
        <v>0</v>
      </c>
      <c r="D25" s="1241">
        <f>RBBD!D10</f>
        <v>0</v>
      </c>
      <c r="E25" s="1241">
        <f>RBBD!E10</f>
        <v>0</v>
      </c>
      <c r="F25" s="1241">
        <f>RBBD!F10</f>
        <v>0</v>
      </c>
      <c r="G25" s="1241">
        <f>RBBD!G10</f>
        <v>0</v>
      </c>
      <c r="H25" s="1241">
        <f>RBBD!H10</f>
        <v>0</v>
      </c>
      <c r="I25" s="1241">
        <f t="shared" si="2"/>
        <v>0</v>
      </c>
      <c r="J25" s="1241">
        <f t="shared" si="2"/>
        <v>0</v>
      </c>
      <c r="K25" s="1241">
        <f t="shared" si="2"/>
        <v>0</v>
      </c>
      <c r="L25" s="1241">
        <f t="shared" si="2"/>
        <v>0</v>
      </c>
      <c r="M25" s="1241">
        <f t="shared" si="3"/>
        <v>0</v>
      </c>
      <c r="N25" s="1241">
        <f>RBBD!I10</f>
        <v>0</v>
      </c>
      <c r="O25" s="1241">
        <f>RBBD!J10</f>
        <v>0</v>
      </c>
      <c r="P25" s="1241">
        <f>RBBD!K10</f>
        <v>0</v>
      </c>
      <c r="Q25" s="1241">
        <f>RBBD!L10</f>
        <v>0</v>
      </c>
      <c r="R25" s="1241">
        <f>RBBD!M10</f>
        <v>0</v>
      </c>
      <c r="S25" s="1241">
        <f>RBBD!N10</f>
        <v>0</v>
      </c>
      <c r="T25" s="1241">
        <f>RBBD!O10</f>
        <v>0</v>
      </c>
      <c r="U25" s="1241">
        <f>RBBD!P10</f>
        <v>0</v>
      </c>
      <c r="V25" s="1241">
        <f>RBBD!Q10</f>
        <v>0</v>
      </c>
      <c r="W25" s="1241">
        <f>RBBD!R10</f>
        <v>0</v>
      </c>
      <c r="X25" s="1241">
        <f>RBBD!S10</f>
        <v>0</v>
      </c>
      <c r="Y25" s="1241">
        <f>RBBD!T10</f>
        <v>0</v>
      </c>
      <c r="Z25" s="65"/>
      <c r="AA25" s="324">
        <f t="shared" si="4"/>
        <v>0</v>
      </c>
    </row>
    <row r="26" spans="2:27" hidden="1">
      <c r="B26" s="1241">
        <f>RBBD!B11</f>
        <v>0</v>
      </c>
      <c r="C26" s="1241">
        <f>RBBD!C11</f>
        <v>0</v>
      </c>
      <c r="D26" s="1241">
        <f>RBBD!D11</f>
        <v>0</v>
      </c>
      <c r="E26" s="1241">
        <f>RBBD!E11</f>
        <v>0</v>
      </c>
      <c r="F26" s="1241">
        <f>RBBD!F11</f>
        <v>0</v>
      </c>
      <c r="G26" s="1241">
        <f>RBBD!G11</f>
        <v>0</v>
      </c>
      <c r="H26" s="1241">
        <f>RBBD!H11</f>
        <v>0</v>
      </c>
      <c r="I26" s="1241">
        <f t="shared" si="2"/>
        <v>0</v>
      </c>
      <c r="J26" s="1241">
        <f t="shared" si="2"/>
        <v>0</v>
      </c>
      <c r="K26" s="1241">
        <f t="shared" si="2"/>
        <v>0</v>
      </c>
      <c r="L26" s="1241">
        <f t="shared" si="2"/>
        <v>0</v>
      </c>
      <c r="M26" s="1241">
        <f t="shared" si="3"/>
        <v>0</v>
      </c>
      <c r="N26" s="1241">
        <f>RBBD!I11</f>
        <v>0</v>
      </c>
      <c r="O26" s="1241">
        <f>RBBD!J11</f>
        <v>0</v>
      </c>
      <c r="P26" s="1241">
        <f>RBBD!K11</f>
        <v>0</v>
      </c>
      <c r="Q26" s="1241">
        <f>RBBD!L11</f>
        <v>0</v>
      </c>
      <c r="R26" s="1241">
        <f>RBBD!M11</f>
        <v>0</v>
      </c>
      <c r="S26" s="1241">
        <f>RBBD!N11</f>
        <v>0</v>
      </c>
      <c r="T26" s="1241">
        <f>RBBD!O11</f>
        <v>0</v>
      </c>
      <c r="U26" s="1241">
        <f>RBBD!P11</f>
        <v>0</v>
      </c>
      <c r="V26" s="1241">
        <f>RBBD!Q11</f>
        <v>0</v>
      </c>
      <c r="W26" s="1241">
        <f>RBBD!R11</f>
        <v>0</v>
      </c>
      <c r="X26" s="1241">
        <f>RBBD!S11</f>
        <v>0</v>
      </c>
      <c r="Y26" s="1241">
        <f>RBBD!T11</f>
        <v>0</v>
      </c>
      <c r="Z26" s="65"/>
      <c r="AA26" s="324">
        <f t="shared" si="4"/>
        <v>0</v>
      </c>
    </row>
    <row r="27" spans="2:27" hidden="1">
      <c r="B27" s="1241">
        <f>RBBD!B12</f>
        <v>0</v>
      </c>
      <c r="C27" s="1241">
        <f>RBBD!C12</f>
        <v>0</v>
      </c>
      <c r="D27" s="1241">
        <f>RBBD!D12</f>
        <v>0</v>
      </c>
      <c r="E27" s="1241">
        <f>RBBD!E12</f>
        <v>0</v>
      </c>
      <c r="F27" s="1241">
        <f>RBBD!F12</f>
        <v>0</v>
      </c>
      <c r="G27" s="1241">
        <f>RBBD!G12</f>
        <v>0</v>
      </c>
      <c r="H27" s="1241">
        <f>RBBD!H12</f>
        <v>0</v>
      </c>
      <c r="I27" s="1241">
        <f t="shared" si="2"/>
        <v>0</v>
      </c>
      <c r="J27" s="1241">
        <f t="shared" si="2"/>
        <v>0</v>
      </c>
      <c r="K27" s="1241">
        <f t="shared" si="2"/>
        <v>0</v>
      </c>
      <c r="L27" s="1241">
        <f t="shared" si="2"/>
        <v>0</v>
      </c>
      <c r="M27" s="1241">
        <f t="shared" si="3"/>
        <v>0</v>
      </c>
      <c r="N27" s="1241">
        <f>RBBD!I12</f>
        <v>0</v>
      </c>
      <c r="O27" s="1241">
        <f>RBBD!J12</f>
        <v>0</v>
      </c>
      <c r="P27" s="1241">
        <f>RBBD!K12</f>
        <v>0</v>
      </c>
      <c r="Q27" s="1241">
        <f>RBBD!L12</f>
        <v>0</v>
      </c>
      <c r="R27" s="1241">
        <f>RBBD!M12</f>
        <v>0</v>
      </c>
      <c r="S27" s="1241">
        <f>RBBD!N12</f>
        <v>0</v>
      </c>
      <c r="T27" s="1241">
        <f>RBBD!O12</f>
        <v>0</v>
      </c>
      <c r="U27" s="1241">
        <f>RBBD!P12</f>
        <v>0</v>
      </c>
      <c r="V27" s="1241">
        <f>RBBD!Q12</f>
        <v>0</v>
      </c>
      <c r="W27" s="1241">
        <f>RBBD!R12</f>
        <v>0</v>
      </c>
      <c r="X27" s="1241">
        <f>RBBD!S12</f>
        <v>0</v>
      </c>
      <c r="Y27" s="1241">
        <f>RBBD!T12</f>
        <v>0</v>
      </c>
      <c r="Z27" s="65"/>
      <c r="AA27" s="324">
        <f t="shared" si="4"/>
        <v>0</v>
      </c>
    </row>
    <row r="28" spans="2:27" hidden="1">
      <c r="B28" s="1241">
        <f>RBBD!B13</f>
        <v>0</v>
      </c>
      <c r="C28" s="1241">
        <f>RBBD!C13</f>
        <v>0</v>
      </c>
      <c r="D28" s="1241">
        <f>RBBD!D13</f>
        <v>0</v>
      </c>
      <c r="E28" s="1241">
        <f>RBBD!G13</f>
        <v>0</v>
      </c>
      <c r="F28" s="1241">
        <f>RBBD!H13</f>
        <v>0</v>
      </c>
      <c r="G28" s="1241">
        <f>RBBD!E13</f>
        <v>0</v>
      </c>
      <c r="H28" s="1241">
        <f>RBBD!F13</f>
        <v>0</v>
      </c>
      <c r="I28" s="1241">
        <f t="shared" si="2"/>
        <v>0</v>
      </c>
      <c r="J28" s="1241">
        <f t="shared" si="2"/>
        <v>0</v>
      </c>
      <c r="K28" s="1241">
        <f t="shared" si="2"/>
        <v>0</v>
      </c>
      <c r="L28" s="1241">
        <f t="shared" si="2"/>
        <v>0</v>
      </c>
      <c r="M28" s="1241">
        <f t="shared" si="3"/>
        <v>0</v>
      </c>
      <c r="N28" s="1241">
        <f>RBBD!I13</f>
        <v>0</v>
      </c>
      <c r="O28" s="1241">
        <f>RBBD!J13</f>
        <v>0</v>
      </c>
      <c r="P28" s="1241">
        <f>RBBD!K13</f>
        <v>0</v>
      </c>
      <c r="Q28" s="1241">
        <f>RBBD!L13</f>
        <v>0</v>
      </c>
      <c r="R28" s="1241">
        <f>RBBD!M13</f>
        <v>0</v>
      </c>
      <c r="S28" s="1241">
        <f>RBBD!N13</f>
        <v>0</v>
      </c>
      <c r="T28" s="1241">
        <f>RBBD!O13</f>
        <v>0</v>
      </c>
      <c r="U28" s="1241">
        <f>RBBD!P13</f>
        <v>0</v>
      </c>
      <c r="V28" s="1241">
        <f>RBBD!Q13</f>
        <v>0</v>
      </c>
      <c r="W28" s="1241">
        <f>RBBD!R13</f>
        <v>0</v>
      </c>
      <c r="X28" s="1241">
        <f>RBBD!S13</f>
        <v>0</v>
      </c>
      <c r="Y28" s="1241">
        <f>RBBD!T13</f>
        <v>0</v>
      </c>
      <c r="Z28" s="65"/>
      <c r="AA28" s="324">
        <f t="shared" si="4"/>
        <v>0</v>
      </c>
    </row>
    <row r="29" spans="2:27" hidden="1">
      <c r="B29" s="1241">
        <f>RBBD!B14</f>
        <v>0</v>
      </c>
      <c r="C29" s="1241">
        <f>RBBD!C14</f>
        <v>0</v>
      </c>
      <c r="D29" s="1241">
        <f>RBBD!D14</f>
        <v>0</v>
      </c>
      <c r="E29" s="1241">
        <f>RBBD!G14</f>
        <v>0</v>
      </c>
      <c r="F29" s="1241">
        <f>RBBD!H14</f>
        <v>0</v>
      </c>
      <c r="G29" s="1241">
        <f>RBBD!E14</f>
        <v>0</v>
      </c>
      <c r="H29" s="1241">
        <f>RBBD!F14</f>
        <v>0</v>
      </c>
      <c r="I29" s="1241">
        <f t="shared" si="2"/>
        <v>0</v>
      </c>
      <c r="J29" s="1241">
        <f t="shared" si="2"/>
        <v>0</v>
      </c>
      <c r="K29" s="1241">
        <f t="shared" si="2"/>
        <v>0</v>
      </c>
      <c r="L29" s="1241">
        <f t="shared" si="2"/>
        <v>0</v>
      </c>
      <c r="M29" s="1241">
        <f t="shared" si="3"/>
        <v>0</v>
      </c>
      <c r="N29" s="1241">
        <f>RBBD!I14</f>
        <v>0</v>
      </c>
      <c r="O29" s="1241">
        <f>RBBD!J14</f>
        <v>0</v>
      </c>
      <c r="P29" s="1241">
        <f>RBBD!K14</f>
        <v>0</v>
      </c>
      <c r="Q29" s="1241">
        <f>RBBD!L14</f>
        <v>0</v>
      </c>
      <c r="R29" s="1241">
        <f>RBBD!M14</f>
        <v>0</v>
      </c>
      <c r="S29" s="1241">
        <f>RBBD!N14</f>
        <v>0</v>
      </c>
      <c r="T29" s="1241">
        <f>RBBD!O14</f>
        <v>0</v>
      </c>
      <c r="U29" s="1241">
        <f>RBBD!P14</f>
        <v>0</v>
      </c>
      <c r="V29" s="1241">
        <f>RBBD!Q14</f>
        <v>0</v>
      </c>
      <c r="W29" s="1241">
        <f>RBBD!R14</f>
        <v>0</v>
      </c>
      <c r="X29" s="1241">
        <f>RBBD!S14</f>
        <v>0</v>
      </c>
      <c r="Y29" s="1241">
        <f>RBBD!T14</f>
        <v>0</v>
      </c>
      <c r="Z29" s="65"/>
      <c r="AA29" s="324">
        <f t="shared" si="4"/>
        <v>0</v>
      </c>
    </row>
    <row r="30" spans="2:27" hidden="1">
      <c r="B30" s="1241">
        <f>RBBD!B15</f>
        <v>0</v>
      </c>
      <c r="C30" s="1241">
        <f>RBBD!C15</f>
        <v>0</v>
      </c>
      <c r="D30" s="1241">
        <f>RBBD!D15</f>
        <v>0</v>
      </c>
      <c r="E30" s="1241">
        <f>RBBD!G15</f>
        <v>0</v>
      </c>
      <c r="F30" s="1241">
        <f>RBBD!H15</f>
        <v>0</v>
      </c>
      <c r="G30" s="1241">
        <f>RBBD!E15</f>
        <v>0</v>
      </c>
      <c r="H30" s="1241">
        <f>RBBD!F15</f>
        <v>0</v>
      </c>
      <c r="I30" s="1241">
        <f t="shared" si="2"/>
        <v>0</v>
      </c>
      <c r="J30" s="1241">
        <f t="shared" si="2"/>
        <v>0</v>
      </c>
      <c r="K30" s="1241">
        <f t="shared" si="2"/>
        <v>0</v>
      </c>
      <c r="L30" s="1241">
        <f t="shared" si="2"/>
        <v>0</v>
      </c>
      <c r="M30" s="1241">
        <f t="shared" si="3"/>
        <v>0</v>
      </c>
      <c r="N30" s="1241">
        <f>RBBD!I15</f>
        <v>0</v>
      </c>
      <c r="O30" s="1241">
        <f>RBBD!J15</f>
        <v>0</v>
      </c>
      <c r="P30" s="1241">
        <f>RBBD!K15</f>
        <v>0</v>
      </c>
      <c r="Q30" s="1241">
        <f>RBBD!L15</f>
        <v>0</v>
      </c>
      <c r="R30" s="1241">
        <f>RBBD!M15</f>
        <v>0</v>
      </c>
      <c r="S30" s="1241">
        <f>RBBD!N15</f>
        <v>0</v>
      </c>
      <c r="T30" s="1241">
        <f>RBBD!O15</f>
        <v>0</v>
      </c>
      <c r="U30" s="1241">
        <f>RBBD!P15</f>
        <v>0</v>
      </c>
      <c r="V30" s="1241">
        <f>RBBD!Q15</f>
        <v>0</v>
      </c>
      <c r="W30" s="1241">
        <f>RBBD!R15</f>
        <v>0</v>
      </c>
      <c r="X30" s="1241">
        <f>RBBD!S15</f>
        <v>0</v>
      </c>
      <c r="Y30" s="1241">
        <f>RBBD!T15</f>
        <v>0</v>
      </c>
      <c r="Z30" s="65"/>
      <c r="AA30" s="324">
        <f t="shared" si="4"/>
        <v>0</v>
      </c>
    </row>
    <row r="31" spans="2:27" hidden="1">
      <c r="B31" s="1241">
        <f>RBBD!B16</f>
        <v>0</v>
      </c>
      <c r="C31" s="1241">
        <f>RBBD!C16</f>
        <v>0</v>
      </c>
      <c r="D31" s="1241">
        <f>RBBD!D16</f>
        <v>0</v>
      </c>
      <c r="E31" s="1241">
        <f>RBBD!G16</f>
        <v>0</v>
      </c>
      <c r="F31" s="1241">
        <f>RBBD!H16</f>
        <v>0</v>
      </c>
      <c r="G31" s="1241">
        <f>RBBD!E16</f>
        <v>0</v>
      </c>
      <c r="H31" s="1241">
        <f>RBBD!F16</f>
        <v>0</v>
      </c>
      <c r="I31" s="1241">
        <f t="shared" si="2"/>
        <v>0</v>
      </c>
      <c r="J31" s="1241">
        <f t="shared" si="2"/>
        <v>0</v>
      </c>
      <c r="K31" s="1241">
        <f t="shared" si="2"/>
        <v>0</v>
      </c>
      <c r="L31" s="1241">
        <f t="shared" si="2"/>
        <v>0</v>
      </c>
      <c r="M31" s="1241">
        <f t="shared" si="3"/>
        <v>0</v>
      </c>
      <c r="N31" s="1241">
        <f>RBBD!I16</f>
        <v>0</v>
      </c>
      <c r="O31" s="1241">
        <f>RBBD!J16</f>
        <v>0</v>
      </c>
      <c r="P31" s="1241">
        <f>RBBD!K16</f>
        <v>0</v>
      </c>
      <c r="Q31" s="1241">
        <f>RBBD!L16</f>
        <v>0</v>
      </c>
      <c r="R31" s="1241">
        <f>RBBD!M16</f>
        <v>0</v>
      </c>
      <c r="S31" s="1241">
        <f>RBBD!N16</f>
        <v>0</v>
      </c>
      <c r="T31" s="1241">
        <f>RBBD!O16</f>
        <v>0</v>
      </c>
      <c r="U31" s="1241">
        <f>RBBD!P16</f>
        <v>0</v>
      </c>
      <c r="V31" s="1241">
        <f>RBBD!Q16</f>
        <v>0</v>
      </c>
      <c r="W31" s="1241">
        <f>RBBD!R16</f>
        <v>0</v>
      </c>
      <c r="X31" s="1241">
        <f>RBBD!S16</f>
        <v>0</v>
      </c>
      <c r="Y31" s="1241">
        <f>RBBD!T16</f>
        <v>0</v>
      </c>
      <c r="Z31" s="65"/>
      <c r="AA31" s="324">
        <f t="shared" si="4"/>
        <v>0</v>
      </c>
    </row>
    <row r="32" spans="2:27" hidden="1">
      <c r="B32" s="1241">
        <f>RBBD!B17</f>
        <v>0</v>
      </c>
      <c r="C32" s="1241">
        <f>RBBD!C17</f>
        <v>0</v>
      </c>
      <c r="D32" s="1241">
        <f>RBBD!D17</f>
        <v>0</v>
      </c>
      <c r="E32" s="1241">
        <f>RBBD!G17</f>
        <v>0</v>
      </c>
      <c r="F32" s="1241">
        <f>RBBD!H17</f>
        <v>0</v>
      </c>
      <c r="G32" s="1241">
        <f>RBBD!E17</f>
        <v>0</v>
      </c>
      <c r="H32" s="1241">
        <f>RBBD!F17</f>
        <v>0</v>
      </c>
      <c r="I32" s="1241">
        <f t="shared" si="2"/>
        <v>0</v>
      </c>
      <c r="J32" s="1241">
        <f t="shared" si="2"/>
        <v>0</v>
      </c>
      <c r="K32" s="1241">
        <f t="shared" si="2"/>
        <v>0</v>
      </c>
      <c r="L32" s="1241">
        <f t="shared" si="2"/>
        <v>0</v>
      </c>
      <c r="M32" s="1241">
        <f t="shared" si="3"/>
        <v>0</v>
      </c>
      <c r="N32" s="1241">
        <f>RBBD!I17</f>
        <v>0</v>
      </c>
      <c r="O32" s="1241">
        <f>RBBD!J17</f>
        <v>0</v>
      </c>
      <c r="P32" s="1241">
        <f>RBBD!K17</f>
        <v>0</v>
      </c>
      <c r="Q32" s="1241">
        <f>RBBD!L17</f>
        <v>0</v>
      </c>
      <c r="R32" s="1241">
        <f>RBBD!M17</f>
        <v>0</v>
      </c>
      <c r="S32" s="1241">
        <f>RBBD!N17</f>
        <v>0</v>
      </c>
      <c r="T32" s="1241">
        <f>RBBD!O17</f>
        <v>0</v>
      </c>
      <c r="U32" s="1241">
        <f>RBBD!P17</f>
        <v>0</v>
      </c>
      <c r="V32" s="1241">
        <f>RBBD!Q17</f>
        <v>0</v>
      </c>
      <c r="W32" s="1241">
        <f>RBBD!R17</f>
        <v>0</v>
      </c>
      <c r="X32" s="1241">
        <f>RBBD!S17</f>
        <v>0</v>
      </c>
      <c r="Y32" s="1241">
        <f>RBBD!T17</f>
        <v>0</v>
      </c>
      <c r="Z32" s="65"/>
      <c r="AA32" s="324">
        <f t="shared" si="4"/>
        <v>0</v>
      </c>
    </row>
    <row r="33" spans="2:27" hidden="1">
      <c r="B33" s="1241">
        <f>RBBD!B18</f>
        <v>0</v>
      </c>
      <c r="C33" s="1241">
        <f>RBBD!C18</f>
        <v>0</v>
      </c>
      <c r="D33" s="1241">
        <f>RBBD!D18</f>
        <v>0</v>
      </c>
      <c r="E33" s="1241">
        <f>RBBD!G18</f>
        <v>0</v>
      </c>
      <c r="F33" s="1241">
        <f>RBBD!H18</f>
        <v>0</v>
      </c>
      <c r="G33" s="1241">
        <f>RBBD!E18</f>
        <v>0</v>
      </c>
      <c r="H33" s="1241">
        <f>RBBD!F18</f>
        <v>0</v>
      </c>
      <c r="I33" s="1241">
        <f t="shared" si="2"/>
        <v>0</v>
      </c>
      <c r="J33" s="1241">
        <f t="shared" si="2"/>
        <v>0</v>
      </c>
      <c r="K33" s="1241">
        <f t="shared" si="2"/>
        <v>0</v>
      </c>
      <c r="L33" s="1241">
        <f t="shared" si="2"/>
        <v>0</v>
      </c>
      <c r="M33" s="1241">
        <f t="shared" si="3"/>
        <v>0</v>
      </c>
      <c r="N33" s="1241">
        <f>RBBD!I18</f>
        <v>0</v>
      </c>
      <c r="O33" s="1241">
        <f>RBBD!J18</f>
        <v>0</v>
      </c>
      <c r="P33" s="1241">
        <f>RBBD!K18</f>
        <v>0</v>
      </c>
      <c r="Q33" s="1241">
        <f>RBBD!L18</f>
        <v>0</v>
      </c>
      <c r="R33" s="1241">
        <f>RBBD!M18</f>
        <v>0</v>
      </c>
      <c r="S33" s="1241">
        <f>RBBD!N18</f>
        <v>0</v>
      </c>
      <c r="T33" s="1241">
        <f>RBBD!O18</f>
        <v>0</v>
      </c>
      <c r="U33" s="1241">
        <f>RBBD!P18</f>
        <v>0</v>
      </c>
      <c r="V33" s="1241">
        <f>RBBD!Q18</f>
        <v>0</v>
      </c>
      <c r="W33" s="1241">
        <f>RBBD!R18</f>
        <v>0</v>
      </c>
      <c r="X33" s="1241">
        <f>RBBD!S18</f>
        <v>0</v>
      </c>
      <c r="Y33" s="1241">
        <f>RBBD!T18</f>
        <v>0</v>
      </c>
      <c r="Z33" s="65"/>
      <c r="AA33" s="324">
        <f t="shared" si="4"/>
        <v>0</v>
      </c>
    </row>
    <row r="34" spans="2:27" hidden="1">
      <c r="B34" s="1241">
        <f>RBBD!B19</f>
        <v>0</v>
      </c>
      <c r="C34" s="1241">
        <f>RBBD!C19</f>
        <v>0</v>
      </c>
      <c r="D34" s="1241">
        <f>RBBD!D19</f>
        <v>0</v>
      </c>
      <c r="E34" s="1241">
        <f>RBBD!G19</f>
        <v>0</v>
      </c>
      <c r="F34" s="1241">
        <f>RBBD!H19</f>
        <v>0</v>
      </c>
      <c r="G34" s="1241">
        <f>RBBD!E19</f>
        <v>0</v>
      </c>
      <c r="H34" s="1241">
        <f>RBBD!F19</f>
        <v>0</v>
      </c>
      <c r="I34" s="1241">
        <f t="shared" si="2"/>
        <v>0</v>
      </c>
      <c r="J34" s="1241">
        <f t="shared" si="2"/>
        <v>0</v>
      </c>
      <c r="K34" s="1241">
        <f t="shared" si="2"/>
        <v>0</v>
      </c>
      <c r="L34" s="1241">
        <f t="shared" si="2"/>
        <v>0</v>
      </c>
      <c r="M34" s="1241">
        <f t="shared" si="3"/>
        <v>0</v>
      </c>
      <c r="N34" s="1241">
        <f>RBBD!I19</f>
        <v>0</v>
      </c>
      <c r="O34" s="1241">
        <f>RBBD!J19</f>
        <v>0</v>
      </c>
      <c r="P34" s="1241">
        <f>RBBD!K19</f>
        <v>0</v>
      </c>
      <c r="Q34" s="1241">
        <f>RBBD!L19</f>
        <v>0</v>
      </c>
      <c r="R34" s="1241">
        <f>RBBD!M19</f>
        <v>0</v>
      </c>
      <c r="S34" s="1241">
        <f>RBBD!N19</f>
        <v>0</v>
      </c>
      <c r="T34" s="1241">
        <f>RBBD!O19</f>
        <v>0</v>
      </c>
      <c r="U34" s="1241">
        <f>RBBD!P19</f>
        <v>0</v>
      </c>
      <c r="V34" s="1241">
        <f>RBBD!Q19</f>
        <v>0</v>
      </c>
      <c r="W34" s="1241">
        <f>RBBD!R19</f>
        <v>0</v>
      </c>
      <c r="X34" s="1241">
        <f>RBBD!S19</f>
        <v>0</v>
      </c>
      <c r="Y34" s="1241">
        <f>RBBD!T19</f>
        <v>0</v>
      </c>
      <c r="Z34" s="65"/>
      <c r="AA34" s="324">
        <f t="shared" si="4"/>
        <v>0</v>
      </c>
    </row>
    <row r="35" spans="2:27" hidden="1">
      <c r="B35" s="1241">
        <f>RBBD!B20</f>
        <v>0</v>
      </c>
      <c r="C35" s="1241">
        <f>RBBD!C20</f>
        <v>0</v>
      </c>
      <c r="D35" s="1241">
        <f>RBBD!D20</f>
        <v>0</v>
      </c>
      <c r="E35" s="1241">
        <f>RBBD!G20</f>
        <v>0</v>
      </c>
      <c r="F35" s="1241">
        <f>RBBD!H20</f>
        <v>0</v>
      </c>
      <c r="G35" s="1241">
        <f>RBBD!E20</f>
        <v>0</v>
      </c>
      <c r="H35" s="1241">
        <f>RBBD!F20</f>
        <v>0</v>
      </c>
      <c r="I35" s="1241">
        <f t="shared" si="2"/>
        <v>0</v>
      </c>
      <c r="J35" s="1241">
        <f t="shared" si="2"/>
        <v>0</v>
      </c>
      <c r="K35" s="1241">
        <f t="shared" si="2"/>
        <v>0</v>
      </c>
      <c r="L35" s="1241">
        <f t="shared" si="2"/>
        <v>0</v>
      </c>
      <c r="M35" s="1241">
        <f t="shared" si="3"/>
        <v>0</v>
      </c>
      <c r="N35" s="1241">
        <f>RBBD!I20</f>
        <v>0</v>
      </c>
      <c r="O35" s="1241">
        <f>RBBD!J20</f>
        <v>0</v>
      </c>
      <c r="P35" s="1241">
        <f>RBBD!K20</f>
        <v>0</v>
      </c>
      <c r="Q35" s="1241">
        <f>RBBD!L20</f>
        <v>0</v>
      </c>
      <c r="R35" s="1241">
        <f>RBBD!M20</f>
        <v>0</v>
      </c>
      <c r="S35" s="1241">
        <f>RBBD!N20</f>
        <v>0</v>
      </c>
      <c r="T35" s="1241">
        <f>RBBD!O20</f>
        <v>0</v>
      </c>
      <c r="U35" s="1241">
        <f>RBBD!P20</f>
        <v>0</v>
      </c>
      <c r="V35" s="1241">
        <f>RBBD!Q20</f>
        <v>0</v>
      </c>
      <c r="W35" s="1241">
        <f>RBBD!R20</f>
        <v>0</v>
      </c>
      <c r="X35" s="1241">
        <f>RBBD!S20</f>
        <v>0</v>
      </c>
      <c r="Y35" s="1241">
        <f>RBBD!T20</f>
        <v>0</v>
      </c>
      <c r="Z35" s="65"/>
      <c r="AA35" s="324">
        <f t="shared" si="4"/>
        <v>0</v>
      </c>
    </row>
    <row r="36" spans="2:27" hidden="1">
      <c r="B36" s="1241">
        <f>RBBD!B21</f>
        <v>0</v>
      </c>
      <c r="C36" s="1241">
        <f>RBBD!C21</f>
        <v>0</v>
      </c>
      <c r="D36" s="1241">
        <f>RBBD!D21</f>
        <v>0</v>
      </c>
      <c r="E36" s="1241">
        <f>RBBD!G21</f>
        <v>0</v>
      </c>
      <c r="F36" s="1241">
        <f>RBBD!H21</f>
        <v>0</v>
      </c>
      <c r="G36" s="1241">
        <f>RBBD!E21</f>
        <v>0</v>
      </c>
      <c r="H36" s="1241">
        <f>RBBD!F21</f>
        <v>0</v>
      </c>
      <c r="I36" s="1241">
        <f t="shared" si="2"/>
        <v>0</v>
      </c>
      <c r="J36" s="1241">
        <f t="shared" si="2"/>
        <v>0</v>
      </c>
      <c r="K36" s="1241">
        <f t="shared" si="2"/>
        <v>0</v>
      </c>
      <c r="L36" s="1241">
        <f t="shared" si="2"/>
        <v>0</v>
      </c>
      <c r="M36" s="1241">
        <f t="shared" si="3"/>
        <v>0</v>
      </c>
      <c r="N36" s="1241">
        <f>RBBD!I21</f>
        <v>0</v>
      </c>
      <c r="O36" s="1241">
        <f>RBBD!J21</f>
        <v>0</v>
      </c>
      <c r="P36" s="1241">
        <f>RBBD!K21</f>
        <v>0</v>
      </c>
      <c r="Q36" s="1241">
        <f>RBBD!L21</f>
        <v>0</v>
      </c>
      <c r="R36" s="1241">
        <f>RBBD!M21</f>
        <v>0</v>
      </c>
      <c r="S36" s="1241">
        <f>RBBD!N21</f>
        <v>0</v>
      </c>
      <c r="T36" s="1241">
        <f>RBBD!O21</f>
        <v>0</v>
      </c>
      <c r="U36" s="1241">
        <f>RBBD!P21</f>
        <v>0</v>
      </c>
      <c r="V36" s="1241">
        <f>RBBD!Q21</f>
        <v>0</v>
      </c>
      <c r="W36" s="1241">
        <f>RBBD!R21</f>
        <v>0</v>
      </c>
      <c r="X36" s="1241">
        <f>RBBD!S21</f>
        <v>0</v>
      </c>
      <c r="Y36" s="1241">
        <f>RBBD!T21</f>
        <v>0</v>
      </c>
      <c r="Z36" s="65"/>
      <c r="AA36" s="324">
        <f t="shared" si="4"/>
        <v>0</v>
      </c>
    </row>
    <row r="37" spans="2:27" hidden="1">
      <c r="B37" s="1241">
        <f>RBBD!B22</f>
        <v>0</v>
      </c>
      <c r="C37" s="1241">
        <f>RBBD!C22</f>
        <v>0</v>
      </c>
      <c r="D37" s="1241">
        <f>RBBD!D22</f>
        <v>0</v>
      </c>
      <c r="E37" s="1241">
        <f>RBBD!G22</f>
        <v>0</v>
      </c>
      <c r="F37" s="1241">
        <f>RBBD!H22</f>
        <v>0</v>
      </c>
      <c r="G37" s="1241">
        <f>RBBD!E22</f>
        <v>0</v>
      </c>
      <c r="H37" s="1241">
        <f>RBBD!F22</f>
        <v>0</v>
      </c>
      <c r="I37" s="1241">
        <f t="shared" si="2"/>
        <v>0</v>
      </c>
      <c r="J37" s="1241">
        <f t="shared" si="2"/>
        <v>0</v>
      </c>
      <c r="K37" s="1241">
        <f t="shared" si="2"/>
        <v>0</v>
      </c>
      <c r="L37" s="1241">
        <f t="shared" si="2"/>
        <v>0</v>
      </c>
      <c r="M37" s="1241">
        <f t="shared" si="3"/>
        <v>0</v>
      </c>
      <c r="N37" s="1241">
        <f>RBBD!I22</f>
        <v>0</v>
      </c>
      <c r="O37" s="1241">
        <f>RBBD!J22</f>
        <v>0</v>
      </c>
      <c r="P37" s="1241">
        <f>RBBD!K22</f>
        <v>0</v>
      </c>
      <c r="Q37" s="1241">
        <f>RBBD!L22</f>
        <v>0</v>
      </c>
      <c r="R37" s="1241">
        <f>RBBD!M22</f>
        <v>0</v>
      </c>
      <c r="S37" s="1241">
        <f>RBBD!N22</f>
        <v>0</v>
      </c>
      <c r="T37" s="1241">
        <f>RBBD!O22</f>
        <v>0</v>
      </c>
      <c r="U37" s="1241">
        <f>RBBD!P22</f>
        <v>0</v>
      </c>
      <c r="V37" s="1241">
        <f>RBBD!Q22</f>
        <v>0</v>
      </c>
      <c r="W37" s="1241">
        <f>RBBD!R22</f>
        <v>0</v>
      </c>
      <c r="X37" s="1241">
        <f>RBBD!S22</f>
        <v>0</v>
      </c>
      <c r="Y37" s="1241">
        <f>RBBD!T22</f>
        <v>0</v>
      </c>
      <c r="Z37" s="65"/>
      <c r="AA37" s="324">
        <f t="shared" si="4"/>
        <v>0</v>
      </c>
    </row>
    <row r="38" spans="2:27" hidden="1">
      <c r="B38" s="1241">
        <f>RBBD!B23</f>
        <v>0</v>
      </c>
      <c r="C38" s="1241">
        <f>RBBD!C23</f>
        <v>0</v>
      </c>
      <c r="D38" s="1241">
        <f>RBBD!D23</f>
        <v>0</v>
      </c>
      <c r="E38" s="1241">
        <f>RBBD!G23</f>
        <v>0</v>
      </c>
      <c r="F38" s="1241">
        <f>RBBD!H23</f>
        <v>0</v>
      </c>
      <c r="G38" s="1241">
        <f>RBBD!E23</f>
        <v>0</v>
      </c>
      <c r="H38" s="1241">
        <f>RBBD!F23</f>
        <v>0</v>
      </c>
      <c r="I38" s="1241">
        <f t="shared" si="2"/>
        <v>0</v>
      </c>
      <c r="J38" s="1241">
        <f t="shared" si="2"/>
        <v>0</v>
      </c>
      <c r="K38" s="1241">
        <f t="shared" si="2"/>
        <v>0</v>
      </c>
      <c r="L38" s="1241">
        <f t="shared" si="2"/>
        <v>0</v>
      </c>
      <c r="M38" s="1241">
        <f t="shared" si="3"/>
        <v>0</v>
      </c>
      <c r="N38" s="1241">
        <f>RBBD!I23</f>
        <v>0</v>
      </c>
      <c r="O38" s="1241">
        <f>RBBD!J23</f>
        <v>0</v>
      </c>
      <c r="P38" s="1241">
        <f>RBBD!K23</f>
        <v>0</v>
      </c>
      <c r="Q38" s="1241">
        <f>RBBD!L23</f>
        <v>0</v>
      </c>
      <c r="R38" s="1241">
        <f>RBBD!M23</f>
        <v>0</v>
      </c>
      <c r="S38" s="1241">
        <f>RBBD!N23</f>
        <v>0</v>
      </c>
      <c r="T38" s="1241">
        <f>RBBD!O23</f>
        <v>0</v>
      </c>
      <c r="U38" s="1241">
        <f>RBBD!P23</f>
        <v>0</v>
      </c>
      <c r="V38" s="1241">
        <f>RBBD!Q23</f>
        <v>0</v>
      </c>
      <c r="W38" s="1241">
        <f>RBBD!R23</f>
        <v>0</v>
      </c>
      <c r="X38" s="1241">
        <f>RBBD!S23</f>
        <v>0</v>
      </c>
      <c r="Y38" s="1241">
        <f>RBBD!T23</f>
        <v>0</v>
      </c>
      <c r="Z38" s="65"/>
      <c r="AA38" s="324">
        <f t="shared" si="4"/>
        <v>0</v>
      </c>
    </row>
    <row r="39" spans="2:27" hidden="1">
      <c r="B39" s="1241">
        <f>RBBD!B24</f>
        <v>0</v>
      </c>
      <c r="C39" s="1241">
        <f>RBBD!C24</f>
        <v>0</v>
      </c>
      <c r="D39" s="1241">
        <f>RBBD!D24</f>
        <v>0</v>
      </c>
      <c r="E39" s="1241">
        <f>RBBD!G24</f>
        <v>0</v>
      </c>
      <c r="F39" s="1241">
        <f>RBBD!H24</f>
        <v>0</v>
      </c>
      <c r="G39" s="1241">
        <f>RBBD!E24</f>
        <v>0</v>
      </c>
      <c r="H39" s="1241">
        <f>RBBD!F24</f>
        <v>0</v>
      </c>
      <c r="I39" s="1241">
        <f t="shared" si="2"/>
        <v>0</v>
      </c>
      <c r="J39" s="1241">
        <f t="shared" si="2"/>
        <v>0</v>
      </c>
      <c r="K39" s="1241">
        <f t="shared" si="2"/>
        <v>0</v>
      </c>
      <c r="L39" s="1241">
        <f t="shared" si="2"/>
        <v>0</v>
      </c>
      <c r="M39" s="1241">
        <f t="shared" si="3"/>
        <v>0</v>
      </c>
      <c r="N39" s="1241">
        <f>RBBD!I24</f>
        <v>0</v>
      </c>
      <c r="O39" s="1241">
        <f>RBBD!J24</f>
        <v>0</v>
      </c>
      <c r="P39" s="1241">
        <f>RBBD!K24</f>
        <v>0</v>
      </c>
      <c r="Q39" s="1241">
        <f>RBBD!L24</f>
        <v>0</v>
      </c>
      <c r="R39" s="1241">
        <f>RBBD!M24</f>
        <v>0</v>
      </c>
      <c r="S39" s="1241">
        <f>RBBD!N24</f>
        <v>0</v>
      </c>
      <c r="T39" s="1241">
        <f>RBBD!O24</f>
        <v>0</v>
      </c>
      <c r="U39" s="1241">
        <f>RBBD!P24</f>
        <v>0</v>
      </c>
      <c r="V39" s="1241">
        <f>RBBD!Q24</f>
        <v>0</v>
      </c>
      <c r="W39" s="1241">
        <f>RBBD!R24</f>
        <v>0</v>
      </c>
      <c r="X39" s="1241">
        <f>RBBD!S24</f>
        <v>0</v>
      </c>
      <c r="Y39" s="1241">
        <f>RBBD!T24</f>
        <v>0</v>
      </c>
      <c r="Z39" s="65"/>
      <c r="AA39" s="324">
        <f t="shared" ref="AA39:AA60" si="5">IF(B39=0,0,1)</f>
        <v>0</v>
      </c>
    </row>
    <row r="40" spans="2:27" hidden="1">
      <c r="B40" s="1241">
        <f>RBBD!B25</f>
        <v>0</v>
      </c>
      <c r="C40" s="1241">
        <f>RBBD!C25</f>
        <v>0</v>
      </c>
      <c r="D40" s="1241">
        <f>RBBD!D25</f>
        <v>0</v>
      </c>
      <c r="E40" s="1241">
        <f>RBBD!G25</f>
        <v>0</v>
      </c>
      <c r="F40" s="1241">
        <f>RBBD!H25</f>
        <v>0</v>
      </c>
      <c r="G40" s="1241">
        <f>RBBD!E25</f>
        <v>0</v>
      </c>
      <c r="H40" s="1241">
        <f>RBBD!F25</f>
        <v>0</v>
      </c>
      <c r="I40" s="1241">
        <f t="shared" si="2"/>
        <v>0</v>
      </c>
      <c r="J40" s="1241">
        <f t="shared" si="2"/>
        <v>0</v>
      </c>
      <c r="K40" s="1241">
        <f t="shared" si="2"/>
        <v>0</v>
      </c>
      <c r="L40" s="1241">
        <f t="shared" si="2"/>
        <v>0</v>
      </c>
      <c r="M40" s="1241">
        <f t="shared" si="3"/>
        <v>0</v>
      </c>
      <c r="N40" s="1241">
        <f>RBBD!I25</f>
        <v>0</v>
      </c>
      <c r="O40" s="1241">
        <f>RBBD!J25</f>
        <v>0</v>
      </c>
      <c r="P40" s="1241">
        <f>RBBD!K25</f>
        <v>0</v>
      </c>
      <c r="Q40" s="1241">
        <f>RBBD!L25</f>
        <v>0</v>
      </c>
      <c r="R40" s="1241">
        <f>RBBD!M25</f>
        <v>0</v>
      </c>
      <c r="S40" s="1241">
        <f>RBBD!N25</f>
        <v>0</v>
      </c>
      <c r="T40" s="1241">
        <f>RBBD!O25</f>
        <v>0</v>
      </c>
      <c r="U40" s="1241">
        <f>RBBD!P25</f>
        <v>0</v>
      </c>
      <c r="V40" s="1241">
        <f>RBBD!Q25</f>
        <v>0</v>
      </c>
      <c r="W40" s="1241">
        <f>RBBD!R25</f>
        <v>0</v>
      </c>
      <c r="X40" s="1241">
        <f>RBBD!S25</f>
        <v>0</v>
      </c>
      <c r="Y40" s="1241">
        <f>RBBD!T25</f>
        <v>0</v>
      </c>
      <c r="Z40" s="65"/>
      <c r="AA40" s="324">
        <f t="shared" si="5"/>
        <v>0</v>
      </c>
    </row>
    <row r="41" spans="2:27" hidden="1">
      <c r="B41" s="1241">
        <f>RBBD!B26</f>
        <v>0</v>
      </c>
      <c r="C41" s="1241">
        <f>RBBD!C26</f>
        <v>0</v>
      </c>
      <c r="D41" s="1241">
        <f>RBBD!D26</f>
        <v>0</v>
      </c>
      <c r="E41" s="1241">
        <f>RBBD!G26</f>
        <v>0</v>
      </c>
      <c r="F41" s="1241">
        <f>RBBD!H26</f>
        <v>0</v>
      </c>
      <c r="G41" s="1241">
        <f>RBBD!E26</f>
        <v>0</v>
      </c>
      <c r="H41" s="1241">
        <f>RBBD!F26</f>
        <v>0</v>
      </c>
      <c r="I41" s="1241">
        <f t="shared" si="2"/>
        <v>0</v>
      </c>
      <c r="J41" s="1241">
        <f t="shared" si="2"/>
        <v>0</v>
      </c>
      <c r="K41" s="1241">
        <f t="shared" si="2"/>
        <v>0</v>
      </c>
      <c r="L41" s="1241">
        <f t="shared" si="2"/>
        <v>0</v>
      </c>
      <c r="M41" s="1241">
        <f t="shared" si="3"/>
        <v>0</v>
      </c>
      <c r="N41" s="1241">
        <f>RBBD!I26</f>
        <v>0</v>
      </c>
      <c r="O41" s="1241">
        <f>RBBD!J26</f>
        <v>0</v>
      </c>
      <c r="P41" s="1241">
        <f>RBBD!K26</f>
        <v>0</v>
      </c>
      <c r="Q41" s="1241">
        <f>RBBD!L26</f>
        <v>0</v>
      </c>
      <c r="R41" s="1241">
        <f>RBBD!M26</f>
        <v>0</v>
      </c>
      <c r="S41" s="1241">
        <f>RBBD!N26</f>
        <v>0</v>
      </c>
      <c r="T41" s="1241">
        <f>RBBD!O26</f>
        <v>0</v>
      </c>
      <c r="U41" s="1241">
        <f>RBBD!P26</f>
        <v>0</v>
      </c>
      <c r="V41" s="1241">
        <f>RBBD!Q26</f>
        <v>0</v>
      </c>
      <c r="W41" s="1241">
        <f>RBBD!R26</f>
        <v>0</v>
      </c>
      <c r="X41" s="1241">
        <f>RBBD!S26</f>
        <v>0</v>
      </c>
      <c r="Y41" s="1241">
        <f>RBBD!T26</f>
        <v>0</v>
      </c>
      <c r="Z41" s="65"/>
      <c r="AA41" s="324">
        <f t="shared" si="5"/>
        <v>0</v>
      </c>
    </row>
    <row r="42" spans="2:27" hidden="1">
      <c r="B42" s="1241">
        <f>RBBD!B27</f>
        <v>0</v>
      </c>
      <c r="C42" s="1241">
        <f>RBBD!C27</f>
        <v>0</v>
      </c>
      <c r="D42" s="1241">
        <f>RBBD!D27</f>
        <v>0</v>
      </c>
      <c r="E42" s="1241">
        <f>RBBD!G27</f>
        <v>0</v>
      </c>
      <c r="F42" s="1241">
        <f>RBBD!H27</f>
        <v>0</v>
      </c>
      <c r="G42" s="1241">
        <f>RBBD!E27</f>
        <v>0</v>
      </c>
      <c r="H42" s="1241">
        <f>RBBD!F27</f>
        <v>0</v>
      </c>
      <c r="I42" s="1241">
        <f t="shared" si="2"/>
        <v>0</v>
      </c>
      <c r="J42" s="1241">
        <f t="shared" si="2"/>
        <v>0</v>
      </c>
      <c r="K42" s="1241">
        <f t="shared" si="2"/>
        <v>0</v>
      </c>
      <c r="L42" s="1241">
        <f t="shared" si="2"/>
        <v>0</v>
      </c>
      <c r="M42" s="1241">
        <f t="shared" si="3"/>
        <v>0</v>
      </c>
      <c r="N42" s="1241">
        <f>RBBD!I27</f>
        <v>0</v>
      </c>
      <c r="O42" s="1241">
        <f>RBBD!J27</f>
        <v>0</v>
      </c>
      <c r="P42" s="1241">
        <f>RBBD!K27</f>
        <v>0</v>
      </c>
      <c r="Q42" s="1241">
        <f>RBBD!L27</f>
        <v>0</v>
      </c>
      <c r="R42" s="1241">
        <f>RBBD!M27</f>
        <v>0</v>
      </c>
      <c r="S42" s="1241">
        <f>RBBD!N27</f>
        <v>0</v>
      </c>
      <c r="T42" s="1241">
        <f>RBBD!O27</f>
        <v>0</v>
      </c>
      <c r="U42" s="1241">
        <f>RBBD!P27</f>
        <v>0</v>
      </c>
      <c r="V42" s="1241">
        <f>RBBD!Q27</f>
        <v>0</v>
      </c>
      <c r="W42" s="1241">
        <f>RBBD!R27</f>
        <v>0</v>
      </c>
      <c r="X42" s="1241">
        <f>RBBD!S27</f>
        <v>0</v>
      </c>
      <c r="Y42" s="1241">
        <f>RBBD!T27</f>
        <v>0</v>
      </c>
      <c r="Z42" s="65"/>
      <c r="AA42" s="324">
        <f t="shared" si="5"/>
        <v>0</v>
      </c>
    </row>
    <row r="43" spans="2:27" hidden="1">
      <c r="B43" s="1241">
        <f>RBBD!B28</f>
        <v>0</v>
      </c>
      <c r="C43" s="1241">
        <f>RBBD!C28</f>
        <v>0</v>
      </c>
      <c r="D43" s="1241">
        <f>RBBD!D28</f>
        <v>0</v>
      </c>
      <c r="E43" s="1241">
        <f>RBBD!G28</f>
        <v>0</v>
      </c>
      <c r="F43" s="1241">
        <f>RBBD!H28</f>
        <v>0</v>
      </c>
      <c r="G43" s="1241">
        <f>RBBD!E28</f>
        <v>0</v>
      </c>
      <c r="H43" s="1241">
        <f>RBBD!F28</f>
        <v>0</v>
      </c>
      <c r="I43" s="1241">
        <f t="shared" si="2"/>
        <v>0</v>
      </c>
      <c r="J43" s="1241">
        <f t="shared" si="2"/>
        <v>0</v>
      </c>
      <c r="K43" s="1241">
        <f t="shared" si="2"/>
        <v>0</v>
      </c>
      <c r="L43" s="1241">
        <f t="shared" si="2"/>
        <v>0</v>
      </c>
      <c r="M43" s="1241">
        <f t="shared" si="3"/>
        <v>0</v>
      </c>
      <c r="N43" s="1241">
        <f>RBBD!I28</f>
        <v>0</v>
      </c>
      <c r="O43" s="1241">
        <f>RBBD!J28</f>
        <v>0</v>
      </c>
      <c r="P43" s="1241">
        <f>RBBD!K28</f>
        <v>0</v>
      </c>
      <c r="Q43" s="1241">
        <f>RBBD!L28</f>
        <v>0</v>
      </c>
      <c r="R43" s="1241">
        <f>RBBD!M28</f>
        <v>0</v>
      </c>
      <c r="S43" s="1241">
        <f>RBBD!N28</f>
        <v>0</v>
      </c>
      <c r="T43" s="1241">
        <f>RBBD!O28</f>
        <v>0</v>
      </c>
      <c r="U43" s="1241">
        <f>RBBD!P28</f>
        <v>0</v>
      </c>
      <c r="V43" s="1241">
        <f>RBBD!Q28</f>
        <v>0</v>
      </c>
      <c r="W43" s="1241">
        <f>RBBD!R28</f>
        <v>0</v>
      </c>
      <c r="X43" s="1241">
        <f>RBBD!S28</f>
        <v>0</v>
      </c>
      <c r="Y43" s="1241">
        <f>RBBD!T28</f>
        <v>0</v>
      </c>
      <c r="Z43" s="65"/>
      <c r="AA43" s="324">
        <f t="shared" si="5"/>
        <v>0</v>
      </c>
    </row>
    <row r="44" spans="2:27" hidden="1">
      <c r="B44" s="1241">
        <f>RBBD!B29</f>
        <v>0</v>
      </c>
      <c r="C44" s="1241">
        <f>RBBD!C29</f>
        <v>0</v>
      </c>
      <c r="D44" s="1241">
        <f>RBBD!D29</f>
        <v>0</v>
      </c>
      <c r="E44" s="1241">
        <f>RBBD!G29</f>
        <v>0</v>
      </c>
      <c r="F44" s="1241">
        <f>RBBD!H29</f>
        <v>0</v>
      </c>
      <c r="G44" s="1241">
        <f>RBBD!E29</f>
        <v>0</v>
      </c>
      <c r="H44" s="1241">
        <f>RBBD!F29</f>
        <v>0</v>
      </c>
      <c r="I44" s="1241">
        <f t="shared" si="2"/>
        <v>0</v>
      </c>
      <c r="J44" s="1241">
        <f t="shared" si="2"/>
        <v>0</v>
      </c>
      <c r="K44" s="1241">
        <f t="shared" si="2"/>
        <v>0</v>
      </c>
      <c r="L44" s="1241">
        <f t="shared" si="2"/>
        <v>0</v>
      </c>
      <c r="M44" s="1241">
        <f t="shared" si="3"/>
        <v>0</v>
      </c>
      <c r="N44" s="1241">
        <f>RBBD!I29</f>
        <v>0</v>
      </c>
      <c r="O44" s="1241">
        <f>RBBD!J29</f>
        <v>0</v>
      </c>
      <c r="P44" s="1241">
        <f>RBBD!K29</f>
        <v>0</v>
      </c>
      <c r="Q44" s="1241">
        <f>RBBD!L29</f>
        <v>0</v>
      </c>
      <c r="R44" s="1241">
        <f>RBBD!M29</f>
        <v>0</v>
      </c>
      <c r="S44" s="1241">
        <f>RBBD!N29</f>
        <v>0</v>
      </c>
      <c r="T44" s="1241">
        <f>RBBD!O29</f>
        <v>0</v>
      </c>
      <c r="U44" s="1241">
        <f>RBBD!P29</f>
        <v>0</v>
      </c>
      <c r="V44" s="1241">
        <f>RBBD!Q29</f>
        <v>0</v>
      </c>
      <c r="W44" s="1241">
        <f>RBBD!R29</f>
        <v>0</v>
      </c>
      <c r="X44" s="1241">
        <f>RBBD!S29</f>
        <v>0</v>
      </c>
      <c r="Y44" s="1241">
        <f>RBBD!T29</f>
        <v>0</v>
      </c>
      <c r="Z44" s="65"/>
      <c r="AA44" s="324">
        <f t="shared" si="5"/>
        <v>0</v>
      </c>
    </row>
    <row r="45" spans="2:27" hidden="1">
      <c r="B45" s="1241">
        <f>RBBD!B30</f>
        <v>0</v>
      </c>
      <c r="C45" s="1241">
        <f>RBBD!C30</f>
        <v>0</v>
      </c>
      <c r="D45" s="1241">
        <f>RBBD!D30</f>
        <v>0</v>
      </c>
      <c r="E45" s="1241">
        <f>RBBD!G30</f>
        <v>0</v>
      </c>
      <c r="F45" s="1241">
        <f>RBBD!H30</f>
        <v>0</v>
      </c>
      <c r="G45" s="1241">
        <f>RBBD!E30</f>
        <v>0</v>
      </c>
      <c r="H45" s="1241">
        <f>RBBD!F30</f>
        <v>0</v>
      </c>
      <c r="I45" s="1241">
        <f t="shared" si="2"/>
        <v>0</v>
      </c>
      <c r="J45" s="1241">
        <f t="shared" si="2"/>
        <v>0</v>
      </c>
      <c r="K45" s="1241">
        <f t="shared" si="2"/>
        <v>0</v>
      </c>
      <c r="L45" s="1241">
        <f t="shared" si="2"/>
        <v>0</v>
      </c>
      <c r="M45" s="1241">
        <f t="shared" si="3"/>
        <v>0</v>
      </c>
      <c r="N45" s="1241">
        <f>RBBD!I30</f>
        <v>0</v>
      </c>
      <c r="O45" s="1241">
        <f>RBBD!J30</f>
        <v>0</v>
      </c>
      <c r="P45" s="1241">
        <f>RBBD!K30</f>
        <v>0</v>
      </c>
      <c r="Q45" s="1241">
        <f>RBBD!L30</f>
        <v>0</v>
      </c>
      <c r="R45" s="1241">
        <f>RBBD!M30</f>
        <v>0</v>
      </c>
      <c r="S45" s="1241">
        <f>RBBD!N30</f>
        <v>0</v>
      </c>
      <c r="T45" s="1241">
        <f>RBBD!O30</f>
        <v>0</v>
      </c>
      <c r="U45" s="1241">
        <f>RBBD!P30</f>
        <v>0</v>
      </c>
      <c r="V45" s="1241">
        <f>RBBD!Q30</f>
        <v>0</v>
      </c>
      <c r="W45" s="1241">
        <f>RBBD!R30</f>
        <v>0</v>
      </c>
      <c r="X45" s="1241">
        <f>RBBD!S30</f>
        <v>0</v>
      </c>
      <c r="Y45" s="1241">
        <f>RBBD!T30</f>
        <v>0</v>
      </c>
      <c r="Z45" s="65"/>
      <c r="AA45" s="324">
        <f t="shared" si="5"/>
        <v>0</v>
      </c>
    </row>
    <row r="46" spans="2:27" hidden="1">
      <c r="B46" s="1241">
        <f>RBBD!B31</f>
        <v>0</v>
      </c>
      <c r="C46" s="1241">
        <f>RBBD!C31</f>
        <v>0</v>
      </c>
      <c r="D46" s="1241">
        <f>RBBD!D31</f>
        <v>0</v>
      </c>
      <c r="E46" s="1241">
        <f>RBBD!G31</f>
        <v>0</v>
      </c>
      <c r="F46" s="1241">
        <f>RBBD!H31</f>
        <v>0</v>
      </c>
      <c r="G46" s="1241">
        <f>RBBD!E31</f>
        <v>0</v>
      </c>
      <c r="H46" s="1241">
        <f>RBBD!F31</f>
        <v>0</v>
      </c>
      <c r="I46" s="1241">
        <f t="shared" si="2"/>
        <v>0</v>
      </c>
      <c r="J46" s="1241">
        <f t="shared" si="2"/>
        <v>0</v>
      </c>
      <c r="K46" s="1241">
        <f t="shared" si="2"/>
        <v>0</v>
      </c>
      <c r="L46" s="1241">
        <f t="shared" si="2"/>
        <v>0</v>
      </c>
      <c r="M46" s="1241">
        <f t="shared" si="3"/>
        <v>0</v>
      </c>
      <c r="N46" s="1241">
        <f>RBBD!I31</f>
        <v>0</v>
      </c>
      <c r="O46" s="1241">
        <f>RBBD!J31</f>
        <v>0</v>
      </c>
      <c r="P46" s="1241">
        <f>RBBD!K31</f>
        <v>0</v>
      </c>
      <c r="Q46" s="1241">
        <f>RBBD!L31</f>
        <v>0</v>
      </c>
      <c r="R46" s="1241">
        <f>RBBD!M31</f>
        <v>0</v>
      </c>
      <c r="S46" s="1241">
        <f>RBBD!N31</f>
        <v>0</v>
      </c>
      <c r="T46" s="1241">
        <f>RBBD!O31</f>
        <v>0</v>
      </c>
      <c r="U46" s="1241">
        <f>RBBD!P31</f>
        <v>0</v>
      </c>
      <c r="V46" s="1241">
        <f>RBBD!Q31</f>
        <v>0</v>
      </c>
      <c r="W46" s="1241">
        <f>RBBD!R31</f>
        <v>0</v>
      </c>
      <c r="X46" s="1241">
        <f>RBBD!S31</f>
        <v>0</v>
      </c>
      <c r="Y46" s="1241">
        <f>RBBD!T31</f>
        <v>0</v>
      </c>
      <c r="Z46" s="65"/>
      <c r="AA46" s="324">
        <f t="shared" si="5"/>
        <v>0</v>
      </c>
    </row>
    <row r="47" spans="2:27" hidden="1">
      <c r="B47" s="1241">
        <f>RBBD!B32</f>
        <v>0</v>
      </c>
      <c r="C47" s="1241">
        <f>RBBD!C32</f>
        <v>0</v>
      </c>
      <c r="D47" s="1241">
        <f>RBBD!D32</f>
        <v>0</v>
      </c>
      <c r="E47" s="1241">
        <f>RBBD!G32</f>
        <v>0</v>
      </c>
      <c r="F47" s="1241">
        <f>RBBD!H32</f>
        <v>0</v>
      </c>
      <c r="G47" s="1241">
        <f>RBBD!E32</f>
        <v>0</v>
      </c>
      <c r="H47" s="1241">
        <f>RBBD!F32</f>
        <v>0</v>
      </c>
      <c r="I47" s="1241">
        <f t="shared" si="2"/>
        <v>0</v>
      </c>
      <c r="J47" s="1241">
        <f t="shared" si="2"/>
        <v>0</v>
      </c>
      <c r="K47" s="1241">
        <f t="shared" si="2"/>
        <v>0</v>
      </c>
      <c r="L47" s="1241">
        <f t="shared" si="2"/>
        <v>0</v>
      </c>
      <c r="M47" s="1241">
        <f t="shared" si="3"/>
        <v>0</v>
      </c>
      <c r="N47" s="1241">
        <f>RBBD!I32</f>
        <v>0</v>
      </c>
      <c r="O47" s="1241">
        <f>RBBD!J32</f>
        <v>0</v>
      </c>
      <c r="P47" s="1241">
        <f>RBBD!K32</f>
        <v>0</v>
      </c>
      <c r="Q47" s="1241">
        <f>RBBD!L32</f>
        <v>0</v>
      </c>
      <c r="R47" s="1241">
        <f>RBBD!M32</f>
        <v>0</v>
      </c>
      <c r="S47" s="1241">
        <f>RBBD!N32</f>
        <v>0</v>
      </c>
      <c r="T47" s="1241">
        <f>RBBD!O32</f>
        <v>0</v>
      </c>
      <c r="U47" s="1241">
        <f>RBBD!P32</f>
        <v>0</v>
      </c>
      <c r="V47" s="1241">
        <f>RBBD!Q32</f>
        <v>0</v>
      </c>
      <c r="W47" s="1241">
        <f>RBBD!R32</f>
        <v>0</v>
      </c>
      <c r="X47" s="1241">
        <f>RBBD!S32</f>
        <v>0</v>
      </c>
      <c r="Y47" s="1241">
        <f>RBBD!T32</f>
        <v>0</v>
      </c>
      <c r="Z47" s="65"/>
      <c r="AA47" s="324">
        <f t="shared" si="5"/>
        <v>0</v>
      </c>
    </row>
    <row r="48" spans="2:27" hidden="1">
      <c r="B48" s="1241">
        <f>RBBD!B33</f>
        <v>0</v>
      </c>
      <c r="C48" s="1241">
        <f>RBBD!C33</f>
        <v>0</v>
      </c>
      <c r="D48" s="1241">
        <f>RBBD!D33</f>
        <v>0</v>
      </c>
      <c r="E48" s="1241">
        <f>RBBD!G33</f>
        <v>0</v>
      </c>
      <c r="F48" s="1241">
        <f>RBBD!H33</f>
        <v>0</v>
      </c>
      <c r="G48" s="1241">
        <f>RBBD!E33</f>
        <v>0</v>
      </c>
      <c r="H48" s="1241">
        <f>RBBD!F33</f>
        <v>0</v>
      </c>
      <c r="I48" s="1241">
        <f t="shared" si="2"/>
        <v>0</v>
      </c>
      <c r="J48" s="1241">
        <f t="shared" si="2"/>
        <v>0</v>
      </c>
      <c r="K48" s="1241">
        <f t="shared" si="2"/>
        <v>0</v>
      </c>
      <c r="L48" s="1241">
        <f t="shared" si="2"/>
        <v>0</v>
      </c>
      <c r="M48" s="1241">
        <f t="shared" si="3"/>
        <v>0</v>
      </c>
      <c r="N48" s="1241">
        <f>RBBD!I33</f>
        <v>0</v>
      </c>
      <c r="O48" s="1241">
        <f>RBBD!J33</f>
        <v>0</v>
      </c>
      <c r="P48" s="1241">
        <f>RBBD!K33</f>
        <v>0</v>
      </c>
      <c r="Q48" s="1241">
        <f>RBBD!L33</f>
        <v>0</v>
      </c>
      <c r="R48" s="1241">
        <f>RBBD!M33</f>
        <v>0</v>
      </c>
      <c r="S48" s="1241">
        <f>RBBD!N33</f>
        <v>0</v>
      </c>
      <c r="T48" s="1241">
        <f>RBBD!O33</f>
        <v>0</v>
      </c>
      <c r="U48" s="1241">
        <f>RBBD!P33</f>
        <v>0</v>
      </c>
      <c r="V48" s="1241">
        <f>RBBD!Q33</f>
        <v>0</v>
      </c>
      <c r="W48" s="1241">
        <f>RBBD!R33</f>
        <v>0</v>
      </c>
      <c r="X48" s="1241">
        <f>RBBD!S33</f>
        <v>0</v>
      </c>
      <c r="Y48" s="1241">
        <f>RBBD!T33</f>
        <v>0</v>
      </c>
      <c r="Z48" s="65"/>
      <c r="AA48" s="324">
        <f t="shared" si="5"/>
        <v>0</v>
      </c>
    </row>
    <row r="49" spans="2:27" hidden="1">
      <c r="B49" s="1241">
        <f>RBBD!B34</f>
        <v>0</v>
      </c>
      <c r="C49" s="1241">
        <f>RBBD!C34</f>
        <v>0</v>
      </c>
      <c r="D49" s="1241">
        <f>RBBD!D34</f>
        <v>0</v>
      </c>
      <c r="E49" s="1241">
        <f>RBBD!G34</f>
        <v>0</v>
      </c>
      <c r="F49" s="1241">
        <f>RBBD!H34</f>
        <v>0</v>
      </c>
      <c r="G49" s="1241">
        <f>RBBD!E34</f>
        <v>0</v>
      </c>
      <c r="H49" s="1241">
        <f>RBBD!F34</f>
        <v>0</v>
      </c>
      <c r="I49" s="1241">
        <f t="shared" si="2"/>
        <v>0</v>
      </c>
      <c r="J49" s="1241">
        <f t="shared" si="2"/>
        <v>0</v>
      </c>
      <c r="K49" s="1241">
        <f t="shared" si="2"/>
        <v>0</v>
      </c>
      <c r="L49" s="1241">
        <f t="shared" si="2"/>
        <v>0</v>
      </c>
      <c r="M49" s="1241">
        <f t="shared" si="3"/>
        <v>0</v>
      </c>
      <c r="N49" s="1241">
        <f>RBBD!I34</f>
        <v>0</v>
      </c>
      <c r="O49" s="1241">
        <f>RBBD!J34</f>
        <v>0</v>
      </c>
      <c r="P49" s="1241">
        <f>RBBD!K34</f>
        <v>0</v>
      </c>
      <c r="Q49" s="1241">
        <f>RBBD!L34</f>
        <v>0</v>
      </c>
      <c r="R49" s="1241">
        <f>RBBD!M34</f>
        <v>0</v>
      </c>
      <c r="S49" s="1241">
        <f>RBBD!N34</f>
        <v>0</v>
      </c>
      <c r="T49" s="1241">
        <f>RBBD!O34</f>
        <v>0</v>
      </c>
      <c r="U49" s="1241">
        <f>RBBD!P34</f>
        <v>0</v>
      </c>
      <c r="V49" s="1241">
        <f>RBBD!Q34</f>
        <v>0</v>
      </c>
      <c r="W49" s="1241">
        <f>RBBD!R34</f>
        <v>0</v>
      </c>
      <c r="X49" s="1241">
        <f>RBBD!S34</f>
        <v>0</v>
      </c>
      <c r="Y49" s="1241">
        <f>RBBD!T34</f>
        <v>0</v>
      </c>
      <c r="Z49" s="65"/>
      <c r="AA49" s="324">
        <f t="shared" si="5"/>
        <v>0</v>
      </c>
    </row>
    <row r="50" spans="2:27" hidden="1">
      <c r="B50" s="1241">
        <f>RBBD!B35</f>
        <v>0</v>
      </c>
      <c r="C50" s="1241">
        <f>RBBD!C35</f>
        <v>0</v>
      </c>
      <c r="D50" s="1241">
        <f>RBBD!D35</f>
        <v>0</v>
      </c>
      <c r="E50" s="1241">
        <f>RBBD!G35</f>
        <v>0</v>
      </c>
      <c r="F50" s="1241">
        <f>RBBD!H35</f>
        <v>0</v>
      </c>
      <c r="G50" s="1241">
        <f>RBBD!E35</f>
        <v>0</v>
      </c>
      <c r="H50" s="1241">
        <f>RBBD!F35</f>
        <v>0</v>
      </c>
      <c r="I50" s="1241">
        <f t="shared" si="2"/>
        <v>0</v>
      </c>
      <c r="J50" s="1241">
        <f t="shared" si="2"/>
        <v>0</v>
      </c>
      <c r="K50" s="1241">
        <f t="shared" si="2"/>
        <v>0</v>
      </c>
      <c r="L50" s="1241">
        <f t="shared" si="2"/>
        <v>0</v>
      </c>
      <c r="M50" s="1241">
        <f t="shared" si="3"/>
        <v>0</v>
      </c>
      <c r="N50" s="1241">
        <f>RBBD!I35</f>
        <v>0</v>
      </c>
      <c r="O50" s="1241">
        <f>RBBD!J35</f>
        <v>0</v>
      </c>
      <c r="P50" s="1241">
        <f>RBBD!K35</f>
        <v>0</v>
      </c>
      <c r="Q50" s="1241">
        <f>RBBD!L35</f>
        <v>0</v>
      </c>
      <c r="R50" s="1241">
        <f>RBBD!M35</f>
        <v>0</v>
      </c>
      <c r="S50" s="1241">
        <f>RBBD!N35</f>
        <v>0</v>
      </c>
      <c r="T50" s="1241">
        <f>RBBD!O35</f>
        <v>0</v>
      </c>
      <c r="U50" s="1241">
        <f>RBBD!P35</f>
        <v>0</v>
      </c>
      <c r="V50" s="1241">
        <f>RBBD!Q35</f>
        <v>0</v>
      </c>
      <c r="W50" s="1241">
        <f>RBBD!R35</f>
        <v>0</v>
      </c>
      <c r="X50" s="1241">
        <f>RBBD!S35</f>
        <v>0</v>
      </c>
      <c r="Y50" s="1241">
        <f>RBBD!T35</f>
        <v>0</v>
      </c>
      <c r="Z50" s="65"/>
      <c r="AA50" s="324">
        <f t="shared" si="5"/>
        <v>0</v>
      </c>
    </row>
    <row r="51" spans="2:27" hidden="1">
      <c r="B51" s="1241">
        <f>RBBD!B36</f>
        <v>0</v>
      </c>
      <c r="C51" s="1241">
        <f>RBBD!C36</f>
        <v>0</v>
      </c>
      <c r="D51" s="1241">
        <f>RBBD!D36</f>
        <v>0</v>
      </c>
      <c r="E51" s="1241">
        <f>RBBD!G36</f>
        <v>0</v>
      </c>
      <c r="F51" s="1241">
        <f>RBBD!H36</f>
        <v>0</v>
      </c>
      <c r="G51" s="1241">
        <f>RBBD!E36</f>
        <v>0</v>
      </c>
      <c r="H51" s="1241">
        <f>RBBD!F36</f>
        <v>0</v>
      </c>
      <c r="I51" s="1241">
        <f t="shared" si="2"/>
        <v>0</v>
      </c>
      <c r="J51" s="1241">
        <f t="shared" si="2"/>
        <v>0</v>
      </c>
      <c r="K51" s="1241">
        <f t="shared" si="2"/>
        <v>0</v>
      </c>
      <c r="L51" s="1241">
        <f t="shared" si="2"/>
        <v>0</v>
      </c>
      <c r="M51" s="1241">
        <f t="shared" si="3"/>
        <v>0</v>
      </c>
      <c r="N51" s="1241">
        <f>RBBD!I36</f>
        <v>0</v>
      </c>
      <c r="O51" s="1241">
        <f>RBBD!J36</f>
        <v>0</v>
      </c>
      <c r="P51" s="1241">
        <f>RBBD!K36</f>
        <v>0</v>
      </c>
      <c r="Q51" s="1241">
        <f>RBBD!L36</f>
        <v>0</v>
      </c>
      <c r="R51" s="1241">
        <f>RBBD!M36</f>
        <v>0</v>
      </c>
      <c r="S51" s="1241">
        <f>RBBD!N36</f>
        <v>0</v>
      </c>
      <c r="T51" s="1241">
        <f>RBBD!O36</f>
        <v>0</v>
      </c>
      <c r="U51" s="1241">
        <f>RBBD!P36</f>
        <v>0</v>
      </c>
      <c r="V51" s="1241">
        <f>RBBD!Q36</f>
        <v>0</v>
      </c>
      <c r="W51" s="1241">
        <f>RBBD!R36</f>
        <v>0</v>
      </c>
      <c r="X51" s="1241">
        <f>RBBD!S36</f>
        <v>0</v>
      </c>
      <c r="Y51" s="1241">
        <f>RBBD!T36</f>
        <v>0</v>
      </c>
      <c r="Z51" s="65"/>
      <c r="AA51" s="324">
        <f t="shared" si="5"/>
        <v>0</v>
      </c>
    </row>
    <row r="52" spans="2:27" hidden="1">
      <c r="B52" s="1241">
        <f>RBBD!B37</f>
        <v>0</v>
      </c>
      <c r="C52" s="1241">
        <f>RBBD!C37</f>
        <v>0</v>
      </c>
      <c r="D52" s="1241">
        <f>RBBD!D37</f>
        <v>0</v>
      </c>
      <c r="E52" s="1241">
        <f>RBBD!G37</f>
        <v>0</v>
      </c>
      <c r="F52" s="1241">
        <f>RBBD!H37</f>
        <v>0</v>
      </c>
      <c r="G52" s="1241">
        <f>RBBD!E37</f>
        <v>0</v>
      </c>
      <c r="H52" s="1241">
        <f>RBBD!F37</f>
        <v>0</v>
      </c>
      <c r="I52" s="1241">
        <f t="shared" si="2"/>
        <v>0</v>
      </c>
      <c r="J52" s="1241">
        <f t="shared" si="2"/>
        <v>0</v>
      </c>
      <c r="K52" s="1241">
        <f t="shared" si="2"/>
        <v>0</v>
      </c>
      <c r="L52" s="1241">
        <f t="shared" si="2"/>
        <v>0</v>
      </c>
      <c r="M52" s="1241">
        <f t="shared" si="3"/>
        <v>0</v>
      </c>
      <c r="N52" s="1241">
        <f>RBBD!I37</f>
        <v>0</v>
      </c>
      <c r="O52" s="1241">
        <f>RBBD!J37</f>
        <v>0</v>
      </c>
      <c r="P52" s="1241">
        <f>RBBD!K37</f>
        <v>0</v>
      </c>
      <c r="Q52" s="1241">
        <f>RBBD!L37</f>
        <v>0</v>
      </c>
      <c r="R52" s="1241">
        <f>RBBD!M37</f>
        <v>0</v>
      </c>
      <c r="S52" s="1241">
        <f>RBBD!N37</f>
        <v>0</v>
      </c>
      <c r="T52" s="1241">
        <f>RBBD!O37</f>
        <v>0</v>
      </c>
      <c r="U52" s="1241">
        <f>RBBD!P37</f>
        <v>0</v>
      </c>
      <c r="V52" s="1241">
        <f>RBBD!Q37</f>
        <v>0</v>
      </c>
      <c r="W52" s="1241">
        <f>RBBD!R37</f>
        <v>0</v>
      </c>
      <c r="X52" s="1241">
        <f>RBBD!S37</f>
        <v>0</v>
      </c>
      <c r="Y52" s="1241">
        <f>RBBD!T37</f>
        <v>0</v>
      </c>
      <c r="Z52" s="65"/>
      <c r="AA52" s="324">
        <f t="shared" si="5"/>
        <v>0</v>
      </c>
    </row>
    <row r="53" spans="2:27" hidden="1">
      <c r="B53" s="1241">
        <f>RBBD!B38</f>
        <v>0</v>
      </c>
      <c r="C53" s="1241">
        <f>RBBD!C38</f>
        <v>0</v>
      </c>
      <c r="D53" s="1241">
        <f>RBBD!D38</f>
        <v>0</v>
      </c>
      <c r="E53" s="1241">
        <f>RBBD!G38</f>
        <v>0</v>
      </c>
      <c r="F53" s="1241">
        <f>RBBD!H38</f>
        <v>0</v>
      </c>
      <c r="G53" s="1241">
        <f>RBBD!E38</f>
        <v>0</v>
      </c>
      <c r="H53" s="1241">
        <f>RBBD!F38</f>
        <v>0</v>
      </c>
      <c r="I53" s="1241">
        <f t="shared" si="2"/>
        <v>0</v>
      </c>
      <c r="J53" s="1241">
        <f t="shared" si="2"/>
        <v>0</v>
      </c>
      <c r="K53" s="1241">
        <f t="shared" si="2"/>
        <v>0</v>
      </c>
      <c r="L53" s="1241">
        <f t="shared" si="2"/>
        <v>0</v>
      </c>
      <c r="M53" s="1241">
        <f t="shared" si="3"/>
        <v>0</v>
      </c>
      <c r="N53" s="1241">
        <f>RBBD!I38</f>
        <v>0</v>
      </c>
      <c r="O53" s="1241">
        <f>RBBD!J38</f>
        <v>0</v>
      </c>
      <c r="P53" s="1241">
        <f>RBBD!K38</f>
        <v>0</v>
      </c>
      <c r="Q53" s="1241">
        <f>RBBD!L38</f>
        <v>0</v>
      </c>
      <c r="R53" s="1241">
        <f>RBBD!M38</f>
        <v>0</v>
      </c>
      <c r="S53" s="1241">
        <f>RBBD!N38</f>
        <v>0</v>
      </c>
      <c r="T53" s="1241">
        <f>RBBD!O38</f>
        <v>0</v>
      </c>
      <c r="U53" s="1241">
        <f>RBBD!P38</f>
        <v>0</v>
      </c>
      <c r="V53" s="1241">
        <f>RBBD!Q38</f>
        <v>0</v>
      </c>
      <c r="W53" s="1241">
        <f>RBBD!R38</f>
        <v>0</v>
      </c>
      <c r="X53" s="1241">
        <f>RBBD!S38</f>
        <v>0</v>
      </c>
      <c r="Y53" s="1241">
        <f>RBBD!T38</f>
        <v>0</v>
      </c>
      <c r="Z53" s="65"/>
      <c r="AA53" s="324">
        <f t="shared" si="5"/>
        <v>0</v>
      </c>
    </row>
    <row r="54" spans="2:27" hidden="1">
      <c r="B54" s="1241">
        <f>RBBD!B39</f>
        <v>0</v>
      </c>
      <c r="C54" s="1241">
        <f>RBBD!C39</f>
        <v>0</v>
      </c>
      <c r="D54" s="1241">
        <f>RBBD!D39</f>
        <v>0</v>
      </c>
      <c r="E54" s="1241">
        <f>RBBD!G39</f>
        <v>0</v>
      </c>
      <c r="F54" s="1241">
        <f>RBBD!H39</f>
        <v>0</v>
      </c>
      <c r="G54" s="1241">
        <f>RBBD!E39</f>
        <v>0</v>
      </c>
      <c r="H54" s="1241">
        <f>RBBD!F39</f>
        <v>0</v>
      </c>
      <c r="I54" s="1241">
        <f t="shared" si="2"/>
        <v>0</v>
      </c>
      <c r="J54" s="1241">
        <f t="shared" si="2"/>
        <v>0</v>
      </c>
      <c r="K54" s="1241">
        <f t="shared" si="2"/>
        <v>0</v>
      </c>
      <c r="L54" s="1241">
        <f t="shared" si="2"/>
        <v>0</v>
      </c>
      <c r="M54" s="1241">
        <f t="shared" si="3"/>
        <v>0</v>
      </c>
      <c r="N54" s="1241">
        <f>RBBD!I39</f>
        <v>0</v>
      </c>
      <c r="O54" s="1241">
        <f>RBBD!J39</f>
        <v>0</v>
      </c>
      <c r="P54" s="1241">
        <f>RBBD!K39</f>
        <v>0</v>
      </c>
      <c r="Q54" s="1241">
        <f>RBBD!L39</f>
        <v>0</v>
      </c>
      <c r="R54" s="1241">
        <f>RBBD!M39</f>
        <v>0</v>
      </c>
      <c r="S54" s="1241">
        <f>RBBD!N39</f>
        <v>0</v>
      </c>
      <c r="T54" s="1241">
        <f>RBBD!O39</f>
        <v>0</v>
      </c>
      <c r="U54" s="1241">
        <f>RBBD!P39</f>
        <v>0</v>
      </c>
      <c r="V54" s="1241">
        <f>RBBD!Q39</f>
        <v>0</v>
      </c>
      <c r="W54" s="1241">
        <f>RBBD!R39</f>
        <v>0</v>
      </c>
      <c r="X54" s="1241">
        <f>RBBD!S39</f>
        <v>0</v>
      </c>
      <c r="Y54" s="1241">
        <f>RBBD!T39</f>
        <v>0</v>
      </c>
      <c r="Z54" s="65"/>
      <c r="AA54" s="324">
        <f t="shared" si="5"/>
        <v>0</v>
      </c>
    </row>
    <row r="55" spans="2:27" hidden="1">
      <c r="B55" s="1241">
        <f>RBBD!B40</f>
        <v>0</v>
      </c>
      <c r="C55" s="1241">
        <f>RBBD!C40</f>
        <v>0</v>
      </c>
      <c r="D55" s="1241">
        <f>RBBD!D40</f>
        <v>0</v>
      </c>
      <c r="E55" s="1241">
        <f>RBBD!G40</f>
        <v>0</v>
      </c>
      <c r="F55" s="1241">
        <f>RBBD!H40</f>
        <v>0</v>
      </c>
      <c r="G55" s="1241">
        <f>RBBD!E40</f>
        <v>0</v>
      </c>
      <c r="H55" s="1241">
        <f>RBBD!F40</f>
        <v>0</v>
      </c>
      <c r="I55" s="1241">
        <f t="shared" si="2"/>
        <v>0</v>
      </c>
      <c r="J55" s="1241">
        <f t="shared" si="2"/>
        <v>0</v>
      </c>
      <c r="K55" s="1241">
        <f t="shared" si="2"/>
        <v>0</v>
      </c>
      <c r="L55" s="1241">
        <f t="shared" si="2"/>
        <v>0</v>
      </c>
      <c r="M55" s="1241">
        <f t="shared" si="3"/>
        <v>0</v>
      </c>
      <c r="N55" s="1241">
        <f>RBBD!I40</f>
        <v>0</v>
      </c>
      <c r="O55" s="1241">
        <f>RBBD!J40</f>
        <v>0</v>
      </c>
      <c r="P55" s="1241">
        <f>RBBD!K40</f>
        <v>0</v>
      </c>
      <c r="Q55" s="1241">
        <f>RBBD!L40</f>
        <v>0</v>
      </c>
      <c r="R55" s="1241">
        <f>RBBD!M40</f>
        <v>0</v>
      </c>
      <c r="S55" s="1241">
        <f>RBBD!N40</f>
        <v>0</v>
      </c>
      <c r="T55" s="1241">
        <f>RBBD!O40</f>
        <v>0</v>
      </c>
      <c r="U55" s="1241">
        <f>RBBD!P40</f>
        <v>0</v>
      </c>
      <c r="V55" s="1241">
        <f>RBBD!Q40</f>
        <v>0</v>
      </c>
      <c r="W55" s="1241">
        <f>RBBD!R40</f>
        <v>0</v>
      </c>
      <c r="X55" s="1241">
        <f>RBBD!S40</f>
        <v>0</v>
      </c>
      <c r="Y55" s="1241">
        <f>RBBD!T40</f>
        <v>0</v>
      </c>
      <c r="Z55" s="65"/>
      <c r="AA55" s="324">
        <f t="shared" si="5"/>
        <v>0</v>
      </c>
    </row>
    <row r="56" spans="2:27" hidden="1">
      <c r="B56" s="1241">
        <f>RBBD!B41</f>
        <v>0</v>
      </c>
      <c r="C56" s="1241">
        <f>RBBD!C41</f>
        <v>0</v>
      </c>
      <c r="D56" s="1241">
        <f>RBBD!D41</f>
        <v>0</v>
      </c>
      <c r="E56" s="1241">
        <f>RBBD!G41</f>
        <v>0</v>
      </c>
      <c r="F56" s="1241">
        <f>RBBD!H41</f>
        <v>0</v>
      </c>
      <c r="G56" s="1241">
        <f>RBBD!E41</f>
        <v>0</v>
      </c>
      <c r="H56" s="1241">
        <f>RBBD!F41</f>
        <v>0</v>
      </c>
      <c r="I56" s="1241">
        <f t="shared" si="2"/>
        <v>0</v>
      </c>
      <c r="J56" s="1241">
        <f t="shared" si="2"/>
        <v>0</v>
      </c>
      <c r="K56" s="1241">
        <f t="shared" si="2"/>
        <v>0</v>
      </c>
      <c r="L56" s="1241">
        <f t="shared" si="2"/>
        <v>0</v>
      </c>
      <c r="M56" s="1241">
        <f t="shared" si="3"/>
        <v>0</v>
      </c>
      <c r="N56" s="1241">
        <f>RBBD!I41</f>
        <v>0</v>
      </c>
      <c r="O56" s="1241">
        <f>RBBD!J41</f>
        <v>0</v>
      </c>
      <c r="P56" s="1241">
        <f>RBBD!K41</f>
        <v>0</v>
      </c>
      <c r="Q56" s="1241">
        <f>RBBD!L41</f>
        <v>0</v>
      </c>
      <c r="R56" s="1241">
        <f>RBBD!M41</f>
        <v>0</v>
      </c>
      <c r="S56" s="1241">
        <f>RBBD!N41</f>
        <v>0</v>
      </c>
      <c r="T56" s="1241">
        <f>RBBD!O41</f>
        <v>0</v>
      </c>
      <c r="U56" s="1241">
        <f>RBBD!P41</f>
        <v>0</v>
      </c>
      <c r="V56" s="1241">
        <f>RBBD!Q41</f>
        <v>0</v>
      </c>
      <c r="W56" s="1241">
        <f>RBBD!R41</f>
        <v>0</v>
      </c>
      <c r="X56" s="1241">
        <f>RBBD!S41</f>
        <v>0</v>
      </c>
      <c r="Y56" s="1241">
        <f>RBBD!T41</f>
        <v>0</v>
      </c>
      <c r="Z56" s="65"/>
      <c r="AA56" s="324">
        <f t="shared" si="5"/>
        <v>0</v>
      </c>
    </row>
    <row r="57" spans="2:27" hidden="1">
      <c r="B57" s="1241">
        <f>RBBD!B42</f>
        <v>0</v>
      </c>
      <c r="C57" s="1241">
        <f>RBBD!C42</f>
        <v>0</v>
      </c>
      <c r="D57" s="1241">
        <f>RBBD!D42</f>
        <v>0</v>
      </c>
      <c r="E57" s="1241">
        <f>RBBD!G42</f>
        <v>0</v>
      </c>
      <c r="F57" s="1241">
        <f>RBBD!H42</f>
        <v>0</v>
      </c>
      <c r="G57" s="1241">
        <f>RBBD!E42</f>
        <v>0</v>
      </c>
      <c r="H57" s="1241">
        <f>RBBD!F42</f>
        <v>0</v>
      </c>
      <c r="I57" s="1241">
        <f t="shared" si="2"/>
        <v>0</v>
      </c>
      <c r="J57" s="1241">
        <f t="shared" si="2"/>
        <v>0</v>
      </c>
      <c r="K57" s="1241">
        <f t="shared" si="2"/>
        <v>0</v>
      </c>
      <c r="L57" s="1241">
        <f t="shared" si="2"/>
        <v>0</v>
      </c>
      <c r="M57" s="1241">
        <f t="shared" si="3"/>
        <v>0</v>
      </c>
      <c r="N57" s="1241">
        <f>RBBD!I42</f>
        <v>0</v>
      </c>
      <c r="O57" s="1241">
        <f>RBBD!J42</f>
        <v>0</v>
      </c>
      <c r="P57" s="1241">
        <f>RBBD!K42</f>
        <v>0</v>
      </c>
      <c r="Q57" s="1241">
        <f>RBBD!L42</f>
        <v>0</v>
      </c>
      <c r="R57" s="1241">
        <f>RBBD!M42</f>
        <v>0</v>
      </c>
      <c r="S57" s="1241">
        <f>RBBD!N42</f>
        <v>0</v>
      </c>
      <c r="T57" s="1241">
        <f>RBBD!O42</f>
        <v>0</v>
      </c>
      <c r="U57" s="1241">
        <f>RBBD!P42</f>
        <v>0</v>
      </c>
      <c r="V57" s="1241">
        <f>RBBD!Q42</f>
        <v>0</v>
      </c>
      <c r="W57" s="1241">
        <f>RBBD!R42</f>
        <v>0</v>
      </c>
      <c r="X57" s="1241">
        <f>RBBD!S42</f>
        <v>0</v>
      </c>
      <c r="Y57" s="1241">
        <f>RBBD!T42</f>
        <v>0</v>
      </c>
      <c r="Z57" s="65"/>
      <c r="AA57" s="324">
        <f t="shared" si="5"/>
        <v>0</v>
      </c>
    </row>
    <row r="58" spans="2:27" hidden="1">
      <c r="B58" s="1241">
        <f>RBBD!B43</f>
        <v>0</v>
      </c>
      <c r="C58" s="1241">
        <f>RBBD!C43</f>
        <v>0</v>
      </c>
      <c r="D58" s="1241">
        <f>RBBD!D43</f>
        <v>0</v>
      </c>
      <c r="E58" s="1241">
        <f>RBBD!G43</f>
        <v>0</v>
      </c>
      <c r="F58" s="1241">
        <f>RBBD!H43</f>
        <v>0</v>
      </c>
      <c r="G58" s="1241">
        <f>RBBD!E43</f>
        <v>0</v>
      </c>
      <c r="H58" s="1241">
        <f>RBBD!F43</f>
        <v>0</v>
      </c>
      <c r="I58" s="1241">
        <f t="shared" si="2"/>
        <v>0</v>
      </c>
      <c r="J58" s="1241">
        <f t="shared" si="2"/>
        <v>0</v>
      </c>
      <c r="K58" s="1241">
        <f t="shared" si="2"/>
        <v>0</v>
      </c>
      <c r="L58" s="1241">
        <f t="shared" si="2"/>
        <v>0</v>
      </c>
      <c r="M58" s="1241">
        <f t="shared" si="3"/>
        <v>0</v>
      </c>
      <c r="N58" s="1241">
        <f>RBBD!I43</f>
        <v>0</v>
      </c>
      <c r="O58" s="1241">
        <f>RBBD!J43</f>
        <v>0</v>
      </c>
      <c r="P58" s="1241">
        <f>RBBD!K43</f>
        <v>0</v>
      </c>
      <c r="Q58" s="1241">
        <f>RBBD!L43</f>
        <v>0</v>
      </c>
      <c r="R58" s="1241">
        <f>RBBD!M43</f>
        <v>0</v>
      </c>
      <c r="S58" s="1241">
        <f>RBBD!N43</f>
        <v>0</v>
      </c>
      <c r="T58" s="1241">
        <f>RBBD!O43</f>
        <v>0</v>
      </c>
      <c r="U58" s="1241">
        <f>RBBD!P43</f>
        <v>0</v>
      </c>
      <c r="V58" s="1241">
        <f>RBBD!Q43</f>
        <v>0</v>
      </c>
      <c r="W58" s="1241">
        <f>RBBD!R43</f>
        <v>0</v>
      </c>
      <c r="X58" s="1241">
        <f>RBBD!S43</f>
        <v>0</v>
      </c>
      <c r="Y58" s="1241">
        <f>RBBD!T43</f>
        <v>0</v>
      </c>
      <c r="Z58" s="65"/>
      <c r="AA58" s="324">
        <f t="shared" si="5"/>
        <v>0</v>
      </c>
    </row>
    <row r="59" spans="2:27" hidden="1">
      <c r="B59" s="1241">
        <f>RBBD!B44</f>
        <v>0</v>
      </c>
      <c r="C59" s="1241">
        <f>RBBD!C44</f>
        <v>0</v>
      </c>
      <c r="D59" s="1241">
        <f>RBBD!D44</f>
        <v>0</v>
      </c>
      <c r="E59" s="1241">
        <f>RBBD!G44</f>
        <v>0</v>
      </c>
      <c r="F59" s="1241">
        <f>RBBD!H44</f>
        <v>0</v>
      </c>
      <c r="G59" s="1241">
        <f>RBBD!E44</f>
        <v>0</v>
      </c>
      <c r="H59" s="1241">
        <f>RBBD!F44</f>
        <v>0</v>
      </c>
      <c r="I59" s="1241">
        <f t="shared" si="2"/>
        <v>0</v>
      </c>
      <c r="J59" s="1241">
        <f t="shared" si="2"/>
        <v>0</v>
      </c>
      <c r="K59" s="1241">
        <f t="shared" si="2"/>
        <v>0</v>
      </c>
      <c r="L59" s="1241">
        <f t="shared" si="2"/>
        <v>0</v>
      </c>
      <c r="M59" s="1241">
        <f t="shared" si="3"/>
        <v>0</v>
      </c>
      <c r="N59" s="1241">
        <f>RBBD!I44</f>
        <v>0</v>
      </c>
      <c r="O59" s="1241">
        <f>RBBD!J44</f>
        <v>0</v>
      </c>
      <c r="P59" s="1241">
        <f>RBBD!K44</f>
        <v>0</v>
      </c>
      <c r="Q59" s="1241">
        <f>RBBD!L44</f>
        <v>0</v>
      </c>
      <c r="R59" s="1241">
        <f>RBBD!M44</f>
        <v>0</v>
      </c>
      <c r="S59" s="1241">
        <f>RBBD!N44</f>
        <v>0</v>
      </c>
      <c r="T59" s="1241">
        <f>RBBD!O44</f>
        <v>0</v>
      </c>
      <c r="U59" s="1241">
        <f>RBBD!P44</f>
        <v>0</v>
      </c>
      <c r="V59" s="1241">
        <f>RBBD!Q44</f>
        <v>0</v>
      </c>
      <c r="W59" s="1241">
        <f>RBBD!R44</f>
        <v>0</v>
      </c>
      <c r="X59" s="1241">
        <f>RBBD!S44</f>
        <v>0</v>
      </c>
      <c r="Y59" s="1241">
        <f>RBBD!T44</f>
        <v>0</v>
      </c>
      <c r="Z59" s="65"/>
      <c r="AA59" s="324">
        <f t="shared" si="5"/>
        <v>0</v>
      </c>
    </row>
    <row r="60" spans="2:27" hidden="1">
      <c r="B60" s="1241">
        <f>RBBD!B45</f>
        <v>0</v>
      </c>
      <c r="C60" s="1241">
        <f>RBBD!C45</f>
        <v>0</v>
      </c>
      <c r="D60" s="1241">
        <f>RBBD!D45</f>
        <v>0</v>
      </c>
      <c r="E60" s="1241">
        <f>RBBD!G45</f>
        <v>0</v>
      </c>
      <c r="F60" s="1241">
        <f>RBBD!H45</f>
        <v>0</v>
      </c>
      <c r="G60" s="1241">
        <f>RBBD!E45</f>
        <v>0</v>
      </c>
      <c r="H60" s="1241">
        <f>RBBD!F45</f>
        <v>0</v>
      </c>
      <c r="I60" s="1241">
        <f t="shared" si="2"/>
        <v>0</v>
      </c>
      <c r="J60" s="1241">
        <f t="shared" si="2"/>
        <v>0</v>
      </c>
      <c r="K60" s="1241">
        <f t="shared" si="2"/>
        <v>0</v>
      </c>
      <c r="L60" s="1241">
        <f t="shared" si="2"/>
        <v>0</v>
      </c>
      <c r="M60" s="1241">
        <f t="shared" si="3"/>
        <v>0</v>
      </c>
      <c r="N60" s="1241">
        <f>RBBD!I45</f>
        <v>0</v>
      </c>
      <c r="O60" s="1241">
        <f>RBBD!J45</f>
        <v>0</v>
      </c>
      <c r="P60" s="1241">
        <f>RBBD!K45</f>
        <v>0</v>
      </c>
      <c r="Q60" s="1241">
        <f>RBBD!L45</f>
        <v>0</v>
      </c>
      <c r="R60" s="1241">
        <f>RBBD!M45</f>
        <v>0</v>
      </c>
      <c r="S60" s="1241">
        <f>RBBD!N45</f>
        <v>0</v>
      </c>
      <c r="T60" s="1241">
        <f>RBBD!O45</f>
        <v>0</v>
      </c>
      <c r="U60" s="1241">
        <f>RBBD!P45</f>
        <v>0</v>
      </c>
      <c r="V60" s="1241">
        <f>RBBD!Q45</f>
        <v>0</v>
      </c>
      <c r="W60" s="1241">
        <f>RBBD!R45</f>
        <v>0</v>
      </c>
      <c r="X60" s="1241">
        <f>RBBD!S45</f>
        <v>0</v>
      </c>
      <c r="Y60" s="1241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2" t="s">
        <v>1165</v>
      </c>
      <c r="D62" s="1243"/>
      <c r="E62" s="1243" t="e">
        <f>SUM(I18:I61)/SUM(M18:M61)</f>
        <v>#DIV/0!</v>
      </c>
      <c r="F62" s="1243" t="e">
        <f>SUM(J18:J61)/SUM(M18:M61)</f>
        <v>#DIV/0!</v>
      </c>
      <c r="G62" s="1243" t="e">
        <f>SUM(K18:K61)/SUM(M18:M61)</f>
        <v>#DIV/0!</v>
      </c>
      <c r="H62" s="1243" t="e">
        <f>SUM(L18:L61)/SUM(M18:M61)</f>
        <v>#DIV/0!</v>
      </c>
      <c r="I62" s="1244">
        <f>SUM(I16:I61)</f>
        <v>0</v>
      </c>
      <c r="J62" s="1244">
        <f>SUM(J16:J61)</f>
        <v>0</v>
      </c>
      <c r="K62" s="1244">
        <f>SUM(K16:K61)</f>
        <v>0</v>
      </c>
      <c r="L62" s="1244">
        <f>SUM(L16:L61)</f>
        <v>0</v>
      </c>
      <c r="M62" s="1244">
        <f>SUM(M17:M61)</f>
        <v>0</v>
      </c>
      <c r="N62" s="1244">
        <f>SUM(N18:N61)</f>
        <v>0</v>
      </c>
      <c r="O62" s="1244">
        <f t="shared" ref="O62:Y62" si="6">SUM(O18:O61)</f>
        <v>0</v>
      </c>
      <c r="P62" s="1244">
        <f t="shared" si="6"/>
        <v>0</v>
      </c>
      <c r="Q62" s="1244">
        <f t="shared" si="6"/>
        <v>0</v>
      </c>
      <c r="R62" s="1244">
        <f t="shared" si="6"/>
        <v>0</v>
      </c>
      <c r="S62" s="1244">
        <f t="shared" si="6"/>
        <v>0</v>
      </c>
      <c r="T62" s="1244">
        <f t="shared" si="6"/>
        <v>0</v>
      </c>
      <c r="U62" s="1244">
        <f t="shared" si="6"/>
        <v>0</v>
      </c>
      <c r="V62" s="1244">
        <f t="shared" si="6"/>
        <v>0</v>
      </c>
      <c r="W62" s="1244">
        <f t="shared" si="6"/>
        <v>0</v>
      </c>
      <c r="X62" s="1244">
        <f t="shared" si="6"/>
        <v>0</v>
      </c>
      <c r="Y62" s="1244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4" t="s">
        <v>1166</v>
      </c>
      <c r="C67" s="1234"/>
      <c r="D67" s="1234"/>
      <c r="E67" s="1234"/>
      <c r="F67" s="1234"/>
      <c r="G67" s="1234"/>
      <c r="H67" s="1234"/>
      <c r="I67" s="1234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8"/>
      <c r="E69" s="1245">
        <f>IF(MONTH(E70)=7,E70,0)</f>
        <v>0</v>
      </c>
      <c r="F69" s="1245">
        <f t="shared" ref="F69:P69" si="7">IF(MONTH(F70)=7,F70,0)</f>
        <v>0</v>
      </c>
      <c r="G69" s="1245">
        <f t="shared" si="7"/>
        <v>0</v>
      </c>
      <c r="H69" s="1245">
        <f t="shared" si="7"/>
        <v>0</v>
      </c>
      <c r="I69" s="1245">
        <f t="shared" si="7"/>
        <v>0</v>
      </c>
      <c r="J69" s="1245">
        <f t="shared" si="7"/>
        <v>0</v>
      </c>
      <c r="K69" s="1245">
        <f t="shared" si="7"/>
        <v>0</v>
      </c>
      <c r="L69" s="1245">
        <f t="shared" si="7"/>
        <v>0</v>
      </c>
      <c r="M69" s="1245">
        <f t="shared" si="7"/>
        <v>0</v>
      </c>
      <c r="N69" s="1245">
        <f t="shared" si="7"/>
        <v>0</v>
      </c>
      <c r="O69" s="1245">
        <f t="shared" si="7"/>
        <v>44743</v>
      </c>
      <c r="P69" s="1245">
        <f t="shared" si="7"/>
        <v>0</v>
      </c>
      <c r="Q69" s="772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6">
        <f>G76</f>
        <v>44440</v>
      </c>
      <c r="F70" s="1246">
        <f>G77</f>
        <v>44470</v>
      </c>
      <c r="G70" s="1246">
        <f>G78</f>
        <v>44501</v>
      </c>
      <c r="H70" s="1246">
        <f>G79</f>
        <v>44531</v>
      </c>
      <c r="I70" s="1246">
        <f>G80</f>
        <v>44562</v>
      </c>
      <c r="J70" s="1246">
        <f>G81</f>
        <v>44593</v>
      </c>
      <c r="K70" s="1246">
        <f>G82</f>
        <v>44621</v>
      </c>
      <c r="L70" s="1246">
        <f>G83</f>
        <v>44652</v>
      </c>
      <c r="M70" s="1246">
        <f>G84</f>
        <v>44682</v>
      </c>
      <c r="N70" s="1246">
        <f>G85</f>
        <v>44713</v>
      </c>
      <c r="O70" s="1246">
        <f>G86</f>
        <v>44743</v>
      </c>
      <c r="P70" s="1246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7" t="s">
        <v>1168</v>
      </c>
      <c r="D71" s="1248">
        <f>SUM(E71:P71)</f>
        <v>0</v>
      </c>
      <c r="E71" s="1249">
        <f>SUMIF($G$76:$G$420,E70,$N$76:$N$420)</f>
        <v>0</v>
      </c>
      <c r="F71" s="1249">
        <f t="shared" ref="F71:P71" si="8">SUMIF($G$76:$G$420,F70,$N$76:$N$420)</f>
        <v>0</v>
      </c>
      <c r="G71" s="1249">
        <f t="shared" si="8"/>
        <v>0</v>
      </c>
      <c r="H71" s="1249">
        <f t="shared" si="8"/>
        <v>0</v>
      </c>
      <c r="I71" s="1249">
        <f t="shared" si="8"/>
        <v>0</v>
      </c>
      <c r="J71" s="1249">
        <f t="shared" si="8"/>
        <v>0</v>
      </c>
      <c r="K71" s="1249">
        <f t="shared" si="8"/>
        <v>0</v>
      </c>
      <c r="L71" s="1249">
        <f t="shared" si="8"/>
        <v>0</v>
      </c>
      <c r="M71" s="1249">
        <f t="shared" si="8"/>
        <v>0</v>
      </c>
      <c r="N71" s="1249">
        <f t="shared" si="8"/>
        <v>0</v>
      </c>
      <c r="O71" s="1249">
        <f t="shared" si="8"/>
        <v>0</v>
      </c>
      <c r="P71" s="1249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7" t="s">
        <v>1169</v>
      </c>
      <c r="D72" s="1248">
        <f>SUM(E72:P72)</f>
        <v>0</v>
      </c>
      <c r="E72" s="1249">
        <f>SUMIF(Indexador!$B$25:$B$48,'Rede Básica + Ajuste'!E70,Indexador!$J$25:$J$48)</f>
        <v>0</v>
      </c>
      <c r="F72" s="1249">
        <f>SUMIF(Indexador!$B$25:$B$48,'Rede Básica + Ajuste'!F70,Indexador!$J$25:$J$48)</f>
        <v>0</v>
      </c>
      <c r="G72" s="1249">
        <f>SUMIF(Indexador!$B$25:$B$48,'Rede Básica + Ajuste'!G70,Indexador!$J$25:$J$48)</f>
        <v>0</v>
      </c>
      <c r="H72" s="1249">
        <f>SUMIF(Indexador!$B$25:$B$48,'Rede Básica + Ajuste'!H70,Indexador!$J$25:$J$48)</f>
        <v>0</v>
      </c>
      <c r="I72" s="1249">
        <f>SUMIF(Indexador!$B$25:$B$48,'Rede Básica + Ajuste'!I70,Indexador!$J$25:$J$48)</f>
        <v>0</v>
      </c>
      <c r="J72" s="1249">
        <f>SUMIF(Indexador!$B$25:$B$48,'Rede Básica + Ajuste'!J70,Indexador!$J$25:$J$48)</f>
        <v>0</v>
      </c>
      <c r="K72" s="1249">
        <f>SUMIF(Indexador!$B$25:$B$48,'Rede Básica + Ajuste'!K70,Indexador!$J$25:$J$48)</f>
        <v>0</v>
      </c>
      <c r="L72" s="1249">
        <f>SUMIF(Indexador!$B$25:$B$48,'Rede Básica + Ajuste'!L70,Indexador!$J$25:$J$48)</f>
        <v>0</v>
      </c>
      <c r="M72" s="1249">
        <f>SUMIF(Indexador!$B$25:$B$48,'Rede Básica + Ajuste'!M70,Indexador!$J$25:$J$48)</f>
        <v>0</v>
      </c>
      <c r="N72" s="1249">
        <f>SUMIF(Indexador!$B$25:$B$48,'Rede Básica + Ajuste'!N70,Indexador!$J$25:$J$48)</f>
        <v>0</v>
      </c>
      <c r="O72" s="1249">
        <f>SUMIF(Indexador!$B$25:$B$48,'Rede Básica + Ajuste'!O70,Indexador!$J$25:$J$48)</f>
        <v>0</v>
      </c>
      <c r="P72" s="1249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12" t="s">
        <v>1170</v>
      </c>
      <c r="K74" s="1813"/>
      <c r="L74" s="1814" t="s">
        <v>1171</v>
      </c>
      <c r="M74" s="1814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15" t="s">
        <v>1153</v>
      </c>
      <c r="D75" s="1816"/>
      <c r="F75" s="270"/>
      <c r="G75" s="1250" t="s">
        <v>646</v>
      </c>
      <c r="H75" s="1251" t="s">
        <v>1172</v>
      </c>
      <c r="I75" s="1251" t="s">
        <v>1173</v>
      </c>
      <c r="J75" s="1252" t="s">
        <v>1174</v>
      </c>
      <c r="K75" s="1252" t="s">
        <v>1175</v>
      </c>
      <c r="L75" s="1252" t="s">
        <v>1174</v>
      </c>
      <c r="M75" s="1252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7" t="s">
        <v>1177</v>
      </c>
      <c r="D76" s="1253">
        <f>IF(D18="Ponta",B18,0)</f>
        <v>0</v>
      </c>
      <c r="E76" s="18"/>
      <c r="F76" s="270"/>
      <c r="G76" s="1254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5">
        <f>IF(MONTH(DataRevRea)=7,'Rede Básica + Ajuste'!J76,IF(G76&lt;$Q$69,(SUMIFS($E$18:$E$60,$B$18:$B$60,$D$76,$D$18:$D$60,"Ponta")),(SUMIFS($F$18:$F$60,$B$18:$B$60,$D$76,$D$18:$D$60,"Ponta"))))</f>
        <v>0</v>
      </c>
      <c r="M76" s="1255">
        <f>IF(MONTH(DataRevRea)=7,'Rede Básica + Ajuste'!K76,IF(G76&lt;$Q$69,(SUMIFS($E$18:$E$60,$B$18:$B$60,$D$76,$D$18:$D$60,"Fora Ponta")),(SUMIFS($F$18:$F$60,$B$18:$B$60,$D$76,$D$18:$D$60,"Fora Ponta"))))</f>
        <v>0</v>
      </c>
      <c r="N76" s="1256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7" t="s">
        <v>1178</v>
      </c>
      <c r="E78" s="1258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9" t="str">
        <f>"Cobertura "&amp;YEAR(CAPA!C14)</f>
        <v>Cobertura 2021</v>
      </c>
      <c r="D79" s="1260">
        <f>SUMPRODUCT(H76:H87,J76:J87)</f>
        <v>0</v>
      </c>
      <c r="E79" s="1260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9" t="s">
        <v>1180</v>
      </c>
      <c r="D80" s="1260">
        <f>SUMPRODUCT(H76:H87,L76:L87)</f>
        <v>0</v>
      </c>
      <c r="E80" s="1260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61">
        <f t="shared" si="12"/>
        <v>44774</v>
      </c>
      <c r="H87" s="1262">
        <f>SUMIFS($Y$18:$Y$60,$B$18:$B$60,$D$76,$D$18:$D$60,"Ponta")</f>
        <v>0</v>
      </c>
      <c r="I87" s="1262">
        <f>SUMIFS($Y$18:$Y$60,$B$18:$B$60,$D$76,$D$18:$D$60,"Fora Ponta")</f>
        <v>0</v>
      </c>
      <c r="J87" s="1262">
        <f t="shared" si="9"/>
        <v>0</v>
      </c>
      <c r="K87" s="1262">
        <f t="shared" si="10"/>
        <v>0</v>
      </c>
      <c r="L87" s="1262">
        <f>IF(MONTH(DataRevRea)=7,'Rede Básica + Ajuste'!J87,IF(G87&lt;$Q$69,(SUMIFS($E$18:$E$60,$B$18:$B$60,$D$76,$D$18:$D$60,"Ponta")),(SUMIFS($F$18:$F$60,$B$18:$B$60,$D$76,$D$18:$D$60,"Ponta"))))</f>
        <v>0</v>
      </c>
      <c r="M87" s="1262">
        <f>IF(MONTH(DataRevRea)=7,'Rede Básica + Ajuste'!K87,IF(G87&lt;$Q$69,(SUMIFS($E$18:$E$60,$B$18:$B$60,$D$76,$D$18:$D$60,"Fora Ponta")),(SUMIFS($F$18:$F$60,$B$18:$B$60,$D$76,$D$18:$D$60,"Fora Ponta"))))</f>
        <v>0</v>
      </c>
      <c r="N87" s="1263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12" t="s">
        <v>1170</v>
      </c>
      <c r="K89" s="1813"/>
      <c r="L89" s="1814" t="s">
        <v>1171</v>
      </c>
      <c r="M89" s="1814"/>
      <c r="N89" s="278"/>
    </row>
    <row r="90" spans="2:50" ht="15.75">
      <c r="C90" s="1815" t="s">
        <v>1181</v>
      </c>
      <c r="D90" s="1816"/>
      <c r="F90" s="270"/>
      <c r="G90" s="1250" t="s">
        <v>646</v>
      </c>
      <c r="H90" s="1251" t="s">
        <v>1172</v>
      </c>
      <c r="I90" s="1251" t="s">
        <v>1173</v>
      </c>
      <c r="J90" s="1252" t="s">
        <v>1174</v>
      </c>
      <c r="K90" s="1252" t="s">
        <v>1175</v>
      </c>
      <c r="L90" s="1252" t="s">
        <v>1174</v>
      </c>
      <c r="M90" s="1252" t="s">
        <v>1175</v>
      </c>
      <c r="N90" s="277" t="s">
        <v>1176</v>
      </c>
    </row>
    <row r="91" spans="2:50" ht="15.75">
      <c r="C91" s="1247" t="s">
        <v>1177</v>
      </c>
      <c r="D91" s="1253">
        <f>IF(D18="Ponta",B18,0)</f>
        <v>0</v>
      </c>
      <c r="E91" s="18"/>
      <c r="F91" s="270"/>
      <c r="G91" s="1254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5">
        <f>IF(MONTH(DataRevRea)=7,'Rede Básica + Ajuste'!J91,IF(G91&lt;$Q$69,(SUMIFS($G$18:$G$60,$B$18:$B$60,$D$91,$D$18:$D$60,"Ponta")),(SUMIFS($H$18:$H$60,$B$18:$B$60,$D$91,$D$18:$D$60,"Ponta"))))</f>
        <v>0</v>
      </c>
      <c r="M91" s="1255">
        <f>IF(MONTH(DataRevRea)=7,'Rede Básica + Ajuste'!K91,IF(G91&lt;$Q$69,(SUMIFS($G$18:$G$60,$B$18:$B$60,$D$91,$D$18:$D$60,"Fora Ponta")),(SUMIFS($H$18:$H$60,$B$18:$B$60,$D$91,$D$18:$D$60,"Fora Ponta"))))</f>
        <v>0</v>
      </c>
      <c r="N91" s="1256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7" t="s">
        <v>1178</v>
      </c>
      <c r="E93" s="1258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9" t="str">
        <f>C79</f>
        <v>Cobertura 2021</v>
      </c>
      <c r="D94" s="1260">
        <f>SUMPRODUCT(H91:H102,J91:J102)</f>
        <v>0</v>
      </c>
      <c r="E94" s="1260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9" t="s">
        <v>1180</v>
      </c>
      <c r="D95" s="1260">
        <f>SUMPRODUCT(H91:H102,L91:L102)</f>
        <v>0</v>
      </c>
      <c r="E95" s="1260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61">
        <f t="shared" si="13"/>
        <v>44774</v>
      </c>
      <c r="H102" s="1262">
        <f t="shared" si="13"/>
        <v>0</v>
      </c>
      <c r="I102" s="1262">
        <f t="shared" si="13"/>
        <v>0</v>
      </c>
      <c r="J102" s="1262">
        <f t="shared" si="14"/>
        <v>0</v>
      </c>
      <c r="K102" s="1262">
        <f t="shared" si="15"/>
        <v>0</v>
      </c>
      <c r="L102" s="1262">
        <f>IF(MONTH(DataRevRea)=7,'Rede Básica + Ajuste'!J102,IF(G102&lt;$Q$69,(SUMIFS($G$18:$G$60,$B$18:$B$60,$D$91,$D$18:$D$60,"Ponta")),(SUMIFS($H$18:$H$60,$B$18:$B$60,$D$91,$D$18:$D$60,"Ponta"))))</f>
        <v>0</v>
      </c>
      <c r="M102" s="1262">
        <f>IF(MONTH(DataRevRea)=7,'Rede Básica + Ajuste'!K102,IF(G102&lt;$Q$69,(SUMIFS($G$18:$G$60,$B$18:$B$60,$D$91,$D$18:$D$60,"Fora Ponta")),(SUMIFS($H$18:$H$60,$B$18:$B$60,$D$91,$D$18:$D$60,"Fora Ponta"))))</f>
        <v>0</v>
      </c>
      <c r="N102" s="1263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12" t="s">
        <v>1170</v>
      </c>
      <c r="K104" s="1813"/>
      <c r="L104" s="1814" t="s">
        <v>1171</v>
      </c>
      <c r="M104" s="1814"/>
      <c r="N104" s="278"/>
    </row>
    <row r="105" spans="3:14" ht="15.75">
      <c r="C105" s="1815" t="s">
        <v>1153</v>
      </c>
      <c r="D105" s="1816"/>
      <c r="F105" s="270"/>
      <c r="G105" s="1250" t="s">
        <v>646</v>
      </c>
      <c r="H105" s="1251" t="s">
        <v>1172</v>
      </c>
      <c r="I105" s="1251" t="s">
        <v>1173</v>
      </c>
      <c r="J105" s="1252" t="s">
        <v>1174</v>
      </c>
      <c r="K105" s="1252" t="s">
        <v>1175</v>
      </c>
      <c r="L105" s="1252" t="s">
        <v>1174</v>
      </c>
      <c r="M105" s="1252" t="s">
        <v>1175</v>
      </c>
      <c r="N105" s="277" t="s">
        <v>1176</v>
      </c>
    </row>
    <row r="106" spans="3:14" ht="15.75">
      <c r="C106" s="1247" t="s">
        <v>1177</v>
      </c>
      <c r="D106" s="1264">
        <f>IF(D19="Ponta",B19,0)</f>
        <v>0</v>
      </c>
      <c r="E106" s="18"/>
      <c r="F106" s="270"/>
      <c r="G106" s="1254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5">
        <f>IF(MONTH(DataRevRea)=7,'Rede Básica + Ajuste'!J106,IF(G106&lt;$Q$69,(SUMIFS($E$18:$E$60,$B$18:$B$60,$D$106,$D$18:$D$60,"Ponta")),(SUMIFS($F$18:$F$60,$B$18:$B$60,$D$106,$D$18:$D$60,"Ponta"))))</f>
        <v>0</v>
      </c>
      <c r="M106" s="1255">
        <f>IF(MONTH(DataRevRea)=7,'Rede Básica + Ajuste'!K106,IF(G106&lt;$Q$69,(SUMIFS($E$18:$E$60,$B$18:$B$60,$D$106,$D$18:$D$60,"Fora Ponta")),(SUMIFS($F$18:$F$60,$B$18:$B$60,$D$106,$D$18:$D$60,"Fora Ponta"))))</f>
        <v>0</v>
      </c>
      <c r="N106" s="1256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7" t="s">
        <v>1178</v>
      </c>
      <c r="E108" s="1258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9" t="str">
        <f>C94</f>
        <v>Cobertura 2021</v>
      </c>
      <c r="D109" s="1260">
        <f>SUMPRODUCT(H106:H117,J106:J117)</f>
        <v>0</v>
      </c>
      <c r="E109" s="1260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9" t="s">
        <v>1180</v>
      </c>
      <c r="D110" s="1260">
        <f>SUMPRODUCT(H106:H117,L106:L117)</f>
        <v>0</v>
      </c>
      <c r="E110" s="1260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61">
        <f t="shared" si="17"/>
        <v>44774</v>
      </c>
      <c r="H117" s="1262">
        <f>SUMIFS($Y$18:$Y$60,$B$18:$B$60,$D$106,$D$18:$D$60,"Ponta")</f>
        <v>0</v>
      </c>
      <c r="I117" s="1262">
        <f>SUMIFS($Y$18:$Y$60,$B$18:$B$60,$D$106,$D$18:$D$60,"Fora Ponta")</f>
        <v>0</v>
      </c>
      <c r="J117" s="1262">
        <f t="shared" si="18"/>
        <v>0</v>
      </c>
      <c r="K117" s="1262">
        <f t="shared" si="19"/>
        <v>0</v>
      </c>
      <c r="L117" s="1262">
        <f>IF(MONTH(DataRevRea)=7,'Rede Básica + Ajuste'!J117,IF(G117&lt;$Q$69,(SUMIFS($E$18:$E$60,$B$18:$B$60,$D$106,$D$18:$D$60,"Ponta")),(SUMIFS($F$18:$F$60,$B$18:$B$60,$D$106,$D$18:$D$60,"Ponta"))))</f>
        <v>0</v>
      </c>
      <c r="M117" s="1262">
        <f>IF(MONTH(DataRevRea)=7,'Rede Básica + Ajuste'!K117,IF(G117&lt;$Q$69,(SUMIFS($E$18:$E$60,$B$18:$B$60,$D$106,$D$18:$D$60,"Fora Ponta")),(SUMIFS($F$18:$F$60,$B$18:$B$60,$D$106,$D$18:$D$60,"Fora Ponta"))))</f>
        <v>0</v>
      </c>
      <c r="N117" s="1263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12" t="s">
        <v>1170</v>
      </c>
      <c r="K119" s="1813"/>
      <c r="L119" s="1814" t="s">
        <v>1171</v>
      </c>
      <c r="M119" s="1814"/>
      <c r="N119" s="278"/>
    </row>
    <row r="120" spans="3:14" ht="15.75">
      <c r="C120" s="1815" t="s">
        <v>1181</v>
      </c>
      <c r="D120" s="1816"/>
      <c r="F120" s="270"/>
      <c r="G120" s="1250" t="s">
        <v>646</v>
      </c>
      <c r="H120" s="1251" t="s">
        <v>1172</v>
      </c>
      <c r="I120" s="1251" t="s">
        <v>1173</v>
      </c>
      <c r="J120" s="1252" t="s">
        <v>1174</v>
      </c>
      <c r="K120" s="1252" t="s">
        <v>1175</v>
      </c>
      <c r="L120" s="1252" t="s">
        <v>1174</v>
      </c>
      <c r="M120" s="1252" t="s">
        <v>1175</v>
      </c>
      <c r="N120" s="277" t="s">
        <v>1176</v>
      </c>
    </row>
    <row r="121" spans="3:14" ht="15.75">
      <c r="C121" s="1247" t="s">
        <v>1177</v>
      </c>
      <c r="D121" s="1264">
        <f>IF(D19="Ponta",B19,0)</f>
        <v>0</v>
      </c>
      <c r="E121" s="18"/>
      <c r="F121" s="270"/>
      <c r="G121" s="1254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5">
        <f>IF(MONTH(DataRevRea)=7,'Rede Básica + Ajuste'!J121,IF(G121&lt;$Q$69,(SUMIFS($G$18:$G$60,$B$18:$B$60,$D$121,$D$18:$D$60,"Ponta")),(SUMIFS($H$18:$H$60,$B$18:$B$60,$D$121,$D$18:$D$60,"Ponta"))))</f>
        <v>0</v>
      </c>
      <c r="M121" s="1255">
        <f>IF(MONTH(DataRevRea)=7,'Rede Básica + Ajuste'!K121,IF(G121&lt;$Q$69,(SUMIFS($G$18:$G$60,$B$18:$B$60,$D$121,$D$18:$D$60,"Fora Ponta")),(SUMIFS($H$18:$H$60,$B$18:$B$60,$D$121,$D$18:$D$60,"Fora Ponta"))))</f>
        <v>0</v>
      </c>
      <c r="N121" s="1256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7" t="s">
        <v>1178</v>
      </c>
      <c r="E123" s="1258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9" t="str">
        <f>C109</f>
        <v>Cobertura 2021</v>
      </c>
      <c r="D124" s="1260">
        <f>SUMPRODUCT(H121:H132,J121:J132)</f>
        <v>0</v>
      </c>
      <c r="E124" s="1260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9" t="s">
        <v>1180</v>
      </c>
      <c r="D125" s="1260">
        <f>SUMPRODUCT(H121:H132,L121:L132)</f>
        <v>0</v>
      </c>
      <c r="E125" s="1260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61">
        <f t="shared" si="21"/>
        <v>44774</v>
      </c>
      <c r="H132" s="1262">
        <f t="shared" si="21"/>
        <v>0</v>
      </c>
      <c r="I132" s="1262">
        <f t="shared" si="21"/>
        <v>0</v>
      </c>
      <c r="J132" s="1262">
        <f t="shared" si="22"/>
        <v>0</v>
      </c>
      <c r="K132" s="1262">
        <f t="shared" si="23"/>
        <v>0</v>
      </c>
      <c r="L132" s="1262">
        <f>IF(MONTH(DataRevRea)=7,'Rede Básica + Ajuste'!J132,IF(G132&lt;$Q$69,(SUMIFS($G$18:$G$60,$B$18:$B$60,$D$121,$D$18:$D$60,"Ponta")),(SUMIFS($H$18:$H$60,$B$18:$B$60,$D$121,$D$18:$D$60,"Ponta"))))</f>
        <v>0</v>
      </c>
      <c r="M132" s="1262">
        <f>IF(MONTH(DataRevRea)=7,'Rede Básica + Ajuste'!K132,IF(G132&lt;$Q$69,(SUMIFS($G$18:$G$60,$B$18:$B$60,$D$121,$D$18:$D$60,"Fora Ponta")),(SUMIFS($H$18:$H$60,$B$18:$B$60,$D$121,$D$18:$D$60,"Fora Ponta"))))</f>
        <v>0</v>
      </c>
      <c r="N132" s="1263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12" t="s">
        <v>1170</v>
      </c>
      <c r="K134" s="1813"/>
      <c r="L134" s="1814" t="s">
        <v>1171</v>
      </c>
      <c r="M134" s="1814"/>
      <c r="N134" s="278"/>
    </row>
    <row r="135" spans="3:14" ht="15.75">
      <c r="C135" s="1815" t="s">
        <v>1153</v>
      </c>
      <c r="D135" s="1816"/>
      <c r="F135" s="270"/>
      <c r="G135" s="1250" t="s">
        <v>646</v>
      </c>
      <c r="H135" s="1251" t="s">
        <v>1172</v>
      </c>
      <c r="I135" s="1251" t="s">
        <v>1173</v>
      </c>
      <c r="J135" s="1252" t="s">
        <v>1174</v>
      </c>
      <c r="K135" s="1252" t="s">
        <v>1175</v>
      </c>
      <c r="L135" s="1252" t="s">
        <v>1174</v>
      </c>
      <c r="M135" s="1252" t="s">
        <v>1175</v>
      </c>
      <c r="N135" s="277" t="s">
        <v>1176</v>
      </c>
    </row>
    <row r="136" spans="3:14" ht="15.75">
      <c r="C136" s="1247" t="s">
        <v>1177</v>
      </c>
      <c r="D136" s="1264">
        <f>IF(D20="Ponta",B20,0)</f>
        <v>0</v>
      </c>
      <c r="E136" s="18"/>
      <c r="F136" s="270"/>
      <c r="G136" s="1254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5">
        <f>IF(MONTH(DataRevRea)=7,'Rede Básica + Ajuste'!J136,IF(G136&lt;$Q$69,(SUMIFS($E$18:$E$60,$B$18:$B$60,$D$136,$D$18:$D$60,"Ponta")),(SUMIFS($F$18:$F$60,$B$18:$B$60,$D$136,$D$18:$D$60,"Ponta"))))</f>
        <v>0</v>
      </c>
      <c r="M136" s="1255">
        <f>IF(MONTH(DataRevRea)=7,'Rede Básica + Ajuste'!K136,IF(G136&lt;$Q$69,(SUMIFS($E$18:$E$60,$B$18:$B$60,$D$136,$D$18:$D$60,"Fora Ponta")),(SUMIFS($F$18:$F$60,$B$18:$B$60,$D$136,$D$18:$D$60,"Fora Ponta"))))</f>
        <v>0</v>
      </c>
      <c r="N136" s="1256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7" t="s">
        <v>1178</v>
      </c>
      <c r="E138" s="1258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9" t="str">
        <f>C124</f>
        <v>Cobertura 2021</v>
      </c>
      <c r="D139" s="1260">
        <f>SUMPRODUCT(H136:H147,J136:J147)</f>
        <v>0</v>
      </c>
      <c r="E139" s="1260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9" t="s">
        <v>1180</v>
      </c>
      <c r="D140" s="1260">
        <f>SUMPRODUCT(H136:H147,L136:L147)</f>
        <v>0</v>
      </c>
      <c r="E140" s="1260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61">
        <f t="shared" si="25"/>
        <v>44774</v>
      </c>
      <c r="H147" s="1262">
        <f>SUMIFS($Y$18:$Y$60,$B$18:$B$60,$D$136,$D$18:$D$60,"Ponta")</f>
        <v>0</v>
      </c>
      <c r="I147" s="1262">
        <f>SUMIFS($Y$18:$Y$60,$B$18:$B$60,$D$136,$D$18:$D$60,"Fora Ponta")</f>
        <v>0</v>
      </c>
      <c r="J147" s="1262">
        <f t="shared" si="26"/>
        <v>0</v>
      </c>
      <c r="K147" s="1262">
        <f t="shared" si="27"/>
        <v>0</v>
      </c>
      <c r="L147" s="1262">
        <f>IF(MONTH(DataRevRea)=7,'Rede Básica + Ajuste'!J147,IF(G147&lt;$Q$69,(SUMIFS($E$18:$E$60,$B$18:$B$60,$D$136,$D$18:$D$60,"Ponta")),(SUMIFS($F$18:$F$60,$B$18:$B$60,$D$136,$D$18:$D$60,"Ponta"))))</f>
        <v>0</v>
      </c>
      <c r="M147" s="1262">
        <f>IF(MONTH(DataRevRea)=7,'Rede Básica + Ajuste'!K147,IF(G147&lt;$Q$69,(SUMIFS($E$18:$E$60,$B$18:$B$60,$D$136,$D$18:$D$60,"Fora Ponta")),(SUMIFS($F$18:$F$60,$B$18:$B$60,$D$136,$D$18:$D$60,"Fora Ponta"))))</f>
        <v>0</v>
      </c>
      <c r="N147" s="1263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12" t="s">
        <v>1170</v>
      </c>
      <c r="K149" s="1813"/>
      <c r="L149" s="1814" t="s">
        <v>1171</v>
      </c>
      <c r="M149" s="1814"/>
      <c r="N149" s="278"/>
    </row>
    <row r="150" spans="3:14" ht="15.75">
      <c r="C150" s="1815" t="s">
        <v>1181</v>
      </c>
      <c r="D150" s="1816"/>
      <c r="F150" s="270"/>
      <c r="G150" s="1250" t="s">
        <v>646</v>
      </c>
      <c r="H150" s="1251" t="s">
        <v>1172</v>
      </c>
      <c r="I150" s="1251" t="s">
        <v>1173</v>
      </c>
      <c r="J150" s="1252" t="s">
        <v>1174</v>
      </c>
      <c r="K150" s="1252" t="s">
        <v>1175</v>
      </c>
      <c r="L150" s="1252" t="s">
        <v>1174</v>
      </c>
      <c r="M150" s="1252" t="s">
        <v>1175</v>
      </c>
      <c r="N150" s="277" t="s">
        <v>1176</v>
      </c>
    </row>
    <row r="151" spans="3:14" ht="15.75">
      <c r="C151" s="1247" t="s">
        <v>1177</v>
      </c>
      <c r="D151" s="1264">
        <f>IF(D20="Ponta",B20,0)</f>
        <v>0</v>
      </c>
      <c r="E151" s="18"/>
      <c r="F151" s="270"/>
      <c r="G151" s="1254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5">
        <f>IF(MONTH(DataRevRea)=7,'Rede Básica + Ajuste'!J151,IF(G151&lt;$Q$69,(SUMIFS($G$18:$G$60,$B$18:$B$60,$D$151,$D$18:$D$60,"Ponta")),(SUMIFS($H$18:$H$60,$B$18:$B$60,$D$151,$D$18:$D$60,"Ponta"))))</f>
        <v>0</v>
      </c>
      <c r="M151" s="1255">
        <f>IF(MONTH(DataRevRea)=7,'Rede Básica + Ajuste'!K151,IF(G151&lt;$Q$69,(SUMIFS($G$18:$G$60,$B$18:$B$60,$D$151,$D$18:$D$60,"Fora Ponta")),(SUMIFS($H$18:$H$60,$B$18:$B$60,$D$151,$D$18:$D$60,"Fora Ponta"))))</f>
        <v>0</v>
      </c>
      <c r="N151" s="1256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7" t="s">
        <v>1178</v>
      </c>
      <c r="E153" s="1258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9" t="str">
        <f>C139</f>
        <v>Cobertura 2021</v>
      </c>
      <c r="D154" s="1260">
        <f>SUMPRODUCT(H151:H162,J151:J162)</f>
        <v>0</v>
      </c>
      <c r="E154" s="1260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9" t="s">
        <v>1180</v>
      </c>
      <c r="D155" s="1260">
        <f>SUMPRODUCT(H151:H162,L151:L162)</f>
        <v>0</v>
      </c>
      <c r="E155" s="1260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61">
        <f t="shared" si="29"/>
        <v>44774</v>
      </c>
      <c r="H162" s="1262">
        <f t="shared" si="29"/>
        <v>0</v>
      </c>
      <c r="I162" s="1262">
        <f t="shared" si="29"/>
        <v>0</v>
      </c>
      <c r="J162" s="1262">
        <f t="shared" si="30"/>
        <v>0</v>
      </c>
      <c r="K162" s="1262">
        <f t="shared" si="31"/>
        <v>0</v>
      </c>
      <c r="L162" s="1262">
        <f>IF(MONTH(DataRevRea)=7,'Rede Básica + Ajuste'!J162,IF(G162&lt;$Q$69,(SUMIFS($G$18:$G$60,$B$18:$B$60,$D$151,$D$18:$D$60,"Ponta")),(SUMIFS($H$18:$H$60,$B$18:$B$60,$D$151,$D$18:$D$60,"Ponta"))))</f>
        <v>0</v>
      </c>
      <c r="M162" s="1262">
        <f>IF(MONTH(DataRevRea)=7,'Rede Básica + Ajuste'!K162,IF(G162&lt;$Q$69,(SUMIFS($G$18:$G$60,$B$18:$B$60,$D$151,$D$18:$D$60,"Fora Ponta")),(SUMIFS($H$18:$H$60,$B$18:$B$60,$D$151,$D$18:$D$60,"Fora Ponta"))))</f>
        <v>0</v>
      </c>
      <c r="N162" s="1263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12" t="s">
        <v>1170</v>
      </c>
      <c r="K164" s="1813"/>
      <c r="L164" s="1814" t="s">
        <v>1171</v>
      </c>
      <c r="M164" s="1814"/>
      <c r="N164" s="278"/>
    </row>
    <row r="165" spans="3:14" ht="15.75">
      <c r="C165" s="1815" t="s">
        <v>1153</v>
      </c>
      <c r="D165" s="1816"/>
      <c r="F165" s="270"/>
      <c r="G165" s="1250" t="s">
        <v>646</v>
      </c>
      <c r="H165" s="1251" t="s">
        <v>1172</v>
      </c>
      <c r="I165" s="1251" t="s">
        <v>1173</v>
      </c>
      <c r="J165" s="1252" t="s">
        <v>1174</v>
      </c>
      <c r="K165" s="1252" t="s">
        <v>1175</v>
      </c>
      <c r="L165" s="1252" t="s">
        <v>1174</v>
      </c>
      <c r="M165" s="1252" t="s">
        <v>1175</v>
      </c>
      <c r="N165" s="277" t="s">
        <v>1176</v>
      </c>
    </row>
    <row r="166" spans="3:14" ht="15.75">
      <c r="C166" s="1247" t="s">
        <v>1177</v>
      </c>
      <c r="D166" s="1264">
        <f>IF(D21="Ponta",B21,0)</f>
        <v>0</v>
      </c>
      <c r="E166" s="18"/>
      <c r="F166" s="270"/>
      <c r="G166" s="1254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5">
        <f>IF(MONTH(DataRevRea)=7,'Rede Básica + Ajuste'!J166,IF(G166&lt;$Q$69,(SUMIFS($E$18:$E$60,$B$18:$B$60,$D$166,$D$18:$D$60,"Ponta")),(SUMIFS($F$18:$F$60,$B$18:$B$60,$D$166,$D$18:$D$60,"Ponta"))))</f>
        <v>0</v>
      </c>
      <c r="M166" s="1255">
        <f>IF(MONTH(DataRevRea)=7,'Rede Básica + Ajuste'!K166,IF(G166&lt;$Q$69,(SUMIFS($E$18:$E$60,$B$18:$B$60,$D$166,$D$18:$D$60,"Fora Ponta")),(SUMIFS($F$18:$F$60,$B$18:$B$60,$D$166,$D$18:$D$60,"Fora Ponta"))))</f>
        <v>0</v>
      </c>
      <c r="N166" s="1256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7" t="s">
        <v>1178</v>
      </c>
      <c r="E168" s="1258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9" t="str">
        <f>C154</f>
        <v>Cobertura 2021</v>
      </c>
      <c r="D169" s="1260">
        <f>SUMPRODUCT(H166:H177,J166:J177)</f>
        <v>0</v>
      </c>
      <c r="E169" s="1260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9" t="s">
        <v>1180</v>
      </c>
      <c r="D170" s="1260">
        <f>SUMPRODUCT(H166:H177,L166:L177)</f>
        <v>0</v>
      </c>
      <c r="E170" s="1260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61">
        <f t="shared" si="33"/>
        <v>44774</v>
      </c>
      <c r="H177" s="1262">
        <f>SUMIFS($Y$18:$Y$60,$B$18:$B$60,$D$166,$D$18:$D$60,"Ponta")</f>
        <v>0</v>
      </c>
      <c r="I177" s="1262">
        <f>SUMIFS($Y$18:$Y$60,$B$18:$B$60,$D$166,$D$18:$D$60,"Fora Ponta")</f>
        <v>0</v>
      </c>
      <c r="J177" s="1262">
        <f t="shared" si="34"/>
        <v>0</v>
      </c>
      <c r="K177" s="1262">
        <f t="shared" si="35"/>
        <v>0</v>
      </c>
      <c r="L177" s="1262">
        <f>IF(MONTH(DataRevRea)=7,'Rede Básica + Ajuste'!J177,IF(G177&lt;$Q$69,(SUMIFS($E$18:$E$60,$B$18:$B$60,$D$166,$D$18:$D$60,"Ponta")),(SUMIFS($F$18:$F$60,$B$18:$B$60,$D$166,$D$18:$D$60,"Ponta"))))</f>
        <v>0</v>
      </c>
      <c r="M177" s="1262">
        <f>IF(MONTH(DataRevRea)=7,'Rede Básica + Ajuste'!K177,IF(G177&lt;$Q$69,(SUMIFS($E$18:$E$60,$B$18:$B$60,$D$166,$D$18:$D$60,"Fora Ponta")),(SUMIFS($F$18:$F$60,$B$18:$B$60,$D$166,$D$18:$D$60,"Fora Ponta"))))</f>
        <v>0</v>
      </c>
      <c r="N177" s="1263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12" t="s">
        <v>1170</v>
      </c>
      <c r="K179" s="1813"/>
      <c r="L179" s="1814" t="s">
        <v>1171</v>
      </c>
      <c r="M179" s="1814"/>
      <c r="N179" s="278"/>
    </row>
    <row r="180" spans="3:14" ht="15.75">
      <c r="C180" s="1815" t="s">
        <v>1181</v>
      </c>
      <c r="D180" s="1816"/>
      <c r="F180" s="270"/>
      <c r="G180" s="1250" t="s">
        <v>646</v>
      </c>
      <c r="H180" s="1251" t="s">
        <v>1172</v>
      </c>
      <c r="I180" s="1251" t="s">
        <v>1173</v>
      </c>
      <c r="J180" s="1252" t="s">
        <v>1174</v>
      </c>
      <c r="K180" s="1252" t="s">
        <v>1175</v>
      </c>
      <c r="L180" s="1252" t="s">
        <v>1174</v>
      </c>
      <c r="M180" s="1252" t="s">
        <v>1175</v>
      </c>
      <c r="N180" s="277" t="s">
        <v>1176</v>
      </c>
    </row>
    <row r="181" spans="3:14" ht="15.75">
      <c r="C181" s="1247" t="s">
        <v>1177</v>
      </c>
      <c r="D181" s="1264">
        <f>IF(D21="Ponta",B21,0)</f>
        <v>0</v>
      </c>
      <c r="E181" s="18"/>
      <c r="F181" s="270"/>
      <c r="G181" s="1254">
        <f>G166</f>
        <v>44440</v>
      </c>
      <c r="H181" s="272">
        <f>H166</f>
        <v>0</v>
      </c>
      <c r="I181" s="272">
        <f>I166</f>
        <v>0</v>
      </c>
      <c r="J181" s="1255">
        <f>SUMIFS($G$18:$G$60,$B$18:$B$60,$D$181,$D$18:$D$60,"Ponta")</f>
        <v>0</v>
      </c>
      <c r="K181" s="1255">
        <f>SUMIFS($G$18:$G$60,$B$18:$B$60,$D$181,$D$18:$D$60,"Fora Ponta")</f>
        <v>0</v>
      </c>
      <c r="L181" s="1255">
        <f>IF(MONTH(DataRevRea)=7,'Rede Básica + Ajuste'!J181,IF(G181&lt;$Q$69,(SUMIFS($G$18:$G$60,$B$18:$B$60,$D$181,$D$18:$D$60,"Ponta")),(SUMIFS($H$18:$H$60,$B$18:$B$60,$D$181,$D$18:$D$60,"Ponta"))))</f>
        <v>0</v>
      </c>
      <c r="M181" s="1255">
        <f>IF(MONTH(DataRevRea)=7,'Rede Básica + Ajuste'!K181,IF(G181&lt;$Q$69,(SUMIFS($G$18:$G$60,$B$18:$B$60,$D$181,$D$18:$D$60,"Fora Ponta")),(SUMIFS($H$18:$H$60,$B$18:$B$60,$D$181,$D$18:$D$60,"Fora Ponta"))))</f>
        <v>0</v>
      </c>
      <c r="N181" s="1256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7" t="s">
        <v>1178</v>
      </c>
      <c r="E183" s="1258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9" t="str">
        <f>C169</f>
        <v>Cobertura 2021</v>
      </c>
      <c r="D184" s="1260">
        <f>SUMPRODUCT(H181:H192,J181:J192)</f>
        <v>0</v>
      </c>
      <c r="E184" s="1260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9" t="s">
        <v>1180</v>
      </c>
      <c r="D185" s="1260">
        <f>SUMPRODUCT(H181:H192,L181:L192)</f>
        <v>0</v>
      </c>
      <c r="E185" s="1260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61">
        <f t="shared" si="37"/>
        <v>44774</v>
      </c>
      <c r="H192" s="1262">
        <f t="shared" si="37"/>
        <v>0</v>
      </c>
      <c r="I192" s="1262">
        <f t="shared" si="37"/>
        <v>0</v>
      </c>
      <c r="J192" s="1262">
        <f t="shared" si="38"/>
        <v>0</v>
      </c>
      <c r="K192" s="1262">
        <f t="shared" si="39"/>
        <v>0</v>
      </c>
      <c r="L192" s="1262">
        <f>IF(MONTH(DataRevRea)=7,'Rede Básica + Ajuste'!J192,IF(G192&lt;$Q$69,(SUMIFS($G$18:$G$60,$B$18:$B$60,$D$181,$D$18:$D$60,"Ponta")),(SUMIFS($H$18:$H$60,$B$18:$B$60,$D$181,$D$18:$D$60,"Ponta"))))</f>
        <v>0</v>
      </c>
      <c r="M192" s="1262">
        <f>IF(MONTH(DataRevRea)=7,'Rede Básica + Ajuste'!K192,IF(G192&lt;$Q$69,(SUMIFS($G$18:$G$60,$B$18:$B$60,$D$181,$D$18:$D$60,"Fora Ponta")),(SUMIFS($H$18:$H$60,$B$18:$B$60,$D$181,$D$18:$D$60,"Fora Ponta"))))</f>
        <v>0</v>
      </c>
      <c r="N192" s="1263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12" t="s">
        <v>1170</v>
      </c>
      <c r="K194" s="1813"/>
      <c r="L194" s="1814" t="s">
        <v>1171</v>
      </c>
      <c r="M194" s="1814"/>
      <c r="N194" s="278"/>
    </row>
    <row r="195" spans="3:14" ht="15.75">
      <c r="C195" s="1815" t="s">
        <v>1153</v>
      </c>
      <c r="D195" s="1816"/>
      <c r="F195" s="270"/>
      <c r="G195" s="1250" t="s">
        <v>646</v>
      </c>
      <c r="H195" s="1251" t="s">
        <v>1172</v>
      </c>
      <c r="I195" s="1251" t="s">
        <v>1173</v>
      </c>
      <c r="J195" s="1252" t="s">
        <v>1174</v>
      </c>
      <c r="K195" s="1252" t="s">
        <v>1175</v>
      </c>
      <c r="L195" s="1252" t="s">
        <v>1174</v>
      </c>
      <c r="M195" s="1252" t="s">
        <v>1175</v>
      </c>
      <c r="N195" s="277" t="s">
        <v>1176</v>
      </c>
    </row>
    <row r="196" spans="3:14" ht="15.75">
      <c r="C196" s="1247" t="s">
        <v>1177</v>
      </c>
      <c r="D196" s="1264">
        <f>IF(D22="Ponta",B22,0)</f>
        <v>0</v>
      </c>
      <c r="E196" s="18"/>
      <c r="F196" s="270"/>
      <c r="G196" s="1254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5">
        <f>SUMIFS($E$18:$E$60,$B$18:$B$60,$D$196,$D$18:$D$60,"Ponta")</f>
        <v>0</v>
      </c>
      <c r="K196" s="1255">
        <f>SUMIFS($E$18:$E$60,$B$18:$B$60,$D$196,$D$18:$D$60,"Fora Ponta")</f>
        <v>0</v>
      </c>
      <c r="L196" s="1255">
        <f>IF(MONTH(DataRevRea)=7,'Rede Básica + Ajuste'!J196,IF(G196&lt;$Q$69,(SUMIFS($E$18:$E$60,$B$18:$B$60,$D$196,$D$18:$D$60,"Ponta")),(SUMIFS($F$18:$F$60,$B$18:$B$60,$D$196,$D$18:$D$60,"Ponta"))))</f>
        <v>0</v>
      </c>
      <c r="M196" s="1255">
        <f>IF(MONTH(DataRevRea)=7,'Rede Básica + Ajuste'!K196,IF(G196&lt;$Q$69,(SUMIFS($E$18:$E$60,$B$18:$B$60,$D$196,$D$18:$D$60,"Fora Ponta")),(SUMIFS($F$18:$F$60,$B$18:$B$60,$D$196,$D$18:$D$60,"Fora Ponta"))))</f>
        <v>0</v>
      </c>
      <c r="N196" s="1256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7" t="s">
        <v>1178</v>
      </c>
      <c r="E198" s="1258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9" t="str">
        <f>C184</f>
        <v>Cobertura 2021</v>
      </c>
      <c r="D199" s="1260">
        <f>SUMPRODUCT(H196:H207,J196:J207)</f>
        <v>0</v>
      </c>
      <c r="E199" s="1260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9" t="s">
        <v>1180</v>
      </c>
      <c r="D200" s="1260">
        <f>SUMPRODUCT(H196:H207,L196:L207)</f>
        <v>0</v>
      </c>
      <c r="E200" s="1260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61">
        <f t="shared" si="41"/>
        <v>44774</v>
      </c>
      <c r="H207" s="1262">
        <f>SUMIFS($Y$18:$Y$60,$B$18:$B$60,$D$196,$D$18:$D$60,"Ponta")</f>
        <v>0</v>
      </c>
      <c r="I207" s="1262">
        <f>SUMIFS($Y$18:$Y$60,$B$18:$B$60,$D$196,$D$18:$D$60,"Fora Ponta")</f>
        <v>0</v>
      </c>
      <c r="J207" s="1262">
        <f t="shared" si="42"/>
        <v>0</v>
      </c>
      <c r="K207" s="1262">
        <f t="shared" si="43"/>
        <v>0</v>
      </c>
      <c r="L207" s="1262">
        <f>IF(MONTH(DataRevRea)=7,'Rede Básica + Ajuste'!J207,IF(G207&lt;$Q$69,(SUMIFS($E$18:$E$60,$B$18:$B$60,$D$196,$D$18:$D$60,"Ponta")),(SUMIFS($F$18:$F$60,$B$18:$B$60,$D$196,$D$18:$D$60,"Ponta"))))</f>
        <v>0</v>
      </c>
      <c r="M207" s="1262">
        <f>IF(MONTH(DataRevRea)=7,'Rede Básica + Ajuste'!K207,IF(G207&lt;$Q$69,(SUMIFS($E$18:$E$60,$B$18:$B$60,$D$196,$D$18:$D$60,"Fora Ponta")),(SUMIFS($F$18:$F$60,$B$18:$B$60,$D$196,$D$18:$D$60,"Fora Ponta"))))</f>
        <v>0</v>
      </c>
      <c r="N207" s="1263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12" t="s">
        <v>1170</v>
      </c>
      <c r="K209" s="1813"/>
      <c r="L209" s="1814" t="s">
        <v>1171</v>
      </c>
      <c r="M209" s="1814"/>
      <c r="N209" s="278"/>
    </row>
    <row r="210" spans="3:14" ht="15.75">
      <c r="C210" s="1815" t="s">
        <v>1181</v>
      </c>
      <c r="D210" s="1816"/>
      <c r="F210" s="270"/>
      <c r="G210" s="1250" t="s">
        <v>646</v>
      </c>
      <c r="H210" s="1251" t="s">
        <v>1172</v>
      </c>
      <c r="I210" s="1251" t="s">
        <v>1173</v>
      </c>
      <c r="J210" s="1252" t="s">
        <v>1174</v>
      </c>
      <c r="K210" s="1252" t="s">
        <v>1175</v>
      </c>
      <c r="L210" s="1252" t="s">
        <v>1174</v>
      </c>
      <c r="M210" s="1252" t="s">
        <v>1175</v>
      </c>
      <c r="N210" s="277" t="s">
        <v>1176</v>
      </c>
    </row>
    <row r="211" spans="3:14" ht="15.75">
      <c r="C211" s="1247" t="s">
        <v>1177</v>
      </c>
      <c r="D211" s="1264">
        <f>IF(D22="Ponta",B22,0)</f>
        <v>0</v>
      </c>
      <c r="E211" s="18"/>
      <c r="F211" s="270"/>
      <c r="G211" s="1254">
        <f>G196</f>
        <v>44440</v>
      </c>
      <c r="H211" s="272">
        <f>H196</f>
        <v>0</v>
      </c>
      <c r="I211" s="272">
        <f>I196</f>
        <v>0</v>
      </c>
      <c r="J211" s="1255">
        <f>SUMIFS($G$18:$G$60,$B$18:$B$60,$D$211,$D$18:$D$60,"Ponta")</f>
        <v>0</v>
      </c>
      <c r="K211" s="1255">
        <f>SUMIFS($G$18:$G$60,$B$18:$B$60,$D$211,$D$18:$D$60,"Fora Ponta")</f>
        <v>0</v>
      </c>
      <c r="L211" s="1255">
        <f>IF(MONTH(DataRevRea)=7,'Rede Básica + Ajuste'!J211,IF(G211&lt;$Q$69,(SUMIFS($G$18:$G$60,$B$18:$B$60,$D$211,$D$18:$D$60,"Ponta")),(SUMIFS($H$18:$H$60,$B$18:$B$60,$D$211,$D$18:$D$60,"Ponta"))))</f>
        <v>0</v>
      </c>
      <c r="M211" s="1255">
        <f>IF(MONTH(DataRevRea)=7,'Rede Básica + Ajuste'!K211,IF(G211&lt;$Q$69,(SUMIFS($G$18:$G$60,$B$18:$B$60,$D$211,$D$18:$D$60,"Fora Ponta")),(SUMIFS($H$18:$H$60,$B$18:$B$60,$D$211,$D$18:$D$60,"Fora Ponta"))))</f>
        <v>0</v>
      </c>
      <c r="N211" s="1256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7" t="s">
        <v>1178</v>
      </c>
      <c r="E213" s="1258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9" t="str">
        <f>C199</f>
        <v>Cobertura 2021</v>
      </c>
      <c r="D214" s="1260">
        <f>SUMPRODUCT(H211:H222,J211:J222)</f>
        <v>0</v>
      </c>
      <c r="E214" s="1260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9" t="s">
        <v>1180</v>
      </c>
      <c r="D215" s="1260">
        <f>SUMPRODUCT(H211:H222,L211:L222)</f>
        <v>0</v>
      </c>
      <c r="E215" s="1260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61">
        <f t="shared" si="45"/>
        <v>44774</v>
      </c>
      <c r="H222" s="1262">
        <f t="shared" si="45"/>
        <v>0</v>
      </c>
      <c r="I222" s="1262">
        <f t="shared" si="45"/>
        <v>0</v>
      </c>
      <c r="J222" s="1262">
        <f t="shared" si="46"/>
        <v>0</v>
      </c>
      <c r="K222" s="1262">
        <f t="shared" si="47"/>
        <v>0</v>
      </c>
      <c r="L222" s="1262">
        <f>IF(MONTH(DataRevRea)=7,'Rede Básica + Ajuste'!J222,IF(G222&lt;$Q$69,(SUMIFS($G$18:$G$60,$B$18:$B$60,$D$211,$D$18:$D$60,"Ponta")),(SUMIFS($H$18:$H$60,$B$18:$B$60,$D$211,$D$18:$D$60,"Ponta"))))</f>
        <v>0</v>
      </c>
      <c r="M222" s="1262">
        <f>IF(MONTH(DataRevRea)=7,'Rede Básica + Ajuste'!K222,IF(G222&lt;$Q$69,(SUMIFS($G$18:$G$60,$B$18:$B$60,$D$211,$D$18:$D$60,"Fora Ponta")),(SUMIFS($H$18:$H$60,$B$18:$B$60,$D$211,$D$18:$D$60,"Fora Ponta"))))</f>
        <v>0</v>
      </c>
      <c r="N222" s="1263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4" t="s">
        <v>638</v>
      </c>
      <c r="C1" s="1023"/>
      <c r="D1" s="935"/>
      <c r="E1" s="1231"/>
      <c r="F1" s="1231"/>
      <c r="G1" s="1133" t="s">
        <v>873</v>
      </c>
      <c r="H1" s="1134">
        <f ca="1">LnkTXTIRTEco</f>
        <v>0.15570000000000001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Cegero</v>
      </c>
      <c r="C2" s="70"/>
      <c r="D2" s="70"/>
      <c r="G2" s="120" t="s">
        <v>877</v>
      </c>
      <c r="H2" s="121">
        <f ca="1">LnkTXTIRTTotal</f>
        <v>0.16300000000000001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5" t="s">
        <v>1188</v>
      </c>
      <c r="C5" s="1235" t="s">
        <v>1189</v>
      </c>
      <c r="D5" s="1235" t="s">
        <v>1190</v>
      </c>
      <c r="E5" s="1235" t="s">
        <v>1191</v>
      </c>
      <c r="F5" s="1235" t="s">
        <v>1192</v>
      </c>
      <c r="G5" s="1235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5" t="s">
        <v>760</v>
      </c>
      <c r="C11" s="1266">
        <f>SUM(C6:C10)</f>
        <v>0</v>
      </c>
      <c r="D11" s="1266">
        <f>SUM(D6:D10)</f>
        <v>0</v>
      </c>
      <c r="E11" s="1267">
        <f>SUM(E6:E10)</f>
        <v>0</v>
      </c>
      <c r="F11" s="1268"/>
      <c r="G11" s="1269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70" t="s">
        <v>1209</v>
      </c>
      <c r="E12" s="1270"/>
      <c r="F12" s="1271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5" t="s">
        <v>1188</v>
      </c>
      <c r="C15" s="1235" t="s">
        <v>1189</v>
      </c>
      <c r="D15" s="1235" t="s">
        <v>1215</v>
      </c>
      <c r="E15" s="1235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5" t="s">
        <v>760</v>
      </c>
      <c r="C21" s="1272">
        <f>SUM(C16:C20)</f>
        <v>0</v>
      </c>
      <c r="D21" s="1272">
        <f>SUM(D16:D20)</f>
        <v>0</v>
      </c>
      <c r="E21" s="1272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C14" sqref="C14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4" t="s">
        <v>952</v>
      </c>
      <c r="C1" s="1023"/>
      <c r="D1" s="1273"/>
      <c r="E1" s="1274"/>
      <c r="F1" s="1274"/>
      <c r="G1" s="1133" t="s">
        <v>873</v>
      </c>
      <c r="H1" s="1233">
        <f ca="1">LnkTXTIRTEco</f>
        <v>0.15570000000000001</v>
      </c>
    </row>
    <row r="2" spans="1:16" ht="46.5" customHeight="1">
      <c r="B2" s="136" t="str">
        <f>CAPA!C9</f>
        <v>Cegero</v>
      </c>
      <c r="C2" s="70"/>
      <c r="D2" s="70"/>
      <c r="G2" s="120" t="s">
        <v>877</v>
      </c>
      <c r="H2" s="146">
        <f ca="1">LnkTXTIRTTotal</f>
        <v>0.16300000000000001</v>
      </c>
      <c r="I2" s="90" t="s">
        <v>1231</v>
      </c>
    </row>
    <row r="3" spans="1:16">
      <c r="B3" s="1275" t="s">
        <v>1232</v>
      </c>
      <c r="C3" s="1276">
        <f>SUMPRODUCT(J6:J44,H6:H44)</f>
        <v>10910249.227</v>
      </c>
      <c r="D3" s="73"/>
      <c r="E3" s="1275" t="s">
        <v>1123</v>
      </c>
      <c r="F3" s="68" t="s">
        <v>1233</v>
      </c>
      <c r="G3" s="1277">
        <f>LnkTXTDescTusdAnte</f>
        <v>0</v>
      </c>
      <c r="H3" s="90"/>
      <c r="I3" s="1278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9" t="s">
        <v>27</v>
      </c>
      <c r="C5" s="1279" t="s">
        <v>21</v>
      </c>
      <c r="D5" s="1279" t="s">
        <v>22</v>
      </c>
      <c r="E5" s="1279" t="s">
        <v>78</v>
      </c>
      <c r="F5" s="1279" t="s">
        <v>817</v>
      </c>
      <c r="G5" s="1279" t="s">
        <v>1235</v>
      </c>
      <c r="H5" s="1279" t="s">
        <v>60</v>
      </c>
      <c r="I5" s="1279" t="s">
        <v>1124</v>
      </c>
      <c r="J5" s="1279" t="s">
        <v>1125</v>
      </c>
      <c r="L5" s="68"/>
      <c r="M5" s="69"/>
    </row>
    <row r="6" spans="1:16">
      <c r="A6" s="68">
        <v>5697</v>
      </c>
      <c r="B6" s="147" t="s">
        <v>2197</v>
      </c>
      <c r="C6" s="147" t="s">
        <v>2329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391205</v>
      </c>
      <c r="H6" s="147">
        <f>IF(B6="","",IF(LEFT(D6,7)="Demanda",G6,G6/1000))</f>
        <v>391205</v>
      </c>
      <c r="I6" s="147">
        <f>IF(ISERROR(VLOOKUP(CONCATENATE(A6,A41,E6,F6),BD!$H$6:$V$30,14,FALSE)),"",VLOOKUP(CONCATENATE(A6,A41,E6,F6),BD!$H$6:$V$30,14,FALSE))</f>
        <v>11.14</v>
      </c>
      <c r="J6" s="147">
        <f t="shared" ref="J6:J13" si="0">IF(ISERROR(I6*(1-$G$3)),"",I6*(1-$G$3))</f>
        <v>11.14</v>
      </c>
      <c r="L6" s="68"/>
      <c r="M6" s="69"/>
      <c r="N6" s="69"/>
    </row>
    <row r="7" spans="1:16">
      <c r="A7" s="68">
        <v>5697</v>
      </c>
      <c r="B7" s="147" t="s">
        <v>2197</v>
      </c>
      <c r="C7" s="147" t="s">
        <v>2329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333916</v>
      </c>
      <c r="H7" s="147">
        <f t="shared" ref="H7:H30" si="3">IF(B7="","",IF(LEFT(D7,7)="Demanda",G7,G7/1000))</f>
        <v>333916</v>
      </c>
      <c r="I7" s="147">
        <f>IF(ISERROR(VLOOKUP(CONCATENATE(A7,A42,E7,F7),BD!$H$6:$V$30,14,FALSE)),"",VLOOKUP(CONCATENATE(A7,A42,E7,F7),BD!$H$6:$V$30,14,FALSE))</f>
        <v>17.63</v>
      </c>
      <c r="J7" s="147">
        <f t="shared" si="0"/>
        <v>17.63</v>
      </c>
    </row>
    <row r="8" spans="1:16">
      <c r="A8" s="68">
        <v>5697</v>
      </c>
      <c r="B8" s="147" t="s">
        <v>2197</v>
      </c>
      <c r="C8" s="147" t="s">
        <v>2329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170970293</v>
      </c>
      <c r="H8" s="147">
        <f t="shared" si="3"/>
        <v>170970.29300000001</v>
      </c>
      <c r="I8" s="147">
        <f>IF(ISERROR(VLOOKUP(CONCATENATE(A8,A43,E8,F8),BD!$H$6:$V$30,14,FALSE)),"",VLOOKUP(CONCATENATE(A8,A43,E8,F8),BD!$H$6:$V$30,14,FALSE))</f>
        <v>3.5</v>
      </c>
      <c r="J8" s="147">
        <f t="shared" si="0"/>
        <v>3.5</v>
      </c>
      <c r="L8" s="68"/>
      <c r="M8" s="69"/>
    </row>
    <row r="9" spans="1:16">
      <c r="A9" s="68">
        <v>5697</v>
      </c>
      <c r="B9" s="147" t="s">
        <v>2197</v>
      </c>
      <c r="C9" s="147" t="s">
        <v>2329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19111549</v>
      </c>
      <c r="H9" s="147">
        <f t="shared" si="3"/>
        <v>19111.548999999999</v>
      </c>
      <c r="I9" s="147">
        <f>IF(ISERROR(VLOOKUP(CONCATENATE(A9,A44,E9,F9),BD!$H$6:$V$30,14,FALSE)),"",VLOOKUP(CONCATENATE(A9,A44,E9,F9),BD!$H$6:$V$30,14,FALSE))</f>
        <v>3.5</v>
      </c>
      <c r="J9" s="147">
        <f t="shared" si="0"/>
        <v>3.5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21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A2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A2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A2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A2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C1" zoomScale="115" zoomScaleNormal="115" workbookViewId="0">
      <selection activeCell="I20" sqref="I20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4" t="s">
        <v>743</v>
      </c>
      <c r="C1" s="1230"/>
      <c r="D1" s="1230"/>
      <c r="E1" s="1230"/>
      <c r="F1" s="935"/>
      <c r="G1" s="935"/>
      <c r="H1" s="1133" t="s">
        <v>873</v>
      </c>
      <c r="I1" s="1134">
        <f ca="1">LnkTXTIRTEco</f>
        <v>0.15570000000000001</v>
      </c>
      <c r="J1" s="193"/>
      <c r="K1" s="194"/>
    </row>
    <row r="2" spans="1:15" s="195" customFormat="1" ht="27" customHeight="1">
      <c r="B2" s="136" t="str">
        <f>CAPA!C9</f>
        <v>Cegero</v>
      </c>
      <c r="C2" s="70"/>
      <c r="D2" s="70"/>
      <c r="E2" s="70"/>
      <c r="F2" s="70"/>
      <c r="G2" s="70"/>
      <c r="H2" s="120" t="s">
        <v>877</v>
      </c>
      <c r="I2" s="121">
        <f ca="1">LnkTXTIRTTotal</f>
        <v>0.16300000000000001</v>
      </c>
    </row>
    <row r="3" spans="1:15">
      <c r="B3" s="938" t="s">
        <v>1240</v>
      </c>
      <c r="C3" s="787"/>
      <c r="E3" s="787" t="str">
        <f>"Encargos "&amp;YEAR(CAPA!C14)</f>
        <v>Encargos 2021</v>
      </c>
      <c r="F3" s="787"/>
      <c r="H3" s="787"/>
      <c r="I3" s="787"/>
      <c r="J3" s="787"/>
      <c r="K3" s="787"/>
      <c r="L3" s="787"/>
      <c r="M3" s="787"/>
      <c r="N3" s="787"/>
      <c r="O3" s="787"/>
    </row>
    <row r="4" spans="1:15">
      <c r="E4" s="1235" t="s">
        <v>72</v>
      </c>
      <c r="F4" s="1235" t="s">
        <v>1241</v>
      </c>
      <c r="H4" s="72"/>
      <c r="I4" s="72"/>
    </row>
    <row r="5" spans="1:15">
      <c r="B5" s="1235" t="s">
        <v>72</v>
      </c>
      <c r="C5" s="1235" t="s">
        <v>37</v>
      </c>
      <c r="E5" s="68" t="s">
        <v>40</v>
      </c>
      <c r="F5" s="115">
        <f>CAPA!D42</f>
        <v>52508.6346985704</v>
      </c>
      <c r="H5" s="1818" t="s">
        <v>1242</v>
      </c>
      <c r="I5" s="1818"/>
      <c r="K5" s="1818" t="s">
        <v>1243</v>
      </c>
      <c r="L5" s="1818"/>
      <c r="N5" s="1818" t="s">
        <v>1244</v>
      </c>
      <c r="O5" s="1818"/>
    </row>
    <row r="6" spans="1:15">
      <c r="B6" s="68" t="s">
        <v>40</v>
      </c>
      <c r="C6" s="80">
        <f ca="1">L14</f>
        <v>56515.376889096988</v>
      </c>
      <c r="E6" s="68" t="s">
        <v>41</v>
      </c>
      <c r="F6" s="115">
        <f>CAPA!D43</f>
        <v>9737920.4871800095</v>
      </c>
      <c r="H6" s="199" t="s">
        <v>1245</v>
      </c>
      <c r="I6" s="200">
        <f ca="1">FornecimentoE+LivreE-Calc_Mercado!C16</f>
        <v>182049.55399999995</v>
      </c>
      <c r="K6" s="505" t="s">
        <v>745</v>
      </c>
      <c r="L6" s="411">
        <f ca="1">LnkTXTER</f>
        <v>197311.52174999996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13598261.515670449</v>
      </c>
      <c r="D7" s="196"/>
      <c r="E7" s="68" t="s">
        <v>112</v>
      </c>
      <c r="F7" s="115">
        <f>CAPA!D44</f>
        <v>0</v>
      </c>
      <c r="H7" s="1280" t="s">
        <v>1247</v>
      </c>
      <c r="I7" s="1281">
        <v>14.13</v>
      </c>
      <c r="K7" s="505" t="s">
        <v>1088</v>
      </c>
      <c r="L7" s="411">
        <f ca="1">Energia!M7</f>
        <v>0</v>
      </c>
      <c r="N7" s="201" t="s">
        <v>1248</v>
      </c>
      <c r="O7" s="202">
        <f ca="1">SUM(C12+C6+C9+C10+C8)</f>
        <v>7314068.8549090959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1124402.7930999999</v>
      </c>
      <c r="K8" s="505" t="s">
        <v>1091</v>
      </c>
      <c r="L8" s="411">
        <f ca="1">LnkTXTPerdas</f>
        <v>14295.699750000013</v>
      </c>
      <c r="N8" s="201" t="s">
        <v>717</v>
      </c>
      <c r="O8" s="264">
        <f>Resultado!D24</f>
        <v>10910249.227</v>
      </c>
    </row>
    <row r="9" spans="1:15">
      <c r="B9" s="68" t="s">
        <v>1249</v>
      </c>
      <c r="C9" s="811">
        <f>IFERROR(VLOOKUP("ESS/EER",TabEncargosBancoConsolidados[],2,FALSE),0)</f>
        <v>4685193.28</v>
      </c>
      <c r="D9" s="69"/>
      <c r="E9" s="68" t="s">
        <v>47</v>
      </c>
      <c r="F9" s="115">
        <f>CAPA!D46</f>
        <v>1680295.7447599999</v>
      </c>
      <c r="H9" s="1818" t="s">
        <v>1250</v>
      </c>
      <c r="I9" s="1818"/>
      <c r="K9" s="505" t="s">
        <v>1251</v>
      </c>
      <c r="L9" s="411">
        <f ca="1">SUM(L6:L7,-L8)</f>
        <v>183015.82199999996</v>
      </c>
      <c r="N9" s="201" t="s">
        <v>108</v>
      </c>
      <c r="O9" s="263">
        <f ca="1">Resultado!D33</f>
        <v>34056834.917027861</v>
      </c>
    </row>
    <row r="10" spans="1:15">
      <c r="B10" s="68" t="s">
        <v>47</v>
      </c>
      <c r="C10" s="80">
        <f ca="1">IFERROR(Encargos!I7*I6,0)</f>
        <v>2572360.1980199995</v>
      </c>
      <c r="D10" s="196"/>
      <c r="E10" s="68" t="s">
        <v>49</v>
      </c>
      <c r="F10" s="115">
        <f>CAPA!D48</f>
        <v>0</v>
      </c>
      <c r="H10" s="1282" t="s">
        <v>1252</v>
      </c>
      <c r="I10" s="1283">
        <f ca="1">FornecimentoE_A1+Calc_Mercado!C10+Calc_Mercado!C11+Calc_Mercado!C114+Calc_Mercado!C115</f>
        <v>0</v>
      </c>
      <c r="K10" s="505" t="s">
        <v>1253</v>
      </c>
      <c r="L10" s="411">
        <f ca="1">SUM(L6:L7)</f>
        <v>197311.52174999996</v>
      </c>
      <c r="N10" s="201" t="s">
        <v>1254</v>
      </c>
      <c r="O10" s="202">
        <f>Resultado!D39</f>
        <v>12993300.34</v>
      </c>
    </row>
    <row r="11" spans="1:15">
      <c r="B11" s="68" t="s">
        <v>1255</v>
      </c>
      <c r="C11" s="80">
        <v>1E-4</v>
      </c>
      <c r="D11" s="196"/>
      <c r="E11" s="787" t="s">
        <v>2037</v>
      </c>
      <c r="F11" s="1155">
        <f>CAPA!D47</f>
        <v>1856987.5503404499</v>
      </c>
      <c r="H11" s="199" t="s">
        <v>1256</v>
      </c>
      <c r="I11" s="139">
        <f ca="1">Calc_Mercado!C12+Calc_Mercado!C13+Calc_Mercado!C14+Calc_Mercado!C116+Calc_Mercado!C117</f>
        <v>146123.73299999995</v>
      </c>
      <c r="K11" s="505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6.527445333893696E-7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7" t="str">
        <f>"Encargos "&amp;YEAR(CAPA!C14)-1</f>
        <v>Encargos 2020</v>
      </c>
      <c r="F12" s="787"/>
      <c r="H12" s="199" t="s">
        <v>1259</v>
      </c>
      <c r="I12" s="139">
        <f ca="1">FornecimentoE_BT-Calc_Mercado!C16+Calc_Mercado!C119+Calc_Mercado!C118</f>
        <v>35925.821000000004</v>
      </c>
      <c r="K12" s="505" t="s">
        <v>1260</v>
      </c>
      <c r="L12" s="45">
        <v>4.0000000000000001E-3</v>
      </c>
      <c r="N12" s="201" t="s">
        <v>1261</v>
      </c>
      <c r="O12" s="203">
        <f ca="1">Financeiros!D7</f>
        <v>501286.04467087536</v>
      </c>
    </row>
    <row r="13" spans="1:15">
      <c r="B13" s="1284" t="s">
        <v>769</v>
      </c>
      <c r="C13" s="1285">
        <f ca="1">SUM(C6:C12)</f>
        <v>20912330.370679546</v>
      </c>
      <c r="D13" s="196"/>
      <c r="E13" s="1235" t="s">
        <v>72</v>
      </c>
      <c r="F13" s="1235" t="s">
        <v>1241</v>
      </c>
      <c r="H13" s="1286" t="s">
        <v>1262</v>
      </c>
      <c r="I13" s="1287">
        <v>23.38</v>
      </c>
      <c r="K13" s="1288" t="s">
        <v>1263</v>
      </c>
      <c r="L13" s="1289">
        <f ca="1">LnkTXTIParcelaBcomSub+Energia!F19</f>
        <v>12993300.34</v>
      </c>
      <c r="N13" s="1290" t="s">
        <v>1264</v>
      </c>
      <c r="O13" s="1291">
        <f ca="1">O12*O6+O11</f>
        <v>6.5775739383607838E-7</v>
      </c>
    </row>
    <row r="14" spans="1:15">
      <c r="E14" s="68" t="s">
        <v>40</v>
      </c>
      <c r="F14" s="1292">
        <f>BD!C37</f>
        <v>52307.651183266651</v>
      </c>
      <c r="H14" s="257" t="s">
        <v>1265</v>
      </c>
      <c r="I14" s="818">
        <v>31.67</v>
      </c>
      <c r="K14" s="1293" t="s">
        <v>40</v>
      </c>
      <c r="L14" s="1294">
        <f ca="1">L12*1/L11*L9/L10*L13</f>
        <v>56515.376889096988</v>
      </c>
    </row>
    <row r="15" spans="1:15">
      <c r="E15" s="68" t="s">
        <v>41</v>
      </c>
      <c r="F15" s="80">
        <f>BD!C35</f>
        <v>8163288.3735000016</v>
      </c>
      <c r="H15" s="1295" t="s">
        <v>1266</v>
      </c>
      <c r="I15" s="1296">
        <v>37.700000000000003</v>
      </c>
    </row>
    <row r="16" spans="1:15">
      <c r="E16" s="68" t="s">
        <v>112</v>
      </c>
      <c r="F16" s="80">
        <v>0</v>
      </c>
      <c r="H16" s="1189" t="s">
        <v>1267</v>
      </c>
      <c r="I16" s="1287">
        <v>55.4</v>
      </c>
      <c r="K16" s="1818" t="s">
        <v>768</v>
      </c>
      <c r="L16" s="1818"/>
    </row>
    <row r="17" spans="2:14">
      <c r="C17" s="68">
        <v>41</v>
      </c>
      <c r="E17" s="68" t="s">
        <v>768</v>
      </c>
      <c r="F17" s="80">
        <v>0</v>
      </c>
      <c r="H17" s="68" t="s">
        <v>1268</v>
      </c>
      <c r="I17" s="818">
        <v>75.06</v>
      </c>
      <c r="K17" s="1282" t="s">
        <v>2054</v>
      </c>
      <c r="L17" s="1283">
        <f>IFERROR(VLOOKUP("EER",TabEncargosBancoConsolidados[],2,FALSE),0)</f>
        <v>4613800.7</v>
      </c>
    </row>
    <row r="18" spans="2:14">
      <c r="C18" s="107"/>
      <c r="D18" s="107"/>
      <c r="E18" s="68" t="s">
        <v>47</v>
      </c>
      <c r="F18" s="80">
        <f>BD!C36</f>
        <v>1156720.9378500001</v>
      </c>
      <c r="G18" s="107"/>
      <c r="H18" s="787" t="s">
        <v>1269</v>
      </c>
      <c r="I18" s="1296">
        <v>89.35</v>
      </c>
      <c r="K18" s="199" t="s">
        <v>2057</v>
      </c>
      <c r="L18" s="139">
        <f>C9-L17</f>
        <v>71392.580000000075</v>
      </c>
    </row>
    <row r="19" spans="2:14">
      <c r="C19" s="107"/>
      <c r="D19" s="107"/>
      <c r="E19" s="787" t="s">
        <v>49</v>
      </c>
      <c r="F19" s="1297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14178019.505329996</v>
      </c>
      <c r="K19" s="1235" t="s">
        <v>769</v>
      </c>
      <c r="L19" s="1460">
        <f>SUM(L17:L18)</f>
        <v>4685193.28</v>
      </c>
    </row>
    <row r="20" spans="2:14">
      <c r="C20" s="107"/>
      <c r="D20" s="107"/>
      <c r="F20" s="80"/>
      <c r="G20" s="107"/>
      <c r="H20" s="1298" t="s">
        <v>1271</v>
      </c>
      <c r="I20" s="1299">
        <f>IFERROR(VLOOKUP("CDE Covid",TabEncargosBancoConsolidados[],2,FALSE),0)</f>
        <v>1856987.5503404515</v>
      </c>
    </row>
    <row r="21" spans="2:14">
      <c r="C21" s="107"/>
      <c r="D21" s="107"/>
      <c r="F21" s="80"/>
      <c r="G21" s="107"/>
      <c r="H21" s="68" t="s">
        <v>2055</v>
      </c>
      <c r="I21" s="69">
        <f>IFERROR(VLOOKUP("CDE Eletrobras",TabEncargosBancoConsolidados[],2,FALSE),0)</f>
        <v>-2436745.54</v>
      </c>
    </row>
    <row r="22" spans="2:14">
      <c r="C22" s="107"/>
      <c r="D22" s="107"/>
      <c r="F22" s="80"/>
      <c r="G22" s="107"/>
      <c r="H22" s="1235" t="s">
        <v>2058</v>
      </c>
      <c r="I22" s="1460">
        <f ca="1">I19+I20+I21</f>
        <v>13598261.515670449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8" t="s">
        <v>1272</v>
      </c>
      <c r="C27" s="787"/>
      <c r="D27" s="787"/>
      <c r="E27" s="787"/>
      <c r="F27" s="787"/>
      <c r="G27" s="787"/>
      <c r="J27" s="787"/>
      <c r="K27" s="787"/>
      <c r="L27" s="787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5" t="s">
        <v>2082</v>
      </c>
      <c r="D30" s="1235" t="s">
        <v>46</v>
      </c>
      <c r="E30" s="1235" t="s">
        <v>40</v>
      </c>
      <c r="F30" s="1235" t="s">
        <v>41</v>
      </c>
      <c r="G30" s="1235" t="s">
        <v>47</v>
      </c>
      <c r="H30" s="1466" t="s">
        <v>2083</v>
      </c>
      <c r="I30" s="1466" t="s">
        <v>2091</v>
      </c>
      <c r="J30" s="1235" t="s">
        <v>1274</v>
      </c>
      <c r="L30" s="1817" t="s">
        <v>1275</v>
      </c>
      <c r="M30" s="1817"/>
      <c r="N30" s="268"/>
    </row>
    <row r="31" spans="2:14">
      <c r="B31" s="267">
        <f>Indexador!B68</f>
        <v>44440</v>
      </c>
      <c r="C31" s="1146">
        <f ca="1">IFERROR(IF(CAPA!$C$113="Não",C47-C62,IF(Indexador!$B68&lt;CAPA!$C$114,0,C47-C62)),0)</f>
        <v>-529.62004482664634</v>
      </c>
      <c r="D31" s="1146">
        <f ca="1">IF(CAPA!$C$113="Não",D47-D62,IF(Indexador!$B68&lt;CAPA!$C$114,0,D47-D62))</f>
        <v>-616.7248142707831</v>
      </c>
      <c r="E31" s="1146">
        <f ca="1">IF(CAPA!$C$113="Não",E47-E62,IF(Indexador!$B68&lt;CAPA!$C$114,0,E47-E62))</f>
        <v>10.902385225501348</v>
      </c>
      <c r="F31" s="1146">
        <f ca="1">IF(CAPA!$C$113="Não",F47-F62,IF(Indexador!$B68&lt;CAPA!$C$114,0,F47-F62))</f>
        <v>-2777.2926555107115</v>
      </c>
      <c r="G31" s="1146">
        <f ca="1">IF(CAPA!$C$113="Não",G47-G62,IF(Indexador!$B68&lt;CAPA!$C$114,0,G47-G62))</f>
        <v>-890.47875299226143</v>
      </c>
      <c r="H31" s="1146">
        <f ca="1">IF(CAPA!$C$113="Não",H47-H62,IF(Indexador!$B68&lt;CAPA!$C$114,0,H47-H62))</f>
        <v>1025.7343137883872</v>
      </c>
      <c r="I31" s="1146">
        <f ca="1">IF(CAPA!$C$113="Não",I47-I62,IF(Indexador!$B68&lt;CAPA!$C$114,0,I47-I62))</f>
        <v>0</v>
      </c>
      <c r="J31" s="1146">
        <f ca="1">IF(CAPA!$C$113="Não",J47-J62,IF(Indexador!$B68&lt;CAPA!$C$114,0,J47-J62))</f>
        <v>-4803.2138823748101</v>
      </c>
      <c r="L31" s="68" t="s">
        <v>40</v>
      </c>
      <c r="M31" s="115">
        <f ca="1">Indexador!H80</f>
        <v>-537.79841689214891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-2709.5824414817616</v>
      </c>
      <c r="D32" s="115">
        <f ca="1">IF(CAPA!$C$113="Não",D48-D63,IF(Indexador!$B69&lt;CAPA!$C$114,0,D48-D63))</f>
        <v>-1984.1336043824704</v>
      </c>
      <c r="E32" s="115">
        <f ca="1">IF(CAPA!$C$113="Não",E48-E63,IF(Indexador!$B69&lt;CAPA!$C$114,0,E48-E63))</f>
        <v>-43.474468268002056</v>
      </c>
      <c r="F32" s="115">
        <f ca="1">IF(CAPA!$C$113="Não",F48-F63,IF(Indexador!$B69&lt;CAPA!$C$114,0,F48-F63))</f>
        <v>-14208.871978580952</v>
      </c>
      <c r="G32" s="115">
        <f ca="1">IF(CAPA!$C$113="Não",G48-G63,IF(Indexador!$B69&lt;CAPA!$C$114,0,G48-G63))</f>
        <v>-2957.0861683981202</v>
      </c>
      <c r="H32" s="115">
        <f ca="1">IF(CAPA!$C$113="Não",H48-H63,IF(Indexador!$B69&lt;CAPA!$C$114,0,H48-H63))</f>
        <v>1106.3770181670261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-21903.148661111249</v>
      </c>
      <c r="L32" s="68" t="s">
        <v>41</v>
      </c>
      <c r="M32" s="115">
        <f ca="1">Indexador!J80+Indexador!L80</f>
        <v>-89284.939796970168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-7470.1575058827875</v>
      </c>
      <c r="D33" s="115">
        <f ca="1">IF(CAPA!$C$113="Não",D49-D64,IF(Indexador!$B70&lt;CAPA!$C$114,0,D49-D64))</f>
        <v>-4649.2760590126272</v>
      </c>
      <c r="E33" s="115">
        <f ca="1">IF(CAPA!$C$113="Não",E49-E64,IF(Indexador!$B70&lt;CAPA!$C$114,0,E49-E64))</f>
        <v>-203.50566115639594</v>
      </c>
      <c r="F33" s="115">
        <f ca="1">IF(CAPA!$C$113="Não",F49-F64,IF(Indexador!$B70&lt;CAPA!$C$114,0,F49-F64))</f>
        <v>-39173.014275544556</v>
      </c>
      <c r="G33" s="115">
        <f ca="1">IF(CAPA!$C$113="Não",G49-G64,IF(Indexador!$B70&lt;CAPA!$C$114,0,G49-G64))</f>
        <v>-6902.2992737431487</v>
      </c>
      <c r="H33" s="115">
        <f ca="1">IF(CAPA!$C$113="Não",H49-H64,IF(Indexador!$B70&lt;CAPA!$C$114,0,H49-H64))</f>
        <v>4314.9096956709254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-58398.252775339643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8897.6004664551292</v>
      </c>
      <c r="D34" s="115">
        <f ca="1">IF(CAPA!$C$113="Não",D50-D65,IF(Indexador!$B71&lt;CAPA!$C$114,0,D50-D65))</f>
        <v>5673.6853459182312</v>
      </c>
      <c r="E34" s="115">
        <f ca="1">IF(CAPA!$C$113="Não",E50-E65,IF(Indexador!$B71&lt;CAPA!$C$114,0,E50-E65))</f>
        <v>208.27218589733184</v>
      </c>
      <c r="F34" s="115">
        <f ca="1">IF(CAPA!$C$113="Não",F50-F65,IF(Indexador!$B71&lt;CAPA!$C$114,0,F50-F65))</f>
        <v>46658.431206581881</v>
      </c>
      <c r="G34" s="115">
        <f ca="1">IF(CAPA!$C$113="Não",G50-G65,IF(Indexador!$B71&lt;CAPA!$C$114,0,G50-G65))</f>
        <v>8614.9158578704228</v>
      </c>
      <c r="H34" s="115">
        <f ca="1">IF(CAPA!$C$113="Não",H50-H65,IF(Indexador!$B71&lt;CAPA!$C$114,0,H50-H65))</f>
        <v>5084.4863619317912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70052.905062722974</v>
      </c>
      <c r="L34" s="68" t="s">
        <v>46</v>
      </c>
      <c r="M34" s="115">
        <f ca="1">Indexador!F80</f>
        <v>-13683.049005881176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-80.952655811415752</v>
      </c>
      <c r="D35" s="115">
        <f ca="1">IF(CAPA!$C$113="Não",D51-D66,IF(Indexador!$B72&lt;CAPA!$C$114,0,D51-D66))</f>
        <v>118.25479156435176</v>
      </c>
      <c r="E35" s="115">
        <f ca="1">IF(CAPA!$C$113="Não",E51-E66,IF(Indexador!$B72&lt;CAPA!$C$114,0,E51-E66))</f>
        <v>-40.749789298614814</v>
      </c>
      <c r="F35" s="115">
        <f ca="1">IF(CAPA!$C$113="Não",F51-F66,IF(Indexador!$B72&lt;CAPA!$C$114,0,F51-F66))</f>
        <v>-424.51039877452422</v>
      </c>
      <c r="G35" s="115">
        <f ca="1">IF(CAPA!$C$113="Não",G51-G66,IF(Indexador!$B72&lt;CAPA!$C$114,0,G51-G66))</f>
        <v>378.70396433488349</v>
      </c>
      <c r="H35" s="115">
        <f ca="1">IF(CAPA!$C$113="Não",H51-H66,IF(Indexador!$B72&lt;CAPA!$C$114,0,H51-H66))</f>
        <v>7114.6888211040641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-49.254087985260412</v>
      </c>
      <c r="L35" s="68" t="s">
        <v>47</v>
      </c>
      <c r="M35" s="115">
        <f ca="1">Indexador!N80</f>
        <v>-16855.927409038261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547.00100637506694</v>
      </c>
      <c r="D36" s="115">
        <f ca="1">IF(CAPA!$C$113="Não",D52-D67,IF(Indexador!$B73&lt;CAPA!$C$114,0,D52-D67))</f>
        <v>292.4276406904246</v>
      </c>
      <c r="E36" s="115">
        <f ca="1">IF(CAPA!$C$113="Não",E52-E67,IF(Indexador!$B73&lt;CAPA!$C$114,0,E52-E67))</f>
        <v>-17.785063124206317</v>
      </c>
      <c r="F36" s="115">
        <f ca="1">IF(CAPA!$C$113="Não",F52-F67,IF(Indexador!$B73&lt;CAPA!$C$114,0,F52-F67))</f>
        <v>2868.4372738602106</v>
      </c>
      <c r="G36" s="115">
        <f ca="1">IF(CAPA!$C$113="Não",G52-G67,IF(Indexador!$B73&lt;CAPA!$C$114,0,G52-G67))</f>
        <v>778.28989432644448</v>
      </c>
      <c r="H36" s="115">
        <f ca="1">IF(CAPA!$C$113="Não",H52-H67,IF(Indexador!$B73&lt;CAPA!$C$114,0,H52-H67))</f>
        <v>6511.9677544872393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4468.3707521278411</v>
      </c>
      <c r="L36" s="68" t="s">
        <v>2082</v>
      </c>
      <c r="M36" s="115">
        <f ca="1">Indexador!D80</f>
        <v>-17026.32732051827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-12699.116388118331</v>
      </c>
      <c r="D37" s="115">
        <f ca="1">IF(CAPA!$C$113="Não",D53-D68,IF(Indexador!$B74&lt;CAPA!$C$114,0,D53-D68))</f>
        <v>-7905.2681554243609</v>
      </c>
      <c r="E37" s="115">
        <f ca="1">IF(CAPA!$C$113="Não",E53-E68,IF(Indexador!$B74&lt;CAPA!$C$114,0,E53-E68))</f>
        <v>-382.12885878881571</v>
      </c>
      <c r="F37" s="115">
        <f ca="1">IF(CAPA!$C$113="Não",F53-F68,IF(Indexador!$B74&lt;CAPA!$C$114,0,F53-F68))</f>
        <v>-66593.33048423857</v>
      </c>
      <c r="G37" s="115">
        <f ca="1">IF(CAPA!$C$113="Não",G53-G68,IF(Indexador!$B74&lt;CAPA!$C$114,0,G53-G68))</f>
        <v>-11401.649222346052</v>
      </c>
      <c r="H37" s="115">
        <f ca="1">IF(CAPA!$C$113="Não",H53-H68,IF(Indexador!$B74&lt;CAPA!$C$114,0,H53-H68))</f>
        <v>7311.2096442927286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-98981.493108916096</v>
      </c>
      <c r="L37" s="787" t="s">
        <v>48</v>
      </c>
      <c r="M37" s="1186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5213.3084230756212</v>
      </c>
      <c r="D38" s="115">
        <f ca="1">IF(CAPA!$C$113="Não",D54-D69,IF(Indexador!$B75&lt;CAPA!$C$114,0,D54-D69))</f>
        <v>2804.2036970219488</v>
      </c>
      <c r="E38" s="115">
        <f ca="1">IF(CAPA!$C$113="Não",E54-E69,IF(Indexador!$B75&lt;CAPA!$C$114,0,E54-E69))</f>
        <v>133.49942992478191</v>
      </c>
      <c r="F38" s="115">
        <f ca="1">IF(CAPA!$C$113="Não",F54-F69,IF(Indexador!$B75&lt;CAPA!$C$114,0,F54-F69))</f>
        <v>27338.246230973629</v>
      </c>
      <c r="G38" s="115">
        <f ca="1">IF(CAPA!$C$113="Não",G54-G69,IF(Indexador!$B75&lt;CAPA!$C$114,0,G54-G69))</f>
        <v>4637.9093603657966</v>
      </c>
      <c r="H38" s="115">
        <f ca="1">IF(CAPA!$C$113="Não",H54-H69,IF(Indexador!$B75&lt;CAPA!$C$114,0,H54-H69))</f>
        <v>2420.6790513031738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40127.167141361861</v>
      </c>
      <c r="L38" s="71" t="s">
        <v>760</v>
      </c>
      <c r="M38" s="269">
        <f ca="1">SUM(M31:M36)</f>
        <v>-137388.04194930001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1074.3743187748769</v>
      </c>
      <c r="D39" s="115">
        <f ca="1">IF(CAPA!$C$113="Não",D55-D70,IF(Indexador!$B76&lt;CAPA!$C$114,0,D55-D70))</f>
        <v>42.421315682906425</v>
      </c>
      <c r="E39" s="115">
        <f ca="1">IF(CAPA!$C$113="Não",E55-E70,IF(Indexador!$B76&lt;CAPA!$C$114,0,E55-E70))</f>
        <v>40.175350997925307</v>
      </c>
      <c r="F39" s="115">
        <f ca="1">IF(CAPA!$C$113="Não",F55-F70,IF(Indexador!$B76&lt;CAPA!$C$114,0,F55-F70))</f>
        <v>5633.948212406016</v>
      </c>
      <c r="G39" s="115">
        <f ca="1">IF(CAPA!$C$113="Não",G55-G70,IF(Indexador!$B76&lt;CAPA!$C$114,0,G55-G70))</f>
        <v>526.05028862509062</v>
      </c>
      <c r="H39" s="115">
        <f ca="1">IF(CAPA!$C$113="Não",H55-H70,IF(Indexador!$B76&lt;CAPA!$C$114,0,H55-H70))</f>
        <v>1842.7461056508328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7316.9694864868652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182.14538746714243</v>
      </c>
      <c r="D40" s="115">
        <f ca="1">IF(CAPA!$C$113="Não",D56-D71,IF(Indexador!$B77&lt;CAPA!$C$114,0,D56-D71))</f>
        <v>-397.3334683355497</v>
      </c>
      <c r="E40" s="115">
        <f ca="1">IF(CAPA!$C$113="Não",E56-E71,IF(Indexador!$B77&lt;CAPA!$C$114,0,E56-E71))</f>
        <v>-4.6016967040895906</v>
      </c>
      <c r="F40" s="115">
        <f ca="1">IF(CAPA!$C$113="Não",F56-F71,IF(Indexador!$B77&lt;CAPA!$C$114,0,F56-F71))</f>
        <v>955.15842308162246</v>
      </c>
      <c r="G40" s="115">
        <f ca="1">IF(CAPA!$C$113="Não",G56-G71,IF(Indexador!$B77&lt;CAPA!$C$114,0,G56-G71))</f>
        <v>-42.305498530680779</v>
      </c>
      <c r="H40" s="115">
        <f ca="1">IF(CAPA!$C$113="Não",H56-H71,IF(Indexador!$B77&lt;CAPA!$C$114,0,H56-H71))</f>
        <v>1981.0450745451235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693.06314697861671</v>
      </c>
      <c r="L40" s="1817" t="s">
        <v>2090</v>
      </c>
      <c r="M40" s="1817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-2275.4841301755514</v>
      </c>
      <c r="D41" s="115">
        <f ca="1">IF(CAPA!$C$113="Não",D57-D72,IF(Indexador!$B78&lt;CAPA!$C$114,0,D57-D72))</f>
        <v>-2014.4767218918278</v>
      </c>
      <c r="E41" s="115">
        <f ca="1">IF(CAPA!$C$113="Não",E57-E72,IF(Indexador!$B78&lt;CAPA!$C$114,0,E57-E72))</f>
        <v>-49.149267737620903</v>
      </c>
      <c r="F41" s="115">
        <f ca="1">IF(CAPA!$C$113="Não",F57-F72,IF(Indexador!$B78&lt;CAPA!$C$114,0,F57-F72))</f>
        <v>-11932.489006414777</v>
      </c>
      <c r="G41" s="115">
        <f ca="1">IF(CAPA!$C$113="Não",G57-G72,IF(Indexador!$B78&lt;CAPA!$C$114,0,G57-G72))</f>
        <v>-2570.6006808500388</v>
      </c>
      <c r="H41" s="115">
        <f ca="1">IF(CAPA!$C$113="Não",H57-H72,IF(Indexador!$B78&lt;CAPA!$C$114,0,H57-H72))</f>
        <v>1298.6911430665496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-18842.19980706973</v>
      </c>
      <c r="L41" s="68" t="str">
        <f>H30</f>
        <v>Financeiro Covid</v>
      </c>
      <c r="M41" s="69">
        <f ca="1">Indexador!P80</f>
        <v>45172.198439775719</v>
      </c>
      <c r="N41" s="80"/>
    </row>
    <row r="42" spans="2:14">
      <c r="B42" s="267">
        <f>Indexador!B79</f>
        <v>44774</v>
      </c>
      <c r="C42" s="1155">
        <f ca="1">IFERROR(IF(CAPA!$C$113="Não",C58-C73,IF(Indexador!$B79&lt;CAPA!$C$114,0,C58-C73)),0)</f>
        <v>-6696.7660127920972</v>
      </c>
      <c r="D42" s="1155">
        <f ca="1">IF(CAPA!$C$113="Não",D58-D73,IF(Indexador!$B79&lt;CAPA!$C$114,0,D58-D73))</f>
        <v>-4718.2908603051474</v>
      </c>
      <c r="E42" s="1155">
        <f ca="1">IF(CAPA!$C$113="Não",E58-E73,IF(Indexador!$B79&lt;CAPA!$C$114,0,E58-E73))</f>
        <v>-174.75381991496579</v>
      </c>
      <c r="F42" s="1155">
        <f ca="1">IF(CAPA!$C$113="Não",F58-F73,IF(Indexador!$B79&lt;CAPA!$C$114,0,F58-F73))</f>
        <v>-35117.400190356886</v>
      </c>
      <c r="G42" s="1155">
        <f ca="1">IF(CAPA!$C$113="Não",G58-G73,IF(Indexador!$B79&lt;CAPA!$C$114,0,G58-G73))</f>
        <v>-6580.2877062269254</v>
      </c>
      <c r="H42" s="1155">
        <f ca="1">IF(CAPA!$C$113="Não",H58-H73,IF(Indexador!$B79&lt;CAPA!$C$114,0,H58-H73))</f>
        <v>3697.9858836383937</v>
      </c>
      <c r="I42" s="1155">
        <f ca="1">IF(CAPA!$C$113="Não",I58-I73,IF(Indexador!$B79&lt;CAPA!$C$114,0,I58-I73))</f>
        <v>0</v>
      </c>
      <c r="J42" s="1155">
        <f ca="1">IF(CAPA!$C$113="Não",J58-J73,IF(Indexador!$B79&lt;CAPA!$C$114,0,J58-J73))</f>
        <v>-53287.498589596013</v>
      </c>
      <c r="L42" s="787" t="str">
        <f>I30</f>
        <v>Crédito Pis Cofins</v>
      </c>
      <c r="M42" s="1186">
        <f ca="1">Indexador!R80</f>
        <v>0</v>
      </c>
      <c r="N42" s="80"/>
    </row>
    <row r="43" spans="2:14">
      <c r="L43" s="71" t="s">
        <v>769</v>
      </c>
      <c r="M43" s="269">
        <f ca="1">SUM(M41:M42)</f>
        <v>45172.198439775719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5" t="s">
        <v>2082</v>
      </c>
      <c r="D46" s="1235" t="s">
        <v>46</v>
      </c>
      <c r="E46" s="1235" t="s">
        <v>40</v>
      </c>
      <c r="F46" s="1235" t="s">
        <v>41</v>
      </c>
      <c r="G46" s="1235" t="s">
        <v>47</v>
      </c>
      <c r="H46" s="1466" t="s">
        <v>2083</v>
      </c>
      <c r="I46" s="1466" t="s">
        <v>2087</v>
      </c>
      <c r="J46" s="1235" t="s">
        <v>1276</v>
      </c>
      <c r="K46" s="140"/>
    </row>
    <row r="47" spans="2:14">
      <c r="B47" s="267">
        <f>Indexador!B37</f>
        <v>44440</v>
      </c>
      <c r="C47" s="1453">
        <f>$F$11/12</f>
        <v>154748.96252837082</v>
      </c>
      <c r="D47" s="1300">
        <f>$F$8/12</f>
        <v>93700.232758333324</v>
      </c>
      <c r="E47" s="1146">
        <f t="shared" ref="E47:E58" si="0">$F$5/12</f>
        <v>4375.7195582142003</v>
      </c>
      <c r="F47" s="115">
        <f t="shared" ref="F47:F58" si="1">$F$6/12</f>
        <v>811493.37393166742</v>
      </c>
      <c r="G47" s="115">
        <f t="shared" ref="G47:G58" si="2">$F$9/12</f>
        <v>140024.64539666666</v>
      </c>
      <c r="H47" s="115">
        <f>IFERROR((VLOOKUP("Parcela B",TabFinanCovid[],4,FALSE)/12),0)</f>
        <v>-85737.998393970003</v>
      </c>
      <c r="I47" s="115">
        <f>IFERROR(VLOOKUP("Créditos de Pis/Cofins",TabFinanNeutralidade[[#All],[Detalhe_Grupo_TARIFA]:[valor]],2,FALSE)/12,0)</f>
        <v>0</v>
      </c>
      <c r="J47" s="1301">
        <f>SUM(C47:G47)</f>
        <v>1204342.9341732524</v>
      </c>
      <c r="K47" s="140"/>
    </row>
    <row r="48" spans="2:14">
      <c r="B48" s="267">
        <f>Indexador!B38</f>
        <v>44470</v>
      </c>
      <c r="C48" s="115">
        <f t="shared" ref="C48:C58" si="3">$F$11/12</f>
        <v>154748.96252837082</v>
      </c>
      <c r="D48" s="140">
        <f t="shared" ref="D48:D58" si="4">$F$8/12</f>
        <v>93700.232758333324</v>
      </c>
      <c r="E48" s="115">
        <f t="shared" si="0"/>
        <v>4375.7195582142003</v>
      </c>
      <c r="F48" s="115">
        <f t="shared" si="1"/>
        <v>811493.37393166742</v>
      </c>
      <c r="G48" s="115">
        <f t="shared" si="2"/>
        <v>140024.64539666666</v>
      </c>
      <c r="H48" s="115">
        <f>IFERROR((VLOOKUP("Parcela B",TabFinanCovid[],4,FALSE)/12),0)</f>
        <v>-85737.998393970003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1204342.9341732524</v>
      </c>
      <c r="K48" s="140"/>
    </row>
    <row r="49" spans="2:12">
      <c r="B49" s="267">
        <f>Indexador!B39</f>
        <v>44501</v>
      </c>
      <c r="C49" s="115">
        <f t="shared" si="3"/>
        <v>154748.96252837082</v>
      </c>
      <c r="D49" s="140">
        <f t="shared" si="4"/>
        <v>93700.232758333324</v>
      </c>
      <c r="E49" s="115">
        <f t="shared" si="0"/>
        <v>4375.7195582142003</v>
      </c>
      <c r="F49" s="115">
        <f t="shared" si="1"/>
        <v>811493.37393166742</v>
      </c>
      <c r="G49" s="115">
        <f t="shared" si="2"/>
        <v>140024.64539666666</v>
      </c>
      <c r="H49" s="115">
        <f>IFERROR((VLOOKUP("Parcela B",TabFinanCovid[],4,FALSE)/12),0)</f>
        <v>-85737.998393970003</v>
      </c>
      <c r="I49" s="115">
        <f>IFERROR(VLOOKUP("Créditos de Pis/Cofins",TabFinanNeutralidade[[#All],[Detalhe_Grupo_TARIFA]:[valor]],2,FALSE)/12,0)</f>
        <v>0</v>
      </c>
      <c r="J49" s="142">
        <f t="shared" si="5"/>
        <v>1204342.9341732524</v>
      </c>
      <c r="K49" s="140"/>
    </row>
    <row r="50" spans="2:12">
      <c r="B50" s="267">
        <f>Indexador!B40</f>
        <v>44531</v>
      </c>
      <c r="C50" s="115">
        <f t="shared" si="3"/>
        <v>154748.96252837082</v>
      </c>
      <c r="D50" s="140">
        <f t="shared" si="4"/>
        <v>93700.232758333324</v>
      </c>
      <c r="E50" s="115">
        <f t="shared" si="0"/>
        <v>4375.7195582142003</v>
      </c>
      <c r="F50" s="115">
        <f t="shared" si="1"/>
        <v>811493.37393166742</v>
      </c>
      <c r="G50" s="115">
        <f t="shared" si="2"/>
        <v>140024.64539666666</v>
      </c>
      <c r="H50" s="115">
        <f>IFERROR((VLOOKUP("Parcela B",TabFinanCovid[],4,FALSE)/12),0)</f>
        <v>-85737.998393970003</v>
      </c>
      <c r="I50" s="115">
        <f>IFERROR(VLOOKUP("Créditos de Pis/Cofins",TabFinanNeutralidade[[#All],[Detalhe_Grupo_TARIFA]:[valor]],2,FALSE)/12,0)</f>
        <v>0</v>
      </c>
      <c r="J50" s="142">
        <f t="shared" si="5"/>
        <v>1204342.9341732524</v>
      </c>
      <c r="K50" s="140"/>
    </row>
    <row r="51" spans="2:12">
      <c r="B51" s="267">
        <f>Indexador!B41</f>
        <v>44562</v>
      </c>
      <c r="C51" s="115">
        <f t="shared" si="3"/>
        <v>154748.96252837082</v>
      </c>
      <c r="D51" s="140">
        <f t="shared" si="4"/>
        <v>93700.232758333324</v>
      </c>
      <c r="E51" s="115">
        <f t="shared" si="0"/>
        <v>4375.7195582142003</v>
      </c>
      <c r="F51" s="115">
        <f t="shared" si="1"/>
        <v>811493.37393166742</v>
      </c>
      <c r="G51" s="115">
        <f t="shared" si="2"/>
        <v>140024.64539666666</v>
      </c>
      <c r="H51" s="115">
        <f>IFERROR((VLOOKUP("Parcela B",TabFinanCovid[],4,FALSE)/12),0)</f>
        <v>-85737.998393970003</v>
      </c>
      <c r="I51" s="115">
        <f>IFERROR(VLOOKUP("Créditos de Pis/Cofins",TabFinanNeutralidade[[#All],[Detalhe_Grupo_TARIFA]:[valor]],2,FALSE)/12,0)</f>
        <v>0</v>
      </c>
      <c r="J51" s="142">
        <f t="shared" si="5"/>
        <v>1204342.9341732524</v>
      </c>
    </row>
    <row r="52" spans="2:12">
      <c r="B52" s="267">
        <f>Indexador!B42</f>
        <v>44593</v>
      </c>
      <c r="C52" s="115">
        <f t="shared" si="3"/>
        <v>154748.96252837082</v>
      </c>
      <c r="D52" s="140">
        <f t="shared" si="4"/>
        <v>93700.232758333324</v>
      </c>
      <c r="E52" s="115">
        <f t="shared" si="0"/>
        <v>4375.7195582142003</v>
      </c>
      <c r="F52" s="115">
        <f t="shared" si="1"/>
        <v>811493.37393166742</v>
      </c>
      <c r="G52" s="115">
        <f t="shared" si="2"/>
        <v>140024.64539666666</v>
      </c>
      <c r="H52" s="115">
        <f>IFERROR((VLOOKUP("Parcela B",TabFinanCovid[],4,FALSE)/12),0)</f>
        <v>-85737.998393970003</v>
      </c>
      <c r="I52" s="115">
        <f>IFERROR(VLOOKUP("Créditos de Pis/Cofins",TabFinanNeutralidade[[#All],[Detalhe_Grupo_TARIFA]:[valor]],2,FALSE)/12,0)</f>
        <v>0</v>
      </c>
      <c r="J52" s="142">
        <f t="shared" si="5"/>
        <v>1204342.9341732524</v>
      </c>
    </row>
    <row r="53" spans="2:12">
      <c r="B53" s="267">
        <f>Indexador!B43</f>
        <v>44621</v>
      </c>
      <c r="C53" s="115">
        <f t="shared" si="3"/>
        <v>154748.96252837082</v>
      </c>
      <c r="D53" s="140">
        <f t="shared" si="4"/>
        <v>93700.232758333324</v>
      </c>
      <c r="E53" s="115">
        <f t="shared" si="0"/>
        <v>4375.7195582142003</v>
      </c>
      <c r="F53" s="115">
        <f t="shared" si="1"/>
        <v>811493.37393166742</v>
      </c>
      <c r="G53" s="115">
        <f t="shared" si="2"/>
        <v>140024.64539666666</v>
      </c>
      <c r="H53" s="115">
        <f>IFERROR((VLOOKUP("Parcela B",TabFinanCovid[],4,FALSE)/12),0)</f>
        <v>-85737.998393970003</v>
      </c>
      <c r="I53" s="115">
        <f>IFERROR(VLOOKUP("Créditos de Pis/Cofins",TabFinanNeutralidade[[#All],[Detalhe_Grupo_TARIFA]:[valor]],2,FALSE)/12,0)</f>
        <v>0</v>
      </c>
      <c r="J53" s="142">
        <f t="shared" si="5"/>
        <v>1204342.9341732524</v>
      </c>
    </row>
    <row r="54" spans="2:12">
      <c r="B54" s="267">
        <f>Indexador!B44</f>
        <v>44652</v>
      </c>
      <c r="C54" s="115">
        <f t="shared" si="3"/>
        <v>154748.96252837082</v>
      </c>
      <c r="D54" s="140">
        <f t="shared" si="4"/>
        <v>93700.232758333324</v>
      </c>
      <c r="E54" s="115">
        <f t="shared" si="0"/>
        <v>4375.7195582142003</v>
      </c>
      <c r="F54" s="115">
        <f t="shared" si="1"/>
        <v>811493.37393166742</v>
      </c>
      <c r="G54" s="115">
        <f t="shared" si="2"/>
        <v>140024.64539666666</v>
      </c>
      <c r="H54" s="115">
        <f>IFERROR((VLOOKUP("Parcela B",TabFinanCovid[],4,FALSE)/12),0)</f>
        <v>-85737.998393970003</v>
      </c>
      <c r="I54" s="115">
        <f>IFERROR(VLOOKUP("Créditos de Pis/Cofins",TabFinanNeutralidade[[#All],[Detalhe_Grupo_TARIFA]:[valor]],2,FALSE)/12,0)</f>
        <v>0</v>
      </c>
      <c r="J54" s="142">
        <f t="shared" si="5"/>
        <v>1204342.9341732524</v>
      </c>
    </row>
    <row r="55" spans="2:12">
      <c r="B55" s="267">
        <f>Indexador!B45</f>
        <v>44682</v>
      </c>
      <c r="C55" s="115">
        <f t="shared" si="3"/>
        <v>154748.96252837082</v>
      </c>
      <c r="D55" s="140">
        <f t="shared" si="4"/>
        <v>93700.232758333324</v>
      </c>
      <c r="E55" s="115">
        <f t="shared" si="0"/>
        <v>4375.7195582142003</v>
      </c>
      <c r="F55" s="115">
        <f t="shared" si="1"/>
        <v>811493.37393166742</v>
      </c>
      <c r="G55" s="115">
        <f t="shared" si="2"/>
        <v>140024.64539666666</v>
      </c>
      <c r="H55" s="115">
        <f>IFERROR((VLOOKUP("Parcela B",TabFinanCovid[],4,FALSE)/12),0)</f>
        <v>-85737.998393970003</v>
      </c>
      <c r="I55" s="115">
        <f>IFERROR(VLOOKUP("Créditos de Pis/Cofins",TabFinanNeutralidade[[#All],[Detalhe_Grupo_TARIFA]:[valor]],2,FALSE)/12,0)</f>
        <v>0</v>
      </c>
      <c r="J55" s="142">
        <f t="shared" si="5"/>
        <v>1204342.9341732524</v>
      </c>
    </row>
    <row r="56" spans="2:12">
      <c r="B56" s="267">
        <f>Indexador!B46</f>
        <v>44713</v>
      </c>
      <c r="C56" s="115">
        <f t="shared" si="3"/>
        <v>154748.96252837082</v>
      </c>
      <c r="D56" s="140">
        <f t="shared" si="4"/>
        <v>93700.232758333324</v>
      </c>
      <c r="E56" s="115">
        <f t="shared" si="0"/>
        <v>4375.7195582142003</v>
      </c>
      <c r="F56" s="115">
        <f t="shared" si="1"/>
        <v>811493.37393166742</v>
      </c>
      <c r="G56" s="115">
        <f t="shared" si="2"/>
        <v>140024.64539666666</v>
      </c>
      <c r="H56" s="115">
        <f>IFERROR((VLOOKUP("Parcela B",TabFinanCovid[],4,FALSE)/12),0)</f>
        <v>-85737.998393970003</v>
      </c>
      <c r="I56" s="115">
        <f>IFERROR(VLOOKUP("Créditos de Pis/Cofins",TabFinanNeutralidade[[#All],[Detalhe_Grupo_TARIFA]:[valor]],2,FALSE)/12,0)</f>
        <v>0</v>
      </c>
      <c r="J56" s="142">
        <f t="shared" si="5"/>
        <v>1204342.9341732524</v>
      </c>
    </row>
    <row r="57" spans="2:12">
      <c r="B57" s="267">
        <f>Indexador!B47</f>
        <v>44743</v>
      </c>
      <c r="C57" s="115">
        <f t="shared" si="3"/>
        <v>154748.96252837082</v>
      </c>
      <c r="D57" s="140">
        <f t="shared" si="4"/>
        <v>93700.232758333324</v>
      </c>
      <c r="E57" s="115">
        <f t="shared" si="0"/>
        <v>4375.7195582142003</v>
      </c>
      <c r="F57" s="115">
        <f t="shared" si="1"/>
        <v>811493.37393166742</v>
      </c>
      <c r="G57" s="115">
        <f t="shared" si="2"/>
        <v>140024.64539666666</v>
      </c>
      <c r="H57" s="115">
        <f>IFERROR((VLOOKUP("Parcela B",TabFinanCovid[],4,FALSE)/12),0)</f>
        <v>-85737.998393970003</v>
      </c>
      <c r="I57" s="115">
        <f>IFERROR(VLOOKUP("Créditos de Pis/Cofins",TabFinanNeutralidade[[#All],[Detalhe_Grupo_TARIFA]:[valor]],2,FALSE)/12,0)</f>
        <v>0</v>
      </c>
      <c r="J57" s="142">
        <f t="shared" si="5"/>
        <v>1204342.9341732524</v>
      </c>
    </row>
    <row r="58" spans="2:12">
      <c r="B58" s="267">
        <f>Indexador!B48</f>
        <v>44774</v>
      </c>
      <c r="C58" s="1155">
        <f t="shared" si="3"/>
        <v>154748.96252837082</v>
      </c>
      <c r="D58" s="1302">
        <f t="shared" si="4"/>
        <v>93700.232758333324</v>
      </c>
      <c r="E58" s="1155">
        <f t="shared" si="0"/>
        <v>4375.7195582142003</v>
      </c>
      <c r="F58" s="1155">
        <f t="shared" si="1"/>
        <v>811493.37393166742</v>
      </c>
      <c r="G58" s="1155">
        <f t="shared" si="2"/>
        <v>140024.64539666666</v>
      </c>
      <c r="H58" s="1155">
        <f>IFERROR((VLOOKUP("Parcela B",TabFinanCovid[],4,FALSE)/12),0)</f>
        <v>-85737.998393970003</v>
      </c>
      <c r="I58" s="1155">
        <f>IFERROR(VLOOKUP("Créditos de Pis/Cofins",TabFinanNeutralidade[[#All],[Detalhe_Grupo_TARIFA]:[valor]],2,FALSE)/12,0)</f>
        <v>0</v>
      </c>
      <c r="J58" s="1303">
        <f t="shared" si="5"/>
        <v>1204342.9341732524</v>
      </c>
    </row>
    <row r="60" spans="2:12">
      <c r="C60" s="68" t="s">
        <v>1277</v>
      </c>
      <c r="L60" s="196">
        <v>42491</v>
      </c>
    </row>
    <row r="61" spans="2:12" ht="28.5">
      <c r="C61" s="1454" t="s">
        <v>2082</v>
      </c>
      <c r="D61" s="1235" t="s">
        <v>46</v>
      </c>
      <c r="E61" s="1235" t="s">
        <v>40</v>
      </c>
      <c r="F61" s="1235" t="s">
        <v>41</v>
      </c>
      <c r="G61" s="1235" t="s">
        <v>47</v>
      </c>
      <c r="H61" s="1466" t="s">
        <v>2083</v>
      </c>
      <c r="I61" s="1466" t="s">
        <v>2085</v>
      </c>
      <c r="J61" s="1235" t="s">
        <v>1276</v>
      </c>
      <c r="L61" s="1235" t="s">
        <v>48</v>
      </c>
    </row>
    <row r="62" spans="2:12">
      <c r="B62" s="267">
        <f t="shared" ref="B62:B73" si="6">B47</f>
        <v>44440</v>
      </c>
      <c r="C62" s="1304">
        <f ca="1">Calc_Mercado!S63</f>
        <v>155278.58257319746</v>
      </c>
      <c r="D62" s="1304">
        <f ca="1">Calc_Mercado!F63</f>
        <v>94316.957572604108</v>
      </c>
      <c r="E62" s="1146">
        <f ca="1">Calc_Mercado!I63</f>
        <v>4364.817172988699</v>
      </c>
      <c r="F62" s="1292">
        <f ca="1">Calc_Mercado!H63</f>
        <v>814270.66658717813</v>
      </c>
      <c r="G62" s="1292">
        <f ca="1">Calc_Mercado!G63</f>
        <v>140915.12414965892</v>
      </c>
      <c r="H62" s="1467">
        <f ca="1">IFERROR((VLOOKUP("Parcela B",TabFinanCovid[],4,FALSE)/VLOOKUP("Parcela B",TabFinanNeutralidade[],3,FALSE))*Calc_Mercado!T63,0)</f>
        <v>-86763.73270775839</v>
      </c>
      <c r="I62" s="1467">
        <f ca="1">Calc_Mercado!U63</f>
        <v>0</v>
      </c>
      <c r="J62" s="1301">
        <f t="shared" ref="J62:J73" ca="1" si="7">SUM(C62:G62)</f>
        <v>1209146.1480556272</v>
      </c>
      <c r="L62" s="1304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157458.54496985258</v>
      </c>
      <c r="D63" s="141">
        <f ca="1">Calc_Mercado!F64</f>
        <v>95684.366362715795</v>
      </c>
      <c r="E63" s="115">
        <f ca="1">Calc_Mercado!I64</f>
        <v>4419.1940264822024</v>
      </c>
      <c r="F63" s="80">
        <f ca="1">Calc_Mercado!H64</f>
        <v>825702.24591024837</v>
      </c>
      <c r="G63" s="80">
        <f ca="1">Calc_Mercado!G64</f>
        <v>142981.73156506478</v>
      </c>
      <c r="H63" s="80">
        <f ca="1">IFERROR((VLOOKUP("Parcela B",TabFinanCovid[],4,FALSE)/VLOOKUP("Parcela B",TabFinanNeutralidade[],3,FALSE))*Calc_Mercado!T64,0)</f>
        <v>-86844.375412137029</v>
      </c>
      <c r="I63" s="80">
        <f ca="1">Calc_Mercado!U64</f>
        <v>0</v>
      </c>
      <c r="J63" s="142">
        <f t="shared" ca="1" si="7"/>
        <v>1226246.0828343637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162219.1200342536</v>
      </c>
      <c r="D64" s="141">
        <f ca="1">Calc_Mercado!F65</f>
        <v>98349.508817345952</v>
      </c>
      <c r="E64" s="115">
        <f ca="1">Calc_Mercado!I65</f>
        <v>4579.2252193705963</v>
      </c>
      <c r="F64" s="80">
        <f ca="1">Calc_Mercado!H65</f>
        <v>850666.38820721197</v>
      </c>
      <c r="G64" s="80">
        <f ca="1">Calc_Mercado!G65</f>
        <v>146926.94467040981</v>
      </c>
      <c r="H64" s="80">
        <f ca="1">IFERROR((VLOOKUP("Parcela B",TabFinanCovid[],4,FALSE)/VLOOKUP("Parcela B",TabFinanNeutralidade[],3,FALSE))*Calc_Mercado!T65,0)</f>
        <v>-90052.908089640929</v>
      </c>
      <c r="I64" s="80">
        <f ca="1">Calc_Mercado!U65</f>
        <v>0</v>
      </c>
      <c r="J64" s="142">
        <f t="shared" ca="1" si="7"/>
        <v>1262741.1869485921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145851.36206191569</v>
      </c>
      <c r="D65" s="141">
        <f ca="1">Calc_Mercado!F66</f>
        <v>88026.547412415093</v>
      </c>
      <c r="E65" s="115">
        <f ca="1">Calc_Mercado!I66</f>
        <v>4167.4473723168685</v>
      </c>
      <c r="F65" s="80">
        <f ca="1">Calc_Mercado!H66</f>
        <v>764834.94272508554</v>
      </c>
      <c r="G65" s="80">
        <f ca="1">Calc_Mercado!G66</f>
        <v>131409.72953879624</v>
      </c>
      <c r="H65" s="80">
        <f ca="1">IFERROR((VLOOKUP("Parcela B",TabFinanCovid[],4,FALSE)/VLOOKUP("Parcela B",TabFinanNeutralidade[],3,FALSE))*Calc_Mercado!T66,0)</f>
        <v>-90822.484755901794</v>
      </c>
      <c r="I65" s="80">
        <f ca="1">Calc_Mercado!U66</f>
        <v>0</v>
      </c>
      <c r="J65" s="142">
        <f t="shared" ca="1" si="7"/>
        <v>1134290.0291105295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154829.91518418223</v>
      </c>
      <c r="D66" s="141">
        <f ca="1">Calc_Mercado!F67</f>
        <v>93581.977966768973</v>
      </c>
      <c r="E66" s="115">
        <f ca="1">Calc_Mercado!I67</f>
        <v>4416.4693475128151</v>
      </c>
      <c r="F66" s="80">
        <f ca="1">Calc_Mercado!H67</f>
        <v>811917.88433044194</v>
      </c>
      <c r="G66" s="80">
        <f ca="1">Calc_Mercado!G67</f>
        <v>139645.94143233178</v>
      </c>
      <c r="H66" s="80">
        <f ca="1">IFERROR((VLOOKUP("Parcela B",TabFinanCovid[],4,FALSE)/VLOOKUP("Parcela B",TabFinanNeutralidade[],3,FALSE))*Calc_Mercado!T67,0)</f>
        <v>-92852.687215074067</v>
      </c>
      <c r="I66" s="80">
        <f ca="1">Calc_Mercado!U67</f>
        <v>0</v>
      </c>
      <c r="J66" s="142">
        <f t="shared" ca="1" si="7"/>
        <v>1204392.1882612377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154201.96152199575</v>
      </c>
      <c r="D67" s="141">
        <f ca="1">Calc_Mercado!F68</f>
        <v>93407.8051176429</v>
      </c>
      <c r="E67" s="115">
        <f ca="1">Calc_Mercado!I68</f>
        <v>4393.5046213384067</v>
      </c>
      <c r="F67" s="80">
        <f ca="1">Calc_Mercado!H68</f>
        <v>808624.93665780721</v>
      </c>
      <c r="G67" s="80">
        <f ca="1">Calc_Mercado!G68</f>
        <v>139246.35550234022</v>
      </c>
      <c r="H67" s="80">
        <f ca="1">IFERROR((VLOOKUP("Parcela B",TabFinanCovid[],4,FALSE)/VLOOKUP("Parcela B",TabFinanNeutralidade[],3,FALSE))*Calc_Mercado!T68,0)</f>
        <v>-92249.966148457243</v>
      </c>
      <c r="I67" s="80">
        <f ca="1">Calc_Mercado!U68</f>
        <v>0</v>
      </c>
      <c r="J67" s="142">
        <f t="shared" ca="1" si="7"/>
        <v>1199874.5634211246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167448.07891648915</v>
      </c>
      <c r="D68" s="141">
        <f ca="1">Calc_Mercado!F69</f>
        <v>101605.50091375769</v>
      </c>
      <c r="E68" s="115">
        <f ca="1">Calc_Mercado!I69</f>
        <v>4757.848417003016</v>
      </c>
      <c r="F68" s="80">
        <f ca="1">Calc_Mercado!H69</f>
        <v>878086.70441590599</v>
      </c>
      <c r="G68" s="80">
        <f ca="1">Calc_Mercado!G69</f>
        <v>151426.29461901271</v>
      </c>
      <c r="H68" s="80">
        <f ca="1">IFERROR((VLOOKUP("Parcela B",TabFinanCovid[],4,FALSE)/VLOOKUP("Parcela B",TabFinanNeutralidade[],3,FALSE))*Calc_Mercado!T69,0)</f>
        <v>-93049.208038262732</v>
      </c>
      <c r="I68" s="80">
        <f ca="1">Calc_Mercado!U69</f>
        <v>0</v>
      </c>
      <c r="J68" s="142">
        <f t="shared" ca="1" si="7"/>
        <v>1303324.4272821685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149535.65410529519</v>
      </c>
      <c r="D69" s="141">
        <f ca="1">Calc_Mercado!F70</f>
        <v>90896.029061311376</v>
      </c>
      <c r="E69" s="115">
        <f ca="1">Calc_Mercado!I70</f>
        <v>4242.2201282894184</v>
      </c>
      <c r="F69" s="80">
        <f ca="1">Calc_Mercado!H70</f>
        <v>784155.12770069379</v>
      </c>
      <c r="G69" s="80">
        <f ca="1">Calc_Mercado!G70</f>
        <v>135386.73603630086</v>
      </c>
      <c r="H69" s="80">
        <f ca="1">IFERROR((VLOOKUP("Parcela B",TabFinanCovid[],4,FALSE)/VLOOKUP("Parcela B",TabFinanNeutralidade[],3,FALSE))*Calc_Mercado!T70,0)</f>
        <v>-88158.677445273177</v>
      </c>
      <c r="I69" s="80">
        <f ca="1">Calc_Mercado!U70</f>
        <v>0</v>
      </c>
      <c r="J69" s="142">
        <f t="shared" ca="1" si="7"/>
        <v>1164215.7670318906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153674.58820959594</v>
      </c>
      <c r="D70" s="141">
        <f ca="1">Calc_Mercado!F71</f>
        <v>93657.811442650418</v>
      </c>
      <c r="E70" s="115">
        <f ca="1">Calc_Mercado!I71</f>
        <v>4335.544207216275</v>
      </c>
      <c r="F70" s="80">
        <f ca="1">Calc_Mercado!H71</f>
        <v>805859.4257192614</v>
      </c>
      <c r="G70" s="80">
        <f ca="1">Calc_Mercado!G71</f>
        <v>139498.59510804157</v>
      </c>
      <c r="H70" s="80">
        <f ca="1">IFERROR((VLOOKUP("Parcela B",TabFinanCovid[],4,FALSE)/VLOOKUP("Parcela B",TabFinanNeutralidade[],3,FALSE))*Calc_Mercado!T71,0)</f>
        <v>-87580.744499620836</v>
      </c>
      <c r="I70" s="80">
        <f ca="1">Calc_Mercado!U71</f>
        <v>0</v>
      </c>
      <c r="J70" s="142">
        <f t="shared" ca="1" si="7"/>
        <v>1197025.9646867656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154566.81714090367</v>
      </c>
      <c r="D71" s="141">
        <f ca="1">Calc_Mercado!F72</f>
        <v>94097.566226668874</v>
      </c>
      <c r="E71" s="115">
        <f ca="1">Calc_Mercado!I72</f>
        <v>4380.3212549182899</v>
      </c>
      <c r="F71" s="80">
        <f ca="1">Calc_Mercado!H72</f>
        <v>810538.2155085858</v>
      </c>
      <c r="G71" s="80">
        <f ca="1">Calc_Mercado!G72</f>
        <v>140066.95089519734</v>
      </c>
      <c r="H71" s="80">
        <f ca="1">IFERROR((VLOOKUP("Parcela B",TabFinanCovid[],4,FALSE)/VLOOKUP("Parcela B",TabFinanNeutralidade[],3,FALSE))*Calc_Mercado!T72,0)</f>
        <v>-87719.043468515127</v>
      </c>
      <c r="I71" s="80">
        <f ca="1">Calc_Mercado!U72</f>
        <v>0</v>
      </c>
      <c r="J71" s="142">
        <f t="shared" ca="1" si="7"/>
        <v>1203649.8710262738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157024.44665854637</v>
      </c>
      <c r="D72" s="141">
        <f ca="1">Calc_Mercado!F73</f>
        <v>95714.709480225152</v>
      </c>
      <c r="E72" s="115">
        <f ca="1">Calc_Mercado!I73</f>
        <v>4424.8688259518212</v>
      </c>
      <c r="F72" s="80">
        <f ca="1">Calc_Mercado!H73</f>
        <v>823425.86293808219</v>
      </c>
      <c r="G72" s="80">
        <f ca="1">Calc_Mercado!G73</f>
        <v>142595.2460775167</v>
      </c>
      <c r="H72" s="80">
        <f ca="1">IFERROR((VLOOKUP("Parcela B",TabFinanCovid[],4,FALSE)/VLOOKUP("Parcela B",TabFinanNeutralidade[],3,FALSE))*Calc_Mercado!T73,0)</f>
        <v>-87036.689537036553</v>
      </c>
      <c r="I72" s="80">
        <f ca="1">Calc_Mercado!U73</f>
        <v>0</v>
      </c>
      <c r="J72" s="142">
        <f t="shared" ca="1" si="7"/>
        <v>1223185.1339803222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5">
        <f ca="1">Calc_Mercado!S74</f>
        <v>161445.72854116291</v>
      </c>
      <c r="D73" s="1305">
        <f ca="1">Calc_Mercado!F74</f>
        <v>98418.523618638472</v>
      </c>
      <c r="E73" s="1155">
        <f ca="1">Calc_Mercado!I74</f>
        <v>4550.4733781291661</v>
      </c>
      <c r="F73" s="1297">
        <f ca="1">Calc_Mercado!H74</f>
        <v>846610.7741220243</v>
      </c>
      <c r="G73" s="1297">
        <f ca="1">Calc_Mercado!G74</f>
        <v>146604.93310289358</v>
      </c>
      <c r="H73" s="1297">
        <f ca="1">IFERROR((VLOOKUP("Parcela B",TabFinanCovid[],4,FALSE)/VLOOKUP("Parcela B",TabFinanNeutralidade[],3,FALSE))*Calc_Mercado!T74,0)</f>
        <v>-89435.984277608397</v>
      </c>
      <c r="I73" s="1297">
        <f ca="1">Calc_Mercado!U74</f>
        <v>0</v>
      </c>
      <c r="J73" s="1303">
        <f t="shared" ca="1" si="7"/>
        <v>1257630.4327628484</v>
      </c>
      <c r="L73" s="1305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N275" zoomScale="88" zoomScaleNormal="88" workbookViewId="0">
      <selection activeCell="AW310" sqref="AW310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uma redução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0</v>
      </c>
      <c r="AE6" s="23">
        <f>SMALL(Q41:Q42,1)</f>
        <v>0</v>
      </c>
    </row>
    <row r="7" spans="2:49" ht="18.75" customHeight="1">
      <c r="B7" s="299" t="s">
        <v>735</v>
      </c>
      <c r="K7" s="1054" t="s">
        <v>736</v>
      </c>
      <c r="L7" s="1054" t="s">
        <v>737</v>
      </c>
      <c r="S7" s="1828" t="s">
        <v>738</v>
      </c>
      <c r="T7" s="1828"/>
      <c r="U7" s="1828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9.2698428477659217E-2</v>
      </c>
      <c r="S8" s="47" t="s">
        <v>744</v>
      </c>
      <c r="T8" s="364">
        <f ca="1">U8/$U$15</f>
        <v>0.11985499556778149</v>
      </c>
      <c r="U8" s="56">
        <f>AU239</f>
        <v>12993300.34</v>
      </c>
      <c r="V8" s="61" t="s">
        <v>192</v>
      </c>
      <c r="W8" s="62">
        <f ca="1">T12</f>
        <v>0.27244898201761553</v>
      </c>
      <c r="X8" s="62">
        <f ca="1">W8/(1-$W$10)</f>
        <v>0.37447405787866284</v>
      </c>
    </row>
    <row r="9" spans="2:49" ht="15" customHeight="1">
      <c r="B9" s="301" t="s">
        <v>745</v>
      </c>
      <c r="K9" s="360" t="s">
        <v>717</v>
      </c>
      <c r="L9" s="361">
        <f ca="1">Resultado!E24</f>
        <v>1.69934392169774E-2</v>
      </c>
      <c r="S9" s="47" t="s">
        <v>746</v>
      </c>
      <c r="T9" s="364">
        <f ca="1">U9/$U$15</f>
        <v>0.31415280884925961</v>
      </c>
      <c r="U9" s="56">
        <f ca="1">AU230</f>
        <v>34056834.917027861</v>
      </c>
      <c r="V9" s="47" t="s">
        <v>747</v>
      </c>
      <c r="W9" s="57">
        <f ca="1">T13</f>
        <v>0</v>
      </c>
      <c r="X9" s="62">
        <f ca="1">W9/(1-$W$10)</f>
        <v>0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3.5108120793783025E-2</v>
      </c>
      <c r="S10" s="47" t="s">
        <v>750</v>
      </c>
      <c r="T10" s="364">
        <f ca="1">U10/$U$15</f>
        <v>0.10064016366341275</v>
      </c>
      <c r="U10" s="56">
        <f>AU232</f>
        <v>10910249.227</v>
      </c>
      <c r="V10" s="1055" t="s">
        <v>751</v>
      </c>
      <c r="W10" s="1056">
        <f ca="1">SUM(W8:W9)</f>
        <v>0.27244898201761553</v>
      </c>
      <c r="X10" s="1056">
        <f ca="1">SUM(X8:X9)</f>
        <v>0.37447405787866284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1.0854993151274493E-2</v>
      </c>
      <c r="S11" s="1057" t="s">
        <v>743</v>
      </c>
      <c r="T11" s="1058">
        <f ca="1">U11/$U$15</f>
        <v>0.19290304990193075</v>
      </c>
      <c r="U11" s="1059">
        <f ca="1">AU219</f>
        <v>20912330.370579544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 t="e">
        <f>LnkTXTIRTFin</f>
        <v>#NAME?</v>
      </c>
      <c r="S12" s="47" t="s">
        <v>192</v>
      </c>
      <c r="T12" s="57">
        <f ca="1">Calc_Mercado!J8</f>
        <v>0.27244898201761553</v>
      </c>
      <c r="U12" s="56">
        <f ca="1">T12*U15</f>
        <v>29535785.587511521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-5.5999999999999999E-3</v>
      </c>
      <c r="S13" s="47" t="s">
        <v>755</v>
      </c>
      <c r="T13" s="58">
        <f ca="1">Calc_Mercado!J9</f>
        <v>0</v>
      </c>
      <c r="U13" s="56">
        <f ca="1">T13*U15</f>
        <v>0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0.15735461284194208</v>
      </c>
      <c r="S14" s="47" t="s">
        <v>758</v>
      </c>
      <c r="T14" s="364">
        <f ca="1">SUM(T12:T13)</f>
        <v>0.27244898201761553</v>
      </c>
      <c r="U14" s="56">
        <f ca="1">SUM(U12:U13)</f>
        <v>29535785.587511521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5" t="s">
        <v>760</v>
      </c>
      <c r="T15" s="1060">
        <f ca="1">SUM(T8:T11)+T14</f>
        <v>1.0000000000000002</v>
      </c>
      <c r="U15" s="1061">
        <f ca="1">SUM(U8:U11)/(1-T14)</f>
        <v>108408500.44211891</v>
      </c>
      <c r="V15" s="635"/>
      <c r="AC15" s="23" t="s">
        <v>761</v>
      </c>
      <c r="AD15" s="413">
        <f ca="1">Resultado!C39</f>
        <v>12252453.986052364</v>
      </c>
      <c r="AE15" s="413">
        <f ca="1">Resultado!C33</f>
        <v>31660728.081992824</v>
      </c>
      <c r="AF15" s="413">
        <f ca="1">Resultado!C24</f>
        <v>9750457.8471730743</v>
      </c>
      <c r="AG15" s="413">
        <f ca="1">Resultado!C14</f>
        <v>14585721.795401743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12993300.34</v>
      </c>
      <c r="AE16" s="413">
        <f ca="1">Resultado!D33</f>
        <v>34056834.917027861</v>
      </c>
      <c r="AF16" s="413">
        <f>Resultado!D24</f>
        <v>10910249.227</v>
      </c>
      <c r="AG16" s="413">
        <f ca="1">Resultado!D14</f>
        <v>20912330.370579544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26" t="s">
        <v>765</v>
      </c>
      <c r="T20" s="1826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0.16473758211507775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0.43179488597302174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0.13832729413602365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3.261406942517249E-2</v>
      </c>
      <c r="AL26" s="353"/>
    </row>
    <row r="27" spans="2:46" ht="15" customHeight="1">
      <c r="S27" s="47" t="s">
        <v>41</v>
      </c>
      <c r="T27" s="55">
        <f ca="1">AX223</f>
        <v>0.17975822857708793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2.4260644898008984E-2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5.94019527365909E-2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2" t="s">
        <v>769</v>
      </c>
      <c r="T31" s="1063">
        <f ca="1">SUM(T21:T30)</f>
        <v>1.0308946578609834</v>
      </c>
    </row>
    <row r="36" spans="1:36" ht="15" customHeight="1">
      <c r="N36" s="634" t="s">
        <v>770</v>
      </c>
      <c r="O36" s="634"/>
      <c r="P36" s="1064" t="e">
        <f>VLOOKUP(LnkTXTSigla,Informacoes[],35,FALSE)</f>
        <v>#REF!</v>
      </c>
      <c r="Q36" s="1065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6"/>
      <c r="M38" s="1067">
        <f t="shared" ref="M38:V38" si="0">DATE(M37,MONTH(DataRevRea),1)</f>
        <v>41518</v>
      </c>
      <c r="N38" s="1067">
        <f t="shared" si="0"/>
        <v>41883</v>
      </c>
      <c r="O38" s="1067">
        <f t="shared" si="0"/>
        <v>42248</v>
      </c>
      <c r="P38" s="1067">
        <f t="shared" si="0"/>
        <v>42614</v>
      </c>
      <c r="Q38" s="1067">
        <f t="shared" si="0"/>
        <v>42979</v>
      </c>
      <c r="R38" s="1067">
        <f t="shared" si="0"/>
        <v>43344</v>
      </c>
      <c r="S38" s="1067">
        <f t="shared" si="0"/>
        <v>43709</v>
      </c>
      <c r="T38" s="1067">
        <f t="shared" si="0"/>
        <v>44075</v>
      </c>
      <c r="U38" s="1067">
        <f t="shared" si="0"/>
        <v>44440</v>
      </c>
      <c r="V38" s="1067">
        <f t="shared" si="0"/>
        <v>44805</v>
      </c>
      <c r="W38" s="1067" t="s">
        <v>704</v>
      </c>
    </row>
    <row r="39" spans="1:36" ht="15" customHeight="1">
      <c r="L39" s="65" t="str">
        <f>CAPA!C9</f>
        <v>Cegero</v>
      </c>
      <c r="M39" s="401">
        <f>SUMIF(TAbtarifasb1[[#All],[Sigla]],LnkTXTSigla,TAbtarifasb1[[#All],[2013]])</f>
        <v>0</v>
      </c>
      <c r="N39" s="401">
        <f>SUMIF(TAbtarifasb1[[#All],[Sigla]],LnkTXTSigla,TAbtarifasb1[[#All],[2014]])</f>
        <v>0</v>
      </c>
      <c r="O39" s="401">
        <f>SUMIF(TAbtarifasb1[[#All],[Sigla]],LnkTXTSigla,TAbtarifasb1[[#All],[2015]])</f>
        <v>0</v>
      </c>
      <c r="P39" s="411">
        <f>SUMIF(TAbtarifasb1[[#All],[Sigla]],LnkTXTSigla,TAbtarifasb1[[#All],[2016]])</f>
        <v>0</v>
      </c>
      <c r="Q39" s="411">
        <f>SUMIF(TAbtarifasb1[[#All],[Sigla]],LnkTXTSigla,TAbtarifasb1[[#All],[2017]])</f>
        <v>0</v>
      </c>
      <c r="R39" s="757">
        <f>SUMIF(TAbtarifasb1[[#All],[Sigla]],LnkTXTSigla,TAbtarifasb1[[#All],[2018]])</f>
        <v>340.93</v>
      </c>
      <c r="S39" s="757">
        <f>SUMIF(TAbtarifasb1[[#All],[Sigla]],LnkTXTSigla,TAbtarifasb1[[#All],[2019]])</f>
        <v>374.59</v>
      </c>
      <c r="T39" s="413">
        <f>SUMIF(TAbtarifasb1[[#All],[Sigla]],LnkTXTSigla,TAbtarifasb1[[#All],[2020]])</f>
        <v>366.5</v>
      </c>
      <c r="U39" s="413">
        <f>SUMIF(TAbtarifasb1[[#All],[Sigla]],LnkTXTSigla,TAbtarifasb1[[#All],[2021]])</f>
        <v>409.78999999999996</v>
      </c>
      <c r="V39" s="413">
        <f>Resultado!L6</f>
        <v>484.14</v>
      </c>
      <c r="W39" s="745" t="e">
        <f>V39/M39-1</f>
        <v>#DIV/0!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5">
        <f>V40/M40-1</f>
        <v>-1</v>
      </c>
    </row>
    <row r="41" spans="1:36" ht="15" customHeight="1">
      <c r="L41" s="65" t="s">
        <v>771</v>
      </c>
      <c r="M41" s="402">
        <f>M39</f>
        <v>0</v>
      </c>
      <c r="N41" s="402">
        <f>VLOOKUP(DATE(YEAR(O38),MONTH(O38)-1,1),Índices!$B:$F,2,FALSE)/VLOOKUP(DATE(YEAR(Q36),MONTH(Q36)-1,1),Índices!$B:$F,2,FALSE)*M41</f>
        <v>0</v>
      </c>
      <c r="O41" s="402">
        <f>VLOOKUP(DATE(YEAR(O38),MONTH(O38)-1,1),Índices!$B:$F,2,FALSE)/VLOOKUP(DATE(YEAR(N38),MONTH(N38)-1,1),Índices!$B:$F,2,FALSE)*N41</f>
        <v>0</v>
      </c>
      <c r="P41" s="402">
        <f>VLOOKUP(DATE(YEAR(P38),MONTH(P38)-1,1),Índices!$B:$F,2,FALSE)/VLOOKUP(DATE(YEAR(O38),MONTH(O38)-1,1),Índices!$B:$F,2,FALSE)*O41</f>
        <v>0</v>
      </c>
      <c r="Q41" s="402">
        <f>VLOOKUP(DATE(YEAR(Q38),MONTH(Q38)-1,1),Índices!$B:$F,2,FALSE)/VLOOKUP(DATE(YEAR(P38),MONTH(P38)-1,1),Índices!$B:$F,2,FALSE)*P41</f>
        <v>0</v>
      </c>
      <c r="R41" s="363">
        <f>IF(R37=YEAR(CAPA!$C$114),'Tabelas e Gráficos'!R39,(VLOOKUP(DATE(YEAR(R38),MONTH(R38)-1,1),Índices!$B:$F,2,FALSE)/VLOOKUP(DATE(YEAR(Q38),MONTH(Q38)-1,1),Índices!$B:$F,2,FALSE)*Q41))</f>
        <v>340.93</v>
      </c>
      <c r="S41" s="363">
        <f>IF(S37=YEAR(CAPA!$C$114),'Tabelas e Gráficos'!S39,(VLOOKUP(DATE(YEAR(S38),MONTH(S38)-1,1),Índices!$B:$F,2,FALSE)/VLOOKUP(DATE(YEAR(R38),MONTH(R38)-1,1),Índices!$B:$F,2,FALSE)*R41))</f>
        <v>357.80214238175114</v>
      </c>
      <c r="T41" s="363">
        <f>IF(T37=YEAR(CAPA!$C$114),'Tabelas e Gráficos'!T39,(VLOOKUP(DATE(YEAR(T38),MONTH(T38)-1,1),Índices!$B:$F,2,FALSE)/VLOOKUP(DATE(YEAR(S38),MONTH(S38)-1,1),Índices!$B:$F,2,FALSE)*S41))</f>
        <v>404.40326687350444</v>
      </c>
      <c r="U41" s="402">
        <f>VLOOKUP(DATE(YEAR(U38),MONTH(U38)-1,1),Índices!$B:$F,2,FALSE)/VLOOKUP(DATE(YEAR(T38),MONTH(T38)-1,1),Índices!$B:$F,2,FALSE)*T41</f>
        <v>530.23470870500239</v>
      </c>
      <c r="V41" s="402">
        <f>VLOOKUP(DATE(YEAR(V38),MONTH(V38)-1,1),Índices!$B:$F,2,FALSE)/VLOOKUP(DATE(YEAR(U38),MONTH(U38)-1,1),Índices!$B:$F,2,FALSE)*U41</f>
        <v>575.76835740661295</v>
      </c>
      <c r="W41" s="745" t="e">
        <f>V41/M41-1</f>
        <v>#DIV/0!</v>
      </c>
    </row>
    <row r="42" spans="1:36" ht="15" customHeight="1">
      <c r="L42" s="1068" t="s">
        <v>772</v>
      </c>
      <c r="M42" s="1070">
        <f>M39</f>
        <v>0</v>
      </c>
      <c r="N42" s="1070">
        <f>VLOOKUP(DATE(YEAR(N38),MONTH(N38)-1,1),Índices!$B:$F,3,FALSE)/VLOOKUP(DATE(YEAR(Q36),MONTH(Q36)-1,1),Índices!$B:$F,3,FALSE)*M42</f>
        <v>0</v>
      </c>
      <c r="O42" s="1070">
        <f>VLOOKUP(DATE(YEAR(O38),MONTH(O38)-1,1),Índices!$B:$F,3,FALSE)/VLOOKUP(DATE(YEAR(N38),MONTH(N38)-1,1),Índices!$B:$F,3,FALSE)*N42</f>
        <v>0</v>
      </c>
      <c r="P42" s="1070">
        <f>VLOOKUP(DATE(YEAR(P38),MONTH(P38)-1,1),Índices!$B:$F,3,FALSE)/VLOOKUP(DATE(YEAR(O38),MONTH(O38)-1,1),Índices!$B:$F,3,FALSE)*O42</f>
        <v>0</v>
      </c>
      <c r="Q42" s="1070">
        <f>VLOOKUP(DATE(YEAR(Q38),MONTH(Q38)-1,1),Índices!$B:$F,3,FALSE)/VLOOKUP(DATE(YEAR(P38),MONTH(P38)-1,1),Índices!$B:$F,3,FALSE)*P42</f>
        <v>0</v>
      </c>
      <c r="R42" s="1069">
        <f>IF(R37=YEAR(CAPA!$C$114),'Tabelas e Gráficos'!R39,(VLOOKUP(DATE(YEAR(R38),MONTH(R38)-1,1),Índices!$B:$F,3,FALSE)/VLOOKUP(DATE(YEAR(Q38),MONTH(Q38)-1,1),Índices!$B:$F,3,FALSE)*'Tabelas e Gráficos'!Q42))</f>
        <v>340.93</v>
      </c>
      <c r="S42" s="1069">
        <f>IF(S37=YEAR(CAPA!$C$114),'Tabelas e Gráficos'!S39,(VLOOKUP(DATE(YEAR(S38),MONTH(S38)-1,1),Índices!$B:$F,3,FALSE)/VLOOKUP(DATE(YEAR(R38),MONTH(R38)-1,1),Índices!$B:$F,3,FALSE)*'Tabelas e Gráficos'!R42))</f>
        <v>352.6191788290854</v>
      </c>
      <c r="T42" s="1069">
        <f>IF(T37=YEAR(CAPA!$C$114),'Tabelas e Gráficos'!T39,(VLOOKUP(DATE(YEAR(T38),MONTH(T38)-1,1),Índices!$B:$F,3,FALSE)/VLOOKUP(DATE(YEAR(S38),MONTH(S38)-1,1),Índices!$B:$F,3,FALSE)*'Tabelas e Gráficos'!S42))</f>
        <v>361.21767324030566</v>
      </c>
      <c r="U42" s="1070">
        <f>VLOOKUP(DATE(YEAR(U38),MONTH(U38)-1,1),Índices!$B:$F,3,FALSE)/VLOOKUP(DATE(YEAR(T38),MONTH(T38)-1,1),Índices!$B:$F,3,FALSE)*T42</f>
        <v>396.18272630009341</v>
      </c>
      <c r="V42" s="1070">
        <f>VLOOKUP(DATE(YEAR(V38),MONTH(V38)-1,1),Índices!$B:$F,3,FALSE)/VLOOKUP(DATE(YEAR(U38),MONTH(U38)-1,1),Índices!$B:$F,3,FALSE)*U42</f>
        <v>430.75874687534616</v>
      </c>
      <c r="W42" s="745" t="e">
        <f>V42/M42-1</f>
        <v>#DIV/0!</v>
      </c>
    </row>
    <row r="43" spans="1:36" ht="15" customHeight="1">
      <c r="X43" s="23">
        <v>938.62</v>
      </c>
    </row>
    <row r="44" spans="1:36" ht="15" customHeight="1">
      <c r="X44" s="838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27"/>
      <c r="M51" s="1827"/>
      <c r="N51" s="1827"/>
      <c r="O51" s="49"/>
      <c r="P51" s="49"/>
    </row>
    <row r="52" spans="1:47" ht="15" customHeight="1">
      <c r="B52" s="305" t="s">
        <v>776</v>
      </c>
      <c r="C52" s="306">
        <f ca="1">Resultado!C5</f>
        <v>78872714.854607403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68249361.710620001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0.15565498163969416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7.3000000000000001E-3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71" t="str">
        <f>Resultado!B9</f>
        <v>Variação econômica e financeira</v>
      </c>
      <c r="C56" s="1072">
        <f ca="1">C54+C55</f>
        <v>0.16295498163969416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183015.82199999996</v>
      </c>
      <c r="G60" s="306">
        <f ca="1">Calc_Mercado!D8</f>
        <v>68234943.710620001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146123.73299999995</v>
      </c>
      <c r="G65" s="306">
        <f ca="1">Calc_Mercado!D13</f>
        <v>53364850.632400014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36892.089</v>
      </c>
      <c r="G67" s="306">
        <f ca="1">Calc_Mercado!D15</f>
        <v>14870093.078219993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791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71" t="s">
        <v>769</v>
      </c>
      <c r="F70" s="1073">
        <f ca="1">Calc_Mercado!C25</f>
        <v>183015.82199999996</v>
      </c>
      <c r="G70" s="1073">
        <f ca="1">Calc_Mercado!D25</f>
        <v>68249361.710620001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29"/>
      <c r="D74" s="1829"/>
      <c r="E74" s="1829"/>
      <c r="I74" s="1074" t="s">
        <v>743</v>
      </c>
      <c r="J74" s="1075">
        <f ca="1">SUM(J75:J84)</f>
        <v>14585721.795401743</v>
      </c>
      <c r="K74" s="1076">
        <f ca="1">SUM(K75:K84)</f>
        <v>0.21371220814116593</v>
      </c>
      <c r="L74" s="313" t="s">
        <v>782</v>
      </c>
      <c r="N74" s="34"/>
      <c r="AG74" s="49"/>
      <c r="AH74" s="1820"/>
      <c r="AI74" s="1820"/>
      <c r="AJ74" s="1820"/>
      <c r="AK74" s="637"/>
      <c r="AL74" s="49"/>
      <c r="AM74" s="49"/>
      <c r="AN74" s="49"/>
      <c r="AO74" s="49"/>
    </row>
    <row r="75" spans="2:43" ht="15" hidden="1" customHeight="1">
      <c r="B75" s="30"/>
      <c r="C75" s="1824"/>
      <c r="D75" s="1824"/>
      <c r="E75" s="1824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21"/>
      <c r="AI75" s="1821"/>
      <c r="AJ75" s="1821"/>
      <c r="AK75" s="638"/>
      <c r="AL75" s="417"/>
      <c r="AM75" s="49"/>
      <c r="AN75" s="49"/>
      <c r="AO75" s="49"/>
    </row>
    <row r="76" spans="2:43" ht="15" hidden="1" customHeight="1">
      <c r="B76" s="30"/>
      <c r="C76" s="1824"/>
      <c r="D76" s="1824"/>
      <c r="E76" s="1824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24"/>
      <c r="D77" s="1824"/>
      <c r="E77" s="1824"/>
      <c r="I77" s="35" t="str">
        <f>Resultado!B17</f>
        <v>Taxa de Fisc. de Serviços de E.E. – TFSEE</v>
      </c>
      <c r="J77" s="315">
        <f ca="1">Mercado_Faturado_Encargo_TFSEE_BRUTO</f>
        <v>53031.933971517581</v>
      </c>
      <c r="K77" s="36">
        <f ca="1">J77/$J$98</f>
        <v>7.7703194055315985E-4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24"/>
      <c r="D78" s="1824"/>
      <c r="E78" s="1824"/>
      <c r="I78" s="35" t="str">
        <f>Resultado!B18</f>
        <v>Conta de Desenvolvimento Energético – CDE</v>
      </c>
      <c r="J78" s="315">
        <f ca="1">Mercado_Faturado_Encargo_CDE_BRUTO</f>
        <v>9824693.1748225261</v>
      </c>
      <c r="K78" s="36">
        <f ca="1">J78/$J$98</f>
        <v>0.14395289462895805</v>
      </c>
      <c r="L78" s="313">
        <f t="shared" ref="L78:L95" ca="1" si="2">IF(J78=0,0,1)</f>
        <v>1</v>
      </c>
      <c r="N78" s="36"/>
      <c r="AG78" s="49"/>
      <c r="AH78" s="1821"/>
      <c r="AI78" s="1821"/>
      <c r="AJ78" s="1821"/>
      <c r="AK78" s="638"/>
      <c r="AL78" s="417"/>
      <c r="AM78" s="49"/>
      <c r="AN78" s="49"/>
      <c r="AO78" s="49"/>
    </row>
    <row r="79" spans="2:43" ht="15" customHeight="1">
      <c r="B79" s="30"/>
      <c r="C79" s="1824"/>
      <c r="D79" s="1824"/>
      <c r="E79" s="1824"/>
      <c r="I79" s="35" t="str">
        <f>M105</f>
        <v xml:space="preserve">CDE Conta-COVID </v>
      </c>
      <c r="J79" s="315">
        <f ca="1">Calc_Mercado!S75</f>
        <v>1873534.7999173906</v>
      </c>
      <c r="K79" s="36">
        <f ca="1">J79/$J$98</f>
        <v>2.7451316070342933E-2</v>
      </c>
      <c r="L79" s="313">
        <f t="shared" ca="1" si="2"/>
        <v>1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21"/>
      <c r="D80" s="1721"/>
      <c r="E80" s="1721"/>
      <c r="I80" s="35" t="s">
        <v>2300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24"/>
      <c r="D81" s="1824"/>
      <c r="E81" s="1824"/>
      <c r="I81" s="35" t="str">
        <f>Resultado!B20</f>
        <v>Encargos Serv. Sist. - ESS e Energ. Reserv. – EER</v>
      </c>
      <c r="J81" s="315">
        <f ca="1">Mercado_Faturado_Encargo_ESSERR_BRUTO</f>
        <v>1137757.3039927448</v>
      </c>
      <c r="K81" s="36">
        <f ca="1">J81/$J$98</f>
        <v>1.6670592595677023E-2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24"/>
      <c r="D82" s="1824"/>
      <c r="E82" s="1824"/>
      <c r="I82" s="35" t="str">
        <f>Resultado!B21</f>
        <v>PROINFA</v>
      </c>
      <c r="J82" s="315">
        <f ca="1">Mercado_Faturado_Encargo_PROINFA_BRUTO</f>
        <v>1696704.5826975643</v>
      </c>
      <c r="K82" s="36">
        <f ca="1">J82/$J$98</f>
        <v>2.4860372905634767E-2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21"/>
      <c r="AI83" s="1821"/>
      <c r="AJ83" s="1821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74" t="s">
        <v>795</v>
      </c>
      <c r="J85" s="1075">
        <f ca="1">SUM(Calc_Mercado!C79:C85)</f>
        <v>31660728.081992824</v>
      </c>
      <c r="K85" s="1076">
        <f ca="1">SUM(K86)</f>
        <v>0.46389779022748323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31660728.081992824</v>
      </c>
      <c r="K86" s="36">
        <f t="shared" ref="K86:K97" ca="1" si="3">J86/$J$98</f>
        <v>0.46389779022748323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23"/>
      <c r="C87" s="1823"/>
      <c r="D87" s="1823"/>
      <c r="E87" s="1823"/>
      <c r="F87" s="1823"/>
      <c r="G87" s="39"/>
      <c r="I87" s="1074" t="s">
        <v>797</v>
      </c>
      <c r="J87" s="1075">
        <f ca="1">Resultado!C24</f>
        <v>9750457.8471730743</v>
      </c>
      <c r="K87" s="1076">
        <f t="shared" ca="1" si="3"/>
        <v>0.14286518734805759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22"/>
      <c r="C88" s="1822"/>
      <c r="D88" s="1822"/>
      <c r="E88" s="1822"/>
      <c r="F88" s="1822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22"/>
      <c r="C90" s="1822"/>
      <c r="D90" s="1822"/>
      <c r="E90" s="1822"/>
      <c r="F90" s="1822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23"/>
      <c r="C95" s="1823"/>
      <c r="D95" s="1823"/>
      <c r="E95" s="1823"/>
      <c r="F95" s="1823"/>
      <c r="G95" s="42"/>
      <c r="I95" s="37" t="s">
        <v>639</v>
      </c>
      <c r="J95" s="315">
        <f ca="1">Resultado!C32</f>
        <v>9750457.8471730743</v>
      </c>
      <c r="K95" s="36">
        <f t="shared" ca="1" si="3"/>
        <v>0.14286518734805759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22"/>
      <c r="C96" s="1822"/>
      <c r="D96" s="1822"/>
      <c r="E96" s="1822"/>
      <c r="F96" s="1822"/>
      <c r="I96" s="1074" t="s">
        <v>798</v>
      </c>
      <c r="J96" s="1075">
        <f ca="1">J87+J85+J74</f>
        <v>55996907.724567644</v>
      </c>
      <c r="K96" s="1076">
        <f t="shared" ca="1" si="3"/>
        <v>0.82047518571670686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22"/>
      <c r="C97" s="1822"/>
      <c r="D97" s="1822"/>
      <c r="E97" s="1822"/>
      <c r="F97" s="1822"/>
      <c r="I97" s="1074" t="s">
        <v>799</v>
      </c>
      <c r="J97" s="1075">
        <f ca="1">J98-J96</f>
        <v>12252453.986052357</v>
      </c>
      <c r="K97" s="1076">
        <f t="shared" ca="1" si="3"/>
        <v>0.1795248142832932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23"/>
      <c r="C98" s="1823"/>
      <c r="D98" s="1823"/>
      <c r="E98" s="1823"/>
      <c r="F98" s="1823"/>
      <c r="G98" s="28"/>
      <c r="I98" s="1071" t="s">
        <v>800</v>
      </c>
      <c r="J98" s="1073">
        <f ca="1">Mercado_RA0_Reais</f>
        <v>68249361.710620001</v>
      </c>
      <c r="K98" s="1077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22"/>
      <c r="C99" s="1822"/>
      <c r="D99" s="1822"/>
      <c r="E99" s="1822"/>
      <c r="F99" s="1822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22"/>
      <c r="C100" s="1822"/>
      <c r="D100" s="1822"/>
      <c r="E100" s="1822"/>
      <c r="F100" s="1822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56515.376889096988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14178019.505329996</v>
      </c>
      <c r="O104" s="319">
        <f t="shared" ca="1" si="4"/>
        <v>1</v>
      </c>
    </row>
    <row r="105" spans="2:41" ht="15" customHeight="1">
      <c r="B105" s="1822"/>
      <c r="C105" s="1822"/>
      <c r="D105" s="1822"/>
      <c r="E105" s="1822"/>
      <c r="F105" s="1822"/>
      <c r="G105" s="45"/>
      <c r="M105" s="35" t="s">
        <v>801</v>
      </c>
      <c r="N105" s="315">
        <f>Encargos!I20</f>
        <v>1856987.5503404515</v>
      </c>
      <c r="O105" s="319">
        <f t="shared" si="4"/>
        <v>1</v>
      </c>
    </row>
    <row r="106" spans="2:41" ht="15" customHeight="1">
      <c r="B106" s="297"/>
      <c r="C106" s="297"/>
      <c r="D106" s="297"/>
      <c r="E106" s="297"/>
      <c r="F106" s="297"/>
      <c r="G106" s="45"/>
      <c r="M106" s="35" t="s">
        <v>2055</v>
      </c>
      <c r="N106" s="315">
        <f>Encargos!I21</f>
        <v>-2436745.54</v>
      </c>
      <c r="O106" s="1559">
        <f>IF(N106=0,0,1)</f>
        <v>1</v>
      </c>
    </row>
    <row r="107" spans="2:41" ht="15" customHeight="1">
      <c r="B107" s="1822"/>
      <c r="C107" s="1822"/>
      <c r="D107" s="1822"/>
      <c r="E107" s="1822"/>
      <c r="F107" s="1822"/>
      <c r="G107" s="45"/>
      <c r="M107" s="35" t="str">
        <f>Resultado!B20</f>
        <v>Encargos Serv. Sist. - ESS e Energ. Reserv. – EER</v>
      </c>
      <c r="N107" s="315">
        <f>Resultado!D20</f>
        <v>4685193.28</v>
      </c>
      <c r="O107" s="319">
        <f t="shared" si="4"/>
        <v>1</v>
      </c>
    </row>
    <row r="108" spans="2:41" ht="15" customHeight="1">
      <c r="B108" s="1823"/>
      <c r="C108" s="1823"/>
      <c r="D108" s="1823"/>
      <c r="E108" s="1823"/>
      <c r="F108" s="1823"/>
      <c r="G108" s="39"/>
      <c r="M108" s="35" t="str">
        <f>Resultado!B21</f>
        <v>PROINFA</v>
      </c>
      <c r="N108" s="315">
        <f ca="1">Resultado!D21</f>
        <v>2572360.1980199995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71" t="s">
        <v>769</v>
      </c>
      <c r="N111" s="1073">
        <f ca="1">SUM(N101:N110)</f>
        <v>20912330.370579544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3.3188143635255962E-2</v>
      </c>
    </row>
    <row r="115" spans="2:44" ht="15" customHeight="1">
      <c r="B115" s="46"/>
      <c r="C115" s="307"/>
      <c r="D115" s="307"/>
      <c r="P115" s="35" t="s">
        <v>668</v>
      </c>
      <c r="Q115" s="1078">
        <f ca="1">Energia!N14</f>
        <v>4.1668850805158711E-2</v>
      </c>
    </row>
    <row r="116" spans="2:44" ht="15" customHeight="1">
      <c r="B116" s="46"/>
      <c r="C116" s="307"/>
      <c r="D116" s="307"/>
      <c r="P116" s="1071" t="s">
        <v>769</v>
      </c>
      <c r="Q116" s="1077">
        <f ca="1">SUM(Q114:Q115)</f>
        <v>7.4856994440414673E-2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9" t="s">
        <v>805</v>
      </c>
      <c r="T121" s="1080">
        <f ca="1">SUM(T122:T123)</f>
        <v>183015.82199999996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183015.82199999996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9" t="s">
        <v>808</v>
      </c>
      <c r="T124" s="1081">
        <f ca="1">SUM(T125:T126)</f>
        <v>6338.0548499999986</v>
      </c>
      <c r="U124" s="318">
        <v>1</v>
      </c>
    </row>
    <row r="125" spans="2:44" ht="15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6338.0548499999986</v>
      </c>
      <c r="U125" s="318">
        <f ca="1">IF(T125=0,0,1)</f>
        <v>1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71" t="s">
        <v>804</v>
      </c>
      <c r="T127" s="1082">
        <f ca="1">T121+T124</f>
        <v>189353.87684999994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3" t="s">
        <v>811</v>
      </c>
      <c r="W129" s="1083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6" t="s">
        <v>27</v>
      </c>
      <c r="W130" s="1084" t="s">
        <v>77</v>
      </c>
      <c r="X130" s="1066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A2 (88 a 138 kV)</v>
      </c>
      <c r="X131" s="325">
        <f>Energia!H28</f>
        <v>284.99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5">
        <f>Energia!B32</f>
        <v>0</v>
      </c>
      <c r="W135" s="1085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6"/>
      <c r="W136" s="1087"/>
      <c r="X136" s="1088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3" t="s">
        <v>813</v>
      </c>
      <c r="AA138" s="1083"/>
      <c r="AB138" s="1083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31314.9</v>
      </c>
      <c r="AB140" s="331">
        <f>Energia!G35</f>
        <v>284.98999999999995</v>
      </c>
      <c r="AC140" s="332">
        <f>AA140*AB140</f>
        <v>8924433.3509999998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9">
        <f>Energia!C20</f>
        <v>3159.0104146825497</v>
      </c>
      <c r="AB142" s="1090">
        <f>Energia!D20</f>
        <v>0</v>
      </c>
      <c r="AC142" s="1091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9" t="s">
        <v>815</v>
      </c>
      <c r="AA143" s="1092">
        <f ca="1">Energia!M30-Energia!L30</f>
        <v>12724.598834467179</v>
      </c>
      <c r="AB143" s="1093">
        <f>Energia!M34</f>
        <v>0</v>
      </c>
      <c r="AC143" s="1093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71" t="s">
        <v>769</v>
      </c>
      <c r="AA144" s="1094">
        <f ca="1">SUM(AA140:AA143)</f>
        <v>47198.509249149727</v>
      </c>
      <c r="AB144" s="1095">
        <f ca="1">AC144/AA144</f>
        <v>189.082949715425</v>
      </c>
      <c r="AC144" s="1095">
        <f ca="1">SUM(AC140:AC143)</f>
        <v>8924433.3509999998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6" t="s">
        <v>753</v>
      </c>
      <c r="AF146" s="1096"/>
      <c r="AG146" s="1096"/>
      <c r="AH146" s="1096"/>
      <c r="AI146" s="1096"/>
      <c r="AJ146" s="1096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6" t="s">
        <v>27</v>
      </c>
      <c r="AF147" s="1066" t="s">
        <v>77</v>
      </c>
      <c r="AG147" s="1066" t="s">
        <v>816</v>
      </c>
      <c r="AH147" s="1066" t="s">
        <v>817</v>
      </c>
      <c r="AI147" s="1066" t="s">
        <v>60</v>
      </c>
      <c r="AJ147" s="1066" t="s">
        <v>818</v>
      </c>
      <c r="AK147" s="1066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A2 (88 a 138 kV)</v>
      </c>
      <c r="AG148" s="334" t="str">
        <f>CUSD!F6</f>
        <v>Potência</v>
      </c>
      <c r="AH148" s="334" t="str">
        <f>CUSD!F6</f>
        <v>Potência</v>
      </c>
      <c r="AI148" s="396">
        <f>CUSD!H6</f>
        <v>391205</v>
      </c>
      <c r="AJ148" s="397">
        <f>CUSD!J6</f>
        <v>11.14</v>
      </c>
      <c r="AK148" s="334">
        <f>IFERROR(AI148*AJ148,0)</f>
        <v>4358023.7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A2 (88 a 138 kV)</v>
      </c>
      <c r="AG149" s="334" t="str">
        <f>CUSD!F7</f>
        <v>Potência</v>
      </c>
      <c r="AH149" s="334" t="str">
        <f>CUSD!F7</f>
        <v>Potência</v>
      </c>
      <c r="AI149" s="396">
        <f>CUSD!H7</f>
        <v>333916</v>
      </c>
      <c r="AJ149" s="397">
        <f>CUSD!J7</f>
        <v>17.63</v>
      </c>
      <c r="AK149" s="334">
        <f t="shared" ref="AK149:AK155" si="6">IFERROR(AI149*AJ149,0)</f>
        <v>5886939.0800000001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A2 (88 a 138 kV)</v>
      </c>
      <c r="AG150" s="334" t="str">
        <f>CUSD!F8</f>
        <v>Energia</v>
      </c>
      <c r="AH150" s="334" t="str">
        <f>CUSD!F8</f>
        <v>Energia</v>
      </c>
      <c r="AI150" s="396">
        <f>CUSD!H8</f>
        <v>170970.29300000001</v>
      </c>
      <c r="AJ150" s="397">
        <f>CUSD!J8</f>
        <v>3.5</v>
      </c>
      <c r="AK150" s="334">
        <f t="shared" si="6"/>
        <v>598396.02549999999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A2 (88 a 138 kV)</v>
      </c>
      <c r="AG151" s="334" t="str">
        <f>CUSD!F9</f>
        <v>Energia</v>
      </c>
      <c r="AH151" s="334" t="str">
        <f>CUSD!F9</f>
        <v>Energia</v>
      </c>
      <c r="AI151" s="396">
        <f>CUSD!H9</f>
        <v>19111.548999999999</v>
      </c>
      <c r="AJ151" s="397">
        <f>CUSD!J9</f>
        <v>3.5</v>
      </c>
      <c r="AK151" s="334">
        <f t="shared" si="6"/>
        <v>66890.421499999997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71" t="s">
        <v>819</v>
      </c>
      <c r="AF163" s="1071"/>
      <c r="AG163" s="1071"/>
      <c r="AH163" s="1071"/>
      <c r="AI163" s="1097">
        <f>SUM(AI148:AI162)</f>
        <v>915202.84200000006</v>
      </c>
      <c r="AJ163" s="1073"/>
      <c r="AK163" s="1073">
        <f>SUM(AK148:AK162)</f>
        <v>10910249.227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56" t="s">
        <v>820</v>
      </c>
      <c r="AN165" s="1757" t="s">
        <v>773</v>
      </c>
    </row>
    <row r="166" spans="2:42" ht="15" customHeight="1">
      <c r="B166" s="46"/>
      <c r="C166" s="307"/>
      <c r="D166" s="307"/>
      <c r="P166" s="44"/>
      <c r="Q166" s="307"/>
      <c r="AM166" s="1758" t="s">
        <v>724</v>
      </c>
      <c r="AN166" s="1722" t="s">
        <v>775</v>
      </c>
      <c r="AO166" s="23" t="s">
        <v>782</v>
      </c>
      <c r="AP166" s="651" t="s">
        <v>821</v>
      </c>
    </row>
    <row r="167" spans="2:42" ht="15" customHeight="1">
      <c r="B167" s="46"/>
      <c r="C167" s="307"/>
      <c r="D167" s="307"/>
      <c r="P167" s="44"/>
      <c r="Q167" s="307"/>
      <c r="AM167" s="926" t="s">
        <v>2301</v>
      </c>
      <c r="AN167" s="1759">
        <f ca="1">SUM(Financeiros!D9:D14)</f>
        <v>602230.75017009256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6" t="s">
        <v>728</v>
      </c>
      <c r="AN168" s="1759">
        <f ca="1">SUM(Financeiros!D15:D19,D21)</f>
        <v>-120361.71462878174</v>
      </c>
      <c r="AO168" s="23">
        <f t="shared" ca="1" si="8"/>
        <v>1</v>
      </c>
      <c r="AP168" s="651"/>
    </row>
    <row r="169" spans="2:42" ht="15" customHeight="1">
      <c r="B169" s="46"/>
      <c r="C169" s="307"/>
      <c r="D169" s="307"/>
      <c r="P169" s="44"/>
      <c r="Q169" s="307"/>
      <c r="AM169" s="929" t="s">
        <v>2098</v>
      </c>
      <c r="AN169" s="930">
        <f ca="1">Financeiros!D20+Financeiros!D22</f>
        <v>28145.871119257448</v>
      </c>
      <c r="AO169" s="23">
        <f t="shared" ca="1" si="8"/>
        <v>1</v>
      </c>
      <c r="AP169" s="651"/>
    </row>
    <row r="170" spans="2:42" ht="15" hidden="1" customHeight="1">
      <c r="B170" s="46"/>
      <c r="C170" s="307"/>
      <c r="D170" s="307"/>
      <c r="P170" s="44"/>
      <c r="Q170" s="307"/>
      <c r="AM170" s="929" t="s">
        <v>2155</v>
      </c>
      <c r="AN170" s="930">
        <f ca="1">Financeiros!D23</f>
        <v>0</v>
      </c>
      <c r="AO170" s="651">
        <f ca="1">IF(AN170=0,0,1)</f>
        <v>0</v>
      </c>
      <c r="AP170" s="651"/>
    </row>
    <row r="171" spans="2:42" ht="15" hidden="1" customHeight="1">
      <c r="B171" s="46"/>
      <c r="C171" s="307"/>
      <c r="D171" s="307"/>
      <c r="P171" s="44"/>
      <c r="Q171" s="307"/>
      <c r="AM171" s="926" t="s">
        <v>2302</v>
      </c>
      <c r="AN171" s="1759">
        <f>SUM(Financeiros!D24:D25)</f>
        <v>0</v>
      </c>
      <c r="AO171" s="23">
        <f t="shared" si="8"/>
        <v>0</v>
      </c>
      <c r="AP171" s="651"/>
    </row>
    <row r="172" spans="2:42" ht="15" hidden="1" customHeight="1">
      <c r="B172" s="46"/>
      <c r="C172" s="307"/>
      <c r="D172" s="307"/>
      <c r="P172" s="44"/>
      <c r="Q172" s="307"/>
      <c r="AM172" s="926"/>
      <c r="AN172" s="1759"/>
      <c r="AO172" s="23">
        <f t="shared" si="8"/>
        <v>0</v>
      </c>
      <c r="AP172" s="651"/>
    </row>
    <row r="173" spans="2:42" ht="15" hidden="1" customHeight="1">
      <c r="B173" s="46"/>
      <c r="C173" s="307"/>
      <c r="D173" s="307"/>
      <c r="P173" s="44"/>
      <c r="Q173" s="307"/>
      <c r="AM173" s="926"/>
      <c r="AN173" s="1759"/>
      <c r="AO173" s="23">
        <f t="shared" si="8"/>
        <v>0</v>
      </c>
      <c r="AP173" s="651"/>
    </row>
    <row r="174" spans="2:42" ht="15" hidden="1" customHeight="1">
      <c r="B174" s="46"/>
      <c r="C174" s="307"/>
      <c r="D174" s="307"/>
      <c r="P174" s="44"/>
      <c r="Q174" s="307"/>
      <c r="AM174" s="926" t="str">
        <f>Financeiros!C26</f>
        <v>Manual de Contabilidade do Setor Elétrico</v>
      </c>
      <c r="AN174" s="1759">
        <f>LnkTxTSubvencaoCDE</f>
        <v>0</v>
      </c>
      <c r="AO174" s="23">
        <f t="shared" si="8"/>
        <v>0</v>
      </c>
      <c r="AP174" s="651"/>
    </row>
    <row r="175" spans="2:42" ht="15" hidden="1" customHeight="1">
      <c r="B175" s="46"/>
      <c r="C175" s="307"/>
      <c r="D175" s="307"/>
      <c r="P175" s="44"/>
      <c r="Q175" s="307"/>
      <c r="AM175" s="926" t="str">
        <f>Financeiros!C27</f>
        <v>Financeiro CDE Eletrobras</v>
      </c>
      <c r="AN175" s="1759">
        <f>LnkTXTBandeira</f>
        <v>0</v>
      </c>
      <c r="AO175" s="23">
        <f t="shared" si="8"/>
        <v>0</v>
      </c>
      <c r="AP175" s="651"/>
    </row>
    <row r="176" spans="2:42" ht="15" hidden="1" customHeight="1">
      <c r="B176" s="46"/>
      <c r="C176" s="307"/>
      <c r="D176" s="307"/>
      <c r="P176" s="44"/>
      <c r="Q176" s="307"/>
      <c r="AM176" s="926" t="s">
        <v>2304</v>
      </c>
      <c r="AN176" s="1759">
        <f>Financeiros!D28</f>
        <v>0</v>
      </c>
      <c r="AO176" s="23">
        <f t="shared" si="8"/>
        <v>0</v>
      </c>
      <c r="AP176" s="651"/>
    </row>
    <row r="177" spans="2:42" ht="15" hidden="1" customHeight="1">
      <c r="B177" s="46"/>
      <c r="C177" s="307"/>
      <c r="D177" s="307"/>
      <c r="P177" s="44"/>
      <c r="Q177" s="307"/>
      <c r="AM177" s="926" t="str">
        <f>Financeiros!C29</f>
        <v>Compensação DIC FIC</v>
      </c>
      <c r="AN177" s="1759">
        <f>Financeiros!D29</f>
        <v>0</v>
      </c>
      <c r="AO177" s="651">
        <f>IF(AN177=0,0,1)</f>
        <v>0</v>
      </c>
      <c r="AP177" s="651"/>
    </row>
    <row r="178" spans="2:42" ht="15" hidden="1" customHeight="1">
      <c r="B178" s="46"/>
      <c r="C178" s="307"/>
      <c r="D178" s="307"/>
      <c r="P178" s="44"/>
      <c r="Q178" s="307"/>
      <c r="AM178" s="926" t="str">
        <f>Financeiros!C30</f>
        <v>Subvenção CDE</v>
      </c>
      <c r="AN178" s="1759">
        <f ca="1">Financeiros!D30</f>
        <v>0</v>
      </c>
      <c r="AO178" s="23">
        <f t="shared" ca="1" si="8"/>
        <v>0</v>
      </c>
      <c r="AP178" s="651"/>
    </row>
    <row r="179" spans="2:42" ht="15" hidden="1" customHeight="1">
      <c r="B179" s="46"/>
      <c r="C179" s="307"/>
      <c r="D179" s="307"/>
      <c r="P179" s="44"/>
      <c r="Q179" s="307"/>
      <c r="AM179" s="926" t="str">
        <f>Financeiros!C31</f>
        <v>Retenção de Adicionais de Bandeiras Tarifárias</v>
      </c>
      <c r="AN179" s="1759">
        <f>Financeiros!D31</f>
        <v>0</v>
      </c>
      <c r="AO179" s="23">
        <f t="shared" si="8"/>
        <v>0</v>
      </c>
      <c r="AP179" s="651"/>
    </row>
    <row r="180" spans="2:42" ht="15" hidden="1" customHeight="1">
      <c r="B180" s="46"/>
      <c r="C180" s="307"/>
      <c r="D180" s="307"/>
      <c r="P180" s="44"/>
      <c r="Q180" s="307"/>
      <c r="AM180" s="926" t="str">
        <f>Financeiros!C32</f>
        <v>Multa LPT</v>
      </c>
      <c r="AN180" s="1759">
        <f>Financeiros!D32</f>
        <v>0</v>
      </c>
      <c r="AO180" s="1558">
        <f>IF(AN180=0,0,1)</f>
        <v>0</v>
      </c>
      <c r="AP180" s="1558"/>
    </row>
    <row r="181" spans="2:42" ht="15" hidden="1" customHeight="1">
      <c r="B181" s="46"/>
      <c r="C181" s="307"/>
      <c r="D181" s="307"/>
      <c r="P181" s="44"/>
      <c r="Q181" s="307"/>
      <c r="AM181" s="926" t="s">
        <v>2386</v>
      </c>
      <c r="AN181" s="1759">
        <f>Financeiros!D33+Financeiros!D34</f>
        <v>0</v>
      </c>
      <c r="AO181" s="23">
        <f t="shared" si="8"/>
        <v>0</v>
      </c>
      <c r="AP181" s="651"/>
    </row>
    <row r="182" spans="2:42" ht="15" hidden="1" customHeight="1">
      <c r="B182" s="46"/>
      <c r="C182" s="307"/>
      <c r="D182" s="307"/>
      <c r="P182" s="44"/>
      <c r="Q182" s="307"/>
      <c r="AM182" s="926"/>
      <c r="AN182" s="1759">
        <v>0</v>
      </c>
      <c r="AO182" s="23">
        <f t="shared" si="8"/>
        <v>0</v>
      </c>
      <c r="AP182" s="651"/>
    </row>
    <row r="183" spans="2:42" ht="15" hidden="1" customHeight="1">
      <c r="B183" s="46"/>
      <c r="C183" s="307"/>
      <c r="D183" s="307"/>
      <c r="P183" s="44"/>
      <c r="Q183" s="307"/>
      <c r="AM183" s="926" t="str">
        <f>Financeiros!C35</f>
        <v>Ressarcimento P&amp;D</v>
      </c>
      <c r="AN183" s="1759">
        <f>Financeiros!D35</f>
        <v>0</v>
      </c>
      <c r="AO183" s="23">
        <f t="shared" si="8"/>
        <v>0</v>
      </c>
      <c r="AP183" s="651"/>
    </row>
    <row r="184" spans="2:42" ht="15" hidden="1" customHeight="1">
      <c r="B184" s="46"/>
      <c r="C184" s="307"/>
      <c r="D184" s="307"/>
      <c r="P184" s="44"/>
      <c r="Q184" s="307"/>
      <c r="AM184" s="926" t="str">
        <f>Financeiros!C36</f>
        <v>Efeito Conta COVID</v>
      </c>
      <c r="AN184" s="1759">
        <f>Financeiros!D36</f>
        <v>0</v>
      </c>
      <c r="AO184" s="23">
        <f t="shared" ref="AO184:AO189" si="9">IF(AN184=0,0,1)</f>
        <v>0</v>
      </c>
      <c r="AP184" s="651"/>
    </row>
    <row r="185" spans="2:42" ht="15" hidden="1" customHeight="1">
      <c r="B185" s="46"/>
      <c r="C185" s="307"/>
      <c r="D185" s="307"/>
      <c r="P185" s="44"/>
      <c r="Q185" s="307"/>
      <c r="AM185" s="926" t="str">
        <f>Financeiros!C37</f>
        <v>Diferimento Parcela B</v>
      </c>
      <c r="AN185" s="1759">
        <f>Financeiros!D37</f>
        <v>0</v>
      </c>
      <c r="AO185" s="23">
        <f t="shared" si="9"/>
        <v>0</v>
      </c>
      <c r="AP185" s="651"/>
    </row>
    <row r="186" spans="2:42" ht="15" hidden="1" customHeight="1">
      <c r="B186" s="46"/>
      <c r="C186" s="307"/>
      <c r="D186" s="307"/>
      <c r="P186" s="44"/>
      <c r="Q186" s="307"/>
      <c r="AM186" s="926" t="str">
        <f>Financeiros!C38</f>
        <v>Efeito COVID da Supridora</v>
      </c>
      <c r="AN186" s="1759">
        <f>Financeiros!D38</f>
        <v>0</v>
      </c>
      <c r="AO186" s="23">
        <f t="shared" si="9"/>
        <v>0</v>
      </c>
      <c r="AP186" s="651"/>
    </row>
    <row r="187" spans="2:42" ht="15" hidden="1" customHeight="1">
      <c r="B187" s="46"/>
      <c r="C187" s="307"/>
      <c r="D187" s="307"/>
      <c r="P187" s="44"/>
      <c r="Q187" s="307"/>
      <c r="AM187" s="926" t="str">
        <f>Financeiros!C39</f>
        <v>Crédito de Pis Cofins sobre ICMS</v>
      </c>
      <c r="AN187" s="1759">
        <f>Financeiros!D39</f>
        <v>0</v>
      </c>
      <c r="AO187" s="23">
        <f t="shared" si="9"/>
        <v>0</v>
      </c>
      <c r="AP187" s="651"/>
    </row>
    <row r="188" spans="2:42" ht="15" hidden="1" customHeight="1">
      <c r="B188" s="46"/>
      <c r="C188" s="307"/>
      <c r="D188" s="307"/>
      <c r="P188" s="44"/>
      <c r="Q188" s="307"/>
      <c r="AM188" s="926" t="s">
        <v>2387</v>
      </c>
      <c r="AN188" s="1759">
        <f>Financeiros!D40+Financeiros!D41</f>
        <v>0</v>
      </c>
      <c r="AO188" s="23">
        <f t="shared" si="9"/>
        <v>0</v>
      </c>
      <c r="AP188" s="917"/>
    </row>
    <row r="189" spans="2:42" ht="15" hidden="1" customHeight="1">
      <c r="B189" s="46"/>
      <c r="C189" s="307"/>
      <c r="D189" s="307"/>
      <c r="P189" s="44"/>
      <c r="Q189" s="307"/>
      <c r="AM189" s="926"/>
      <c r="AN189" s="1759">
        <v>0</v>
      </c>
      <c r="AO189" s="23">
        <f t="shared" si="9"/>
        <v>0</v>
      </c>
      <c r="AP189" s="917"/>
    </row>
    <row r="190" spans="2:42" ht="15" customHeight="1">
      <c r="B190" s="46"/>
      <c r="C190" s="307"/>
      <c r="D190" s="307"/>
      <c r="P190" s="44"/>
      <c r="Q190" s="307"/>
      <c r="AM190" s="926" t="str">
        <f>Financeiros!C42</f>
        <v>Financeiros associados ao §7º do Art. 88 da Ren 414/2021</v>
      </c>
      <c r="AN190" s="1759">
        <f>Financeiros!D42</f>
        <v>-3671.71</v>
      </c>
      <c r="AO190" s="23">
        <f t="shared" si="8"/>
        <v>1</v>
      </c>
      <c r="AP190" s="651"/>
    </row>
    <row r="191" spans="2:42" ht="15" customHeight="1">
      <c r="B191" s="46"/>
      <c r="C191" s="307"/>
      <c r="D191" s="307"/>
      <c r="P191" s="44"/>
      <c r="Q191" s="307"/>
      <c r="AM191" s="926" t="str">
        <f>Financeiros!C43</f>
        <v>Spread Conta Covid</v>
      </c>
      <c r="AN191" s="1759">
        <f>Financeiros!D43</f>
        <v>-228012.01857549255</v>
      </c>
      <c r="AO191" s="23">
        <f t="shared" si="8"/>
        <v>1</v>
      </c>
      <c r="AP191" s="651"/>
    </row>
    <row r="192" spans="2:42" ht="15" hidden="1" customHeight="1">
      <c r="B192" s="46"/>
      <c r="C192" s="307"/>
      <c r="D192" s="307"/>
      <c r="P192" s="44"/>
      <c r="Q192" s="307"/>
      <c r="AM192" s="926" t="str">
        <f>Financeiros!C44</f>
        <v>Diferimento de Energia</v>
      </c>
      <c r="AN192" s="1759">
        <f>Financeiros!D44</f>
        <v>0</v>
      </c>
      <c r="AO192" s="23">
        <f>IF(AN192=0,0,1)</f>
        <v>0</v>
      </c>
      <c r="AP192" s="651"/>
    </row>
    <row r="193" spans="2:42" ht="15" hidden="1" customHeight="1">
      <c r="B193" s="46"/>
      <c r="C193" s="307"/>
      <c r="D193" s="307"/>
      <c r="P193" s="44"/>
      <c r="Q193" s="307"/>
      <c r="AM193" s="926" t="str">
        <f>Financeiros!C45</f>
        <v xml:space="preserve">Reversão do Diferimento de Compra de Energia </v>
      </c>
      <c r="AN193" s="1759">
        <f>Financeiros!D45</f>
        <v>0</v>
      </c>
      <c r="AO193" s="23">
        <f t="shared" ref="AO193:AO195" si="10">IF(AN193=0,0,1)</f>
        <v>0</v>
      </c>
      <c r="AP193" s="651"/>
    </row>
    <row r="194" spans="2:42" ht="15" customHeight="1">
      <c r="B194" s="46"/>
      <c r="C194" s="307"/>
      <c r="D194" s="307"/>
      <c r="P194" s="44"/>
      <c r="Q194" s="307"/>
      <c r="AM194" s="926" t="str">
        <f>Financeiros!C46</f>
        <v>Reversão do Diferimento de Parcela B</v>
      </c>
      <c r="AN194" s="1759">
        <f>Financeiros!D46</f>
        <v>2174545.8258524011</v>
      </c>
      <c r="AO194" s="23">
        <f t="shared" si="10"/>
        <v>1</v>
      </c>
      <c r="AP194" s="651"/>
    </row>
    <row r="195" spans="2:42" ht="15" hidden="1" customHeight="1">
      <c r="B195" s="46"/>
      <c r="C195" s="307"/>
      <c r="D195" s="307"/>
      <c r="P195" s="44"/>
      <c r="Q195" s="307"/>
      <c r="AM195" s="926" t="s">
        <v>2392</v>
      </c>
      <c r="AN195" s="1759">
        <f>Financeiros!D47+Financeiros!D48</f>
        <v>0</v>
      </c>
      <c r="AO195" s="23">
        <f t="shared" si="10"/>
        <v>0</v>
      </c>
      <c r="AP195" s="651"/>
    </row>
    <row r="196" spans="2:42" ht="15" hidden="1" customHeight="1">
      <c r="B196" s="46"/>
      <c r="C196" s="307"/>
      <c r="D196" s="307"/>
      <c r="P196" s="44"/>
      <c r="Q196" s="307"/>
      <c r="AM196" s="926"/>
      <c r="AN196" s="1759"/>
      <c r="AO196" s="651">
        <f>IF(AN196=0,0,1)</f>
        <v>0</v>
      </c>
      <c r="AP196" s="651"/>
    </row>
    <row r="197" spans="2:42" ht="15" customHeight="1">
      <c r="B197" s="46"/>
      <c r="C197" s="307"/>
      <c r="D197" s="307"/>
      <c r="P197" s="44"/>
      <c r="Q197" s="307"/>
      <c r="AM197" s="926" t="s">
        <v>2305</v>
      </c>
      <c r="AN197" s="1759">
        <f ca="1">SUM(Financeiros!D58:D62)</f>
        <v>-463559.36890000006</v>
      </c>
      <c r="AO197" s="23">
        <f ca="1">IF(AN197=0,0,1)</f>
        <v>1</v>
      </c>
      <c r="AP197" s="651"/>
    </row>
    <row r="198" spans="2:42" ht="15" customHeight="1">
      <c r="B198" s="46"/>
      <c r="C198" s="307"/>
      <c r="D198" s="307"/>
      <c r="P198" s="44"/>
      <c r="Q198" s="307"/>
      <c r="AM198" s="926" t="s">
        <v>2306</v>
      </c>
      <c r="AN198" s="1759">
        <f>Financeiros!D65</f>
        <v>1620612.8811000001</v>
      </c>
      <c r="AO198" s="23">
        <f>IF(AN198=0,0,1)</f>
        <v>1</v>
      </c>
      <c r="AP198" s="651"/>
    </row>
    <row r="199" spans="2:42" ht="15" customHeight="1">
      <c r="B199" s="46"/>
      <c r="C199" s="307"/>
      <c r="D199" s="307"/>
      <c r="P199" s="44"/>
      <c r="Q199" s="307"/>
      <c r="AM199" s="926" t="s">
        <v>2059</v>
      </c>
      <c r="AN199" s="1759">
        <f ca="1">SUM(Financeiros!D66:D76)</f>
        <v>-3090881.2255924107</v>
      </c>
      <c r="AO199" s="651">
        <f t="shared" ref="AO199:AO206" ca="1" si="11">IF(AN199=0,0,1)</f>
        <v>1</v>
      </c>
      <c r="AP199" s="651"/>
    </row>
    <row r="200" spans="2:42" ht="15" hidden="1" customHeight="1">
      <c r="B200" s="46"/>
      <c r="C200" s="307"/>
      <c r="D200" s="307"/>
      <c r="P200" s="44"/>
      <c r="Q200" s="307"/>
      <c r="AM200" s="926"/>
      <c r="AN200" s="1759"/>
      <c r="AO200" s="651">
        <f t="shared" si="11"/>
        <v>0</v>
      </c>
      <c r="AP200" s="651"/>
    </row>
    <row r="201" spans="2:42" ht="15" hidden="1" customHeight="1">
      <c r="B201" s="46"/>
      <c r="C201" s="307"/>
      <c r="D201" s="307"/>
      <c r="P201" s="44"/>
      <c r="Q201" s="307"/>
      <c r="AM201" s="926"/>
      <c r="AN201" s="1759"/>
      <c r="AO201" s="651">
        <f t="shared" si="11"/>
        <v>0</v>
      </c>
      <c r="AP201" s="651"/>
    </row>
    <row r="202" spans="2:42" ht="15" customHeight="1">
      <c r="B202" s="46"/>
      <c r="C202" s="307"/>
      <c r="D202" s="307"/>
      <c r="P202" s="44"/>
      <c r="Q202" s="307"/>
      <c r="AM202" s="926" t="s">
        <v>2308</v>
      </c>
      <c r="AN202" s="1759">
        <f ca="1">SUM(Financeiros!D77:D81)</f>
        <v>-19032.4136</v>
      </c>
      <c r="AO202" s="651">
        <f ca="1">IF(AN202=0,0,1)</f>
        <v>1</v>
      </c>
      <c r="AP202" s="651"/>
    </row>
    <row r="203" spans="2:42" ht="15" customHeight="1">
      <c r="B203" s="46"/>
      <c r="C203" s="307"/>
      <c r="D203" s="307"/>
      <c r="P203" s="44"/>
      <c r="Q203" s="307"/>
      <c r="AM203" s="926" t="s">
        <v>1307</v>
      </c>
      <c r="AN203" s="1759">
        <f ca="1">SUM(Financeiros!D82:D86)</f>
        <v>-2719246.1550966692</v>
      </c>
      <c r="AO203" s="651">
        <f ca="1">IF(AN203=0,0,1)</f>
        <v>1</v>
      </c>
      <c r="AP203" s="651"/>
    </row>
    <row r="204" spans="2:42" ht="15" customHeight="1">
      <c r="B204" s="46"/>
      <c r="C204" s="307"/>
      <c r="D204" s="307"/>
      <c r="P204" s="44"/>
      <c r="Q204" s="307"/>
      <c r="AM204" s="926" t="s">
        <v>2307</v>
      </c>
      <c r="AN204" s="1759">
        <f ca="1">SUM(Financeiros!D87:D91)</f>
        <v>2657892.9444858003</v>
      </c>
      <c r="AO204" s="651">
        <f t="shared" ca="1" si="11"/>
        <v>1</v>
      </c>
      <c r="AP204" s="651"/>
    </row>
    <row r="205" spans="2:42" ht="15" hidden="1" customHeight="1">
      <c r="B205" s="46"/>
      <c r="C205" s="307"/>
      <c r="D205" s="307"/>
      <c r="P205" s="44"/>
      <c r="Q205" s="307"/>
      <c r="AM205" s="926" t="s">
        <v>2405</v>
      </c>
      <c r="AN205" s="1759">
        <f>Financeiros!D92+Financeiros!D93+Financeiros!D94+Financeiros!D95+Financeiros!D96</f>
        <v>0</v>
      </c>
      <c r="AO205" s="651">
        <f t="shared" si="11"/>
        <v>0</v>
      </c>
      <c r="AP205" s="651"/>
    </row>
    <row r="206" spans="2:42" ht="15" hidden="1" customHeight="1">
      <c r="B206" s="46"/>
      <c r="C206" s="307"/>
      <c r="D206" s="307"/>
      <c r="P206" s="44"/>
      <c r="Q206" s="307"/>
      <c r="AM206" s="926" t="s">
        <v>2404</v>
      </c>
      <c r="AN206" s="1759">
        <f>Financeiros!D97</f>
        <v>0</v>
      </c>
      <c r="AO206" s="651">
        <f t="shared" si="11"/>
        <v>0</v>
      </c>
      <c r="AP206" s="651"/>
    </row>
    <row r="207" spans="2:42" ht="15" customHeight="1">
      <c r="B207" s="46"/>
      <c r="C207" s="307"/>
      <c r="D207" s="307"/>
      <c r="P207" s="44"/>
      <c r="Q207" s="307"/>
      <c r="AM207" s="926" t="str">
        <f>Financeiros!C98</f>
        <v>Garantias Financeiras</v>
      </c>
      <c r="AN207" s="1759">
        <f>Financeiros!D98</f>
        <v>62622.378336678128</v>
      </c>
      <c r="AO207" s="23">
        <f t="shared" si="8"/>
        <v>1</v>
      </c>
      <c r="AP207" s="651"/>
    </row>
    <row r="208" spans="2:42" ht="15" customHeight="1">
      <c r="B208" s="46"/>
      <c r="C208" s="307"/>
      <c r="D208" s="307"/>
      <c r="P208" s="44"/>
      <c r="Q208" s="307"/>
      <c r="AM208" s="1723" t="s">
        <v>727</v>
      </c>
      <c r="AN208" s="1119">
        <f ca="1">SUM(AN167:AN207)</f>
        <v>501286.04467087553</v>
      </c>
      <c r="AP208" s="24"/>
    </row>
    <row r="209" spans="2:54" ht="15" customHeight="1">
      <c r="B209" s="46"/>
      <c r="C209" s="307"/>
      <c r="D209" s="307"/>
      <c r="P209" s="44"/>
      <c r="Q209" s="307"/>
      <c r="AN209" s="310">
        <f ca="1">AN208-Financeiros!D7</f>
        <v>0</v>
      </c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6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4" t="s">
        <v>823</v>
      </c>
      <c r="AQ212" s="1066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0.1470763619536255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0.19646744137963479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71" t="s">
        <v>827</v>
      </c>
      <c r="AQ215" s="1077">
        <f>LnkTXTEfeito</f>
        <v>0.15735461284194208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6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9" t="s">
        <v>829</v>
      </c>
      <c r="AT218" s="919" t="s">
        <v>793</v>
      </c>
      <c r="AU218" s="919" t="s">
        <v>830</v>
      </c>
      <c r="AV218" s="919" t="s">
        <v>831</v>
      </c>
      <c r="AW218" s="919" t="s">
        <v>832</v>
      </c>
      <c r="AX218" s="919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8" t="s">
        <v>834</v>
      </c>
      <c r="AT219" s="1099">
        <f ca="1">SUM(AT220:AT229)</f>
        <v>14585721.795401743</v>
      </c>
      <c r="AU219" s="1099">
        <f ca="1">SUM(AU220:AU229)</f>
        <v>20912330.370579544</v>
      </c>
      <c r="AV219" s="1100">
        <f ca="1">IF(AU219=0,0,ROUND(AU219/AT219-1,4))</f>
        <v>0.43380000000000002</v>
      </c>
      <c r="AW219" s="1100">
        <f ca="1">SUM(AW220:AW229)</f>
        <v>9.2698428477659217E-2</v>
      </c>
      <c r="AX219" s="1100">
        <f t="shared" ref="AX219:AX226" ca="1" si="12">AU219/$AU$237</f>
        <v>0.26514023777587692</v>
      </c>
      <c r="AY219" s="318">
        <v>1</v>
      </c>
    </row>
    <row r="220" spans="2:54" ht="15" hidden="1" customHeight="1">
      <c r="AS220" s="920" t="str">
        <f t="shared" ref="AS220:AT223" si="13">I75</f>
        <v>Reserva Global de Reversão – RGR</v>
      </c>
      <c r="AT220" s="921">
        <f t="shared" si="13"/>
        <v>0</v>
      </c>
      <c r="AU220" s="921">
        <f>Resultado!D15</f>
        <v>0</v>
      </c>
      <c r="AV220" s="922">
        <f t="shared" ref="AV220:AV235" si="14">IF(AU220=0,0,ROUND(AU220/AT220-1,3))</f>
        <v>0</v>
      </c>
      <c r="AW220" s="922">
        <f t="shared" ref="AW220:AW229" ca="1" si="15">(AU220-AT220)/$AT$237</f>
        <v>0</v>
      </c>
      <c r="AX220" s="922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20" t="str">
        <f t="shared" si="13"/>
        <v>Conta de Consumo de Combustíveis – CCC</v>
      </c>
      <c r="AT221" s="921">
        <f t="shared" si="13"/>
        <v>0</v>
      </c>
      <c r="AU221" s="921">
        <f>Resultado!D16</f>
        <v>0</v>
      </c>
      <c r="AV221" s="922">
        <f t="shared" si="14"/>
        <v>0</v>
      </c>
      <c r="AW221" s="922">
        <f t="shared" ca="1" si="15"/>
        <v>0</v>
      </c>
      <c r="AX221" s="922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20" t="str">
        <f t="shared" si="13"/>
        <v>Taxa de Fisc. de Serviços de E.E. – TFSEE</v>
      </c>
      <c r="AT222" s="921">
        <f t="shared" ca="1" si="13"/>
        <v>53031.933971517581</v>
      </c>
      <c r="AU222" s="921">
        <f ca="1">Resultado!D17</f>
        <v>56515.376889096988</v>
      </c>
      <c r="AV222" s="922">
        <f ca="1">IF(AU222=0,0,ROUND(AU222/AT222-1,4))</f>
        <v>6.5699999999999995E-2</v>
      </c>
      <c r="AW222" s="922">
        <f t="shared" ca="1" si="15"/>
        <v>5.1039934004794693E-5</v>
      </c>
      <c r="AX222" s="922">
        <f t="shared" ca="1" si="12"/>
        <v>7.1653900836653661E-4</v>
      </c>
      <c r="AY222" s="318">
        <f t="shared" ca="1" si="16"/>
        <v>1</v>
      </c>
    </row>
    <row r="223" spans="2:54" ht="15" customHeight="1">
      <c r="C223" s="28"/>
      <c r="H223" s="23"/>
      <c r="AS223" s="920" t="str">
        <f t="shared" si="13"/>
        <v>Conta de Desenvolvimento Energético – CDE</v>
      </c>
      <c r="AT223" s="921">
        <f t="shared" ca="1" si="13"/>
        <v>9824693.1748225261</v>
      </c>
      <c r="AU223" s="921">
        <f ca="1">Encargos!I19</f>
        <v>14178019.505329996</v>
      </c>
      <c r="AV223" s="922">
        <f t="shared" ref="AV223" ca="1" si="17">IF(AU223=0,0,ROUND(AU223/AT223-1,4))</f>
        <v>0.44309999999999999</v>
      </c>
      <c r="AW223" s="922">
        <f t="shared" ca="1" si="15"/>
        <v>6.3785597716880443E-2</v>
      </c>
      <c r="AX223" s="922">
        <f t="shared" ca="1" si="12"/>
        <v>0.17975822857708793</v>
      </c>
      <c r="AY223" s="318">
        <f t="shared" ca="1" si="16"/>
        <v>1</v>
      </c>
    </row>
    <row r="224" spans="2:54" ht="15" customHeight="1">
      <c r="C224" s="28"/>
      <c r="H224" s="23"/>
      <c r="AS224" s="920" t="s">
        <v>835</v>
      </c>
      <c r="AT224" s="921">
        <f ca="1">J79</f>
        <v>1873534.7999173906</v>
      </c>
      <c r="AU224" s="921">
        <f>Encargos!I20</f>
        <v>1856987.5503404515</v>
      </c>
      <c r="AV224" s="922">
        <f ca="1">IFERROR(IF(AU224=0,0,ROUND(AU224/AT224-1,4)),0)</f>
        <v>-8.8000000000000005E-3</v>
      </c>
      <c r="AW224" s="922">
        <f t="shared" ca="1" si="15"/>
        <v>-2.4245281072517616E-4</v>
      </c>
      <c r="AX224" s="922">
        <f t="shared" ca="1" si="12"/>
        <v>2.3544105889642449E-2</v>
      </c>
      <c r="AY224" s="318">
        <f t="shared" ca="1" si="16"/>
        <v>1</v>
      </c>
    </row>
    <row r="225" spans="2:51" ht="15" customHeight="1">
      <c r="C225" s="28"/>
      <c r="H225" s="23"/>
      <c r="AS225" s="920" t="s">
        <v>2072</v>
      </c>
      <c r="AT225" s="921"/>
      <c r="AU225" s="921">
        <f>Encargos!I21</f>
        <v>-2436745.54</v>
      </c>
      <c r="AV225" s="922">
        <f t="shared" ref="AV225:AV226" si="18">IFERROR(IF(AU225=0,0,ROUND(AU225/AT225-1,4)),0)</f>
        <v>0</v>
      </c>
      <c r="AW225" s="922">
        <f t="shared" ca="1" si="15"/>
        <v>-3.5703565263099424E-2</v>
      </c>
      <c r="AX225" s="922">
        <f t="shared" ca="1" si="12"/>
        <v>-3.0894657860983415E-2</v>
      </c>
      <c r="AY225" s="915">
        <f ca="1">IF(AW225=0,0,1)</f>
        <v>1</v>
      </c>
    </row>
    <row r="226" spans="2:51" ht="12.75">
      <c r="C226" s="28"/>
      <c r="H226" s="23"/>
      <c r="AS226" s="920" t="str">
        <f t="shared" ref="AS226:AT229" si="19">I81</f>
        <v>Encargos Serv. Sist. - ESS e Energ. Reserv. – EER</v>
      </c>
      <c r="AT226" s="921">
        <f t="shared" ca="1" si="19"/>
        <v>1137757.3039927448</v>
      </c>
      <c r="AU226" s="921">
        <f>Resultado!D20</f>
        <v>4685193.28</v>
      </c>
      <c r="AV226" s="922">
        <f t="shared" ca="1" si="18"/>
        <v>3.1179000000000001</v>
      </c>
      <c r="AW226" s="922">
        <f t="shared" ca="1" si="15"/>
        <v>5.1977570003489924E-2</v>
      </c>
      <c r="AX226" s="922">
        <f t="shared" ca="1" si="12"/>
        <v>5.94019527365909E-2</v>
      </c>
      <c r="AY226" s="318">
        <f ca="1">IF(AW226=0,0,1)</f>
        <v>1</v>
      </c>
    </row>
    <row r="227" spans="2:51" ht="15" customHeight="1">
      <c r="C227" s="28"/>
      <c r="H227" s="23"/>
      <c r="AS227" s="920" t="str">
        <f t="shared" si="19"/>
        <v>PROINFA</v>
      </c>
      <c r="AT227" s="921">
        <f t="shared" ca="1" si="19"/>
        <v>1696704.5826975643</v>
      </c>
      <c r="AU227" s="921">
        <f ca="1">Resultado!D21</f>
        <v>2572360.1980199995</v>
      </c>
      <c r="AV227" s="922">
        <f ca="1">IF(AU227=0,0,ROUND(AU227/AT227-1,4))</f>
        <v>0.5161</v>
      </c>
      <c r="AW227" s="922">
        <f t="shared" ca="1" si="15"/>
        <v>1.2830238897108661E-2</v>
      </c>
      <c r="AX227" s="922">
        <f t="shared" ref="AX227:AX239" ca="1" si="20">AU227/$AU$237</f>
        <v>3.261406942517249E-2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20" t="str">
        <f t="shared" si="19"/>
        <v>P&amp;D e Eficiência Energética</v>
      </c>
      <c r="AT228" s="921">
        <f t="shared" ca="1" si="19"/>
        <v>0</v>
      </c>
      <c r="AU228" s="921">
        <f>Resultado!D22</f>
        <v>0</v>
      </c>
      <c r="AV228" s="922">
        <f>IF(AU228=0,0,ROUND(AU228/AT228-1,4))</f>
        <v>0</v>
      </c>
      <c r="AW228" s="922">
        <f t="shared" ca="1" si="15"/>
        <v>0</v>
      </c>
      <c r="AX228" s="922">
        <f t="shared" ca="1" si="20"/>
        <v>0</v>
      </c>
      <c r="AY228" s="318">
        <v>0</v>
      </c>
    </row>
    <row r="229" spans="2:51" ht="15" hidden="1" customHeight="1">
      <c r="C229" s="340"/>
      <c r="H229" s="23"/>
      <c r="AS229" s="920" t="str">
        <f t="shared" si="19"/>
        <v>ONS</v>
      </c>
      <c r="AT229" s="921">
        <f t="shared" ca="1" si="19"/>
        <v>0</v>
      </c>
      <c r="AU229" s="921">
        <f>Resultado!D23</f>
        <v>0</v>
      </c>
      <c r="AV229" s="922">
        <f t="shared" si="14"/>
        <v>0</v>
      </c>
      <c r="AW229" s="922">
        <f t="shared" ca="1" si="15"/>
        <v>0</v>
      </c>
      <c r="AX229" s="922">
        <f t="shared" ca="1" si="20"/>
        <v>0</v>
      </c>
      <c r="AY229" s="318">
        <v>0</v>
      </c>
    </row>
    <row r="230" spans="2:51" ht="15" customHeight="1">
      <c r="C230" s="307"/>
      <c r="H230" s="23"/>
      <c r="AS230" s="1098" t="s">
        <v>836</v>
      </c>
      <c r="AT230" s="1099">
        <f ca="1">AT231</f>
        <v>31660728.081992824</v>
      </c>
      <c r="AU230" s="1099">
        <f ca="1">AU231</f>
        <v>34056834.917027861</v>
      </c>
      <c r="AV230" s="1100">
        <f ca="1">IF(AU230=0,0,ROUND(AU230/AT230-1,4))</f>
        <v>7.5700000000000003E-2</v>
      </c>
      <c r="AW230" s="1100">
        <f ca="1">AW231</f>
        <v>3.5108120793783025E-2</v>
      </c>
      <c r="AX230" s="1100">
        <f t="shared" ca="1" si="20"/>
        <v>0.43179488597302174</v>
      </c>
      <c r="AY230" s="318">
        <f t="shared" ca="1" si="16"/>
        <v>1</v>
      </c>
    </row>
    <row r="231" spans="2:51" ht="15" customHeight="1">
      <c r="C231" s="307"/>
      <c r="H231" s="23"/>
      <c r="AS231" s="920" t="s">
        <v>796</v>
      </c>
      <c r="AT231" s="921">
        <f ca="1">J86</f>
        <v>31660728.081992824</v>
      </c>
      <c r="AU231" s="921">
        <f ca="1">Resultado!D33</f>
        <v>34056834.917027861</v>
      </c>
      <c r="AV231" s="922">
        <f ca="1">IF(AU231=0,0,ROUND(AU231/AT231-1,4))</f>
        <v>7.5700000000000003E-2</v>
      </c>
      <c r="AW231" s="922">
        <f ca="1">(AU231-AT231)/$AT$237</f>
        <v>3.5108120793783025E-2</v>
      </c>
      <c r="AX231" s="922">
        <f t="shared" ca="1" si="20"/>
        <v>0.43179488597302174</v>
      </c>
      <c r="AY231" s="318">
        <f t="shared" ca="1" si="16"/>
        <v>1</v>
      </c>
    </row>
    <row r="232" spans="2:51" ht="15" customHeight="1">
      <c r="AS232" s="1098" t="s">
        <v>837</v>
      </c>
      <c r="AT232" s="1099">
        <f ca="1">SUM(AT233:AT236)</f>
        <v>9750457.8471730743</v>
      </c>
      <c r="AU232" s="1099">
        <f>SUM(AU233:AU236)</f>
        <v>10910249.227</v>
      </c>
      <c r="AV232" s="1100">
        <f ca="1">IF(AU232=0,0,ROUND(AU232/AT232-1,4))</f>
        <v>0.11890000000000001</v>
      </c>
      <c r="AW232" s="1100">
        <f ca="1">SUM(AW233:AW236)</f>
        <v>1.69934392169774E-2</v>
      </c>
      <c r="AX232" s="1100">
        <f t="shared" ca="1" si="20"/>
        <v>0.13832729413602365</v>
      </c>
      <c r="AY232" s="318">
        <f t="shared" ca="1" si="16"/>
        <v>1</v>
      </c>
    </row>
    <row r="233" spans="2:51" ht="15" hidden="1" customHeight="1">
      <c r="AS233" s="920" t="str">
        <f>Resultado!B25</f>
        <v>Rede Básica</v>
      </c>
      <c r="AT233" s="921">
        <f ca="1">J88</f>
        <v>0</v>
      </c>
      <c r="AU233" s="921">
        <f>Resultado!D25</f>
        <v>0</v>
      </c>
      <c r="AV233" s="922">
        <f>IF(AU233=0,0,ROUND(AU233/AT233-1,3))</f>
        <v>0</v>
      </c>
      <c r="AW233" s="922">
        <f ca="1">(AU233-AT233)/$AT$237</f>
        <v>0</v>
      </c>
      <c r="AX233" s="922">
        <f t="shared" ca="1" si="20"/>
        <v>0</v>
      </c>
      <c r="AY233" s="318">
        <f t="shared" ca="1" si="16"/>
        <v>0</v>
      </c>
    </row>
    <row r="234" spans="2:51" ht="15" hidden="1" customHeight="1">
      <c r="AS234" s="920" t="str">
        <f>Resultado!B26</f>
        <v>Rede Básica Fronteira</v>
      </c>
      <c r="AT234" s="921">
        <f ca="1">J89</f>
        <v>0</v>
      </c>
      <c r="AU234" s="921">
        <f>Resultado!D26</f>
        <v>0</v>
      </c>
      <c r="AV234" s="922">
        <f t="shared" si="14"/>
        <v>0</v>
      </c>
      <c r="AW234" s="922">
        <f ca="1">(AU234-AT234)/$AT$237</f>
        <v>0</v>
      </c>
      <c r="AX234" s="922">
        <f t="shared" ca="1" si="20"/>
        <v>0</v>
      </c>
      <c r="AY234" s="318">
        <f t="shared" ca="1" si="16"/>
        <v>0</v>
      </c>
    </row>
    <row r="235" spans="2:51" ht="15" hidden="1" customHeight="1">
      <c r="H235" s="23"/>
      <c r="AS235" s="920" t="str">
        <f>Resultado!B31</f>
        <v>Conexão</v>
      </c>
      <c r="AT235" s="921">
        <f ca="1">J94</f>
        <v>0</v>
      </c>
      <c r="AU235" s="921">
        <f>Resultado!D31</f>
        <v>0</v>
      </c>
      <c r="AV235" s="922">
        <f t="shared" si="14"/>
        <v>0</v>
      </c>
      <c r="AW235" s="922">
        <f ca="1">(AU235-AT235)/$AT$237</f>
        <v>0</v>
      </c>
      <c r="AX235" s="922">
        <f t="shared" ca="1" si="20"/>
        <v>0</v>
      </c>
      <c r="AY235" s="318">
        <f t="shared" ca="1" si="16"/>
        <v>0</v>
      </c>
    </row>
    <row r="236" spans="2:51" ht="15" customHeight="1">
      <c r="H236" s="23"/>
      <c r="AS236" s="920" t="str">
        <f>Resultado!B32</f>
        <v>Uso do sistema de distribuição</v>
      </c>
      <c r="AT236" s="921">
        <f ca="1">J95</f>
        <v>9750457.8471730743</v>
      </c>
      <c r="AU236" s="921">
        <f>Resultado!D32</f>
        <v>10910249.227</v>
      </c>
      <c r="AV236" s="922">
        <f ca="1">IF(AU236=0,0,ROUND(AU236/AT236-1,4))</f>
        <v>0.11890000000000001</v>
      </c>
      <c r="AW236" s="922">
        <f ca="1">(AU236-AT236)/$AT$237</f>
        <v>1.69934392169774E-2</v>
      </c>
      <c r="AX236" s="922">
        <f t="shared" ca="1" si="20"/>
        <v>0.13832729413602365</v>
      </c>
      <c r="AY236" s="318">
        <f t="shared" ca="1" si="16"/>
        <v>1</v>
      </c>
    </row>
    <row r="237" spans="2:51" ht="15" hidden="1" customHeight="1">
      <c r="C237" s="19"/>
      <c r="AS237" s="1098" t="s">
        <v>838</v>
      </c>
      <c r="AT237" s="1099">
        <f ca="1">Mercado_RA0_Reais</f>
        <v>68249361.710620001</v>
      </c>
      <c r="AU237" s="1099">
        <f ca="1">AU219+AU230+AU232+AU239</f>
        <v>78872714.854607403</v>
      </c>
      <c r="AV237" s="1101"/>
      <c r="AW237" s="1101"/>
      <c r="AX237" s="1100">
        <f t="shared" ca="1" si="20"/>
        <v>1</v>
      </c>
      <c r="AY237" s="318">
        <f t="shared" si="16"/>
        <v>0</v>
      </c>
    </row>
    <row r="238" spans="2:51" ht="15" customHeight="1">
      <c r="C238" s="19"/>
      <c r="AS238" s="1102" t="s">
        <v>839</v>
      </c>
      <c r="AT238" s="1103">
        <f ca="1">AT219+AT230+AT232</f>
        <v>55996907.724567637</v>
      </c>
      <c r="AU238" s="1103">
        <f ca="1">AU219+AU230+AU232</f>
        <v>65879414.5146074</v>
      </c>
      <c r="AV238" s="1104">
        <f ca="1">IF(AU238=0,0,ROUND(AU238/AT238-1,4))</f>
        <v>0.17649999999999999</v>
      </c>
      <c r="AW238" s="1104">
        <f ca="1">(AU238-AT238)/AT237</f>
        <v>0.14479998848841963</v>
      </c>
      <c r="AX238" s="1104">
        <f t="shared" ca="1" si="20"/>
        <v>0.83526241788492217</v>
      </c>
      <c r="AY238" s="318">
        <f t="shared" ca="1" si="16"/>
        <v>1</v>
      </c>
    </row>
    <row r="239" spans="2:51" ht="15" customHeight="1">
      <c r="B239" s="28"/>
      <c r="C239" s="19"/>
      <c r="AS239" s="1102" t="s">
        <v>840</v>
      </c>
      <c r="AT239" s="1103">
        <f ca="1">AT237-AT238</f>
        <v>12252453.986052364</v>
      </c>
      <c r="AU239" s="1103">
        <f>Resultado!D39</f>
        <v>12993300.34</v>
      </c>
      <c r="AV239" s="1104">
        <f ca="1">IF(AU239=0,0,ROUND(AU239/AT239-1,4))</f>
        <v>6.0499999999999998E-2</v>
      </c>
      <c r="AW239" s="1104">
        <f ca="1">(AU239-AT239)/AT237</f>
        <v>1.0854993151274493E-2</v>
      </c>
      <c r="AX239" s="1104">
        <f t="shared" ca="1" si="20"/>
        <v>0.16473758211507775</v>
      </c>
      <c r="AY239" s="318">
        <f t="shared" ca="1" si="16"/>
        <v>1</v>
      </c>
    </row>
    <row r="240" spans="2:51" ht="15" customHeight="1">
      <c r="AS240" s="1105" t="str">
        <f>Resultado!B7</f>
        <v>Variação econômica</v>
      </c>
      <c r="AT240" s="1105"/>
      <c r="AU240" s="1105"/>
      <c r="AV240" s="1106"/>
      <c r="AW240" s="1107">
        <f ca="1">ROUND((AU239+AU238)/(AT238+AT239)-1,4)</f>
        <v>0.15570000000000001</v>
      </c>
      <c r="AX240" s="1106"/>
      <c r="AY240" s="318">
        <v>1</v>
      </c>
    </row>
    <row r="241" spans="2:51" ht="15" hidden="1" customHeight="1">
      <c r="AS241" s="923"/>
      <c r="AT241" s="923"/>
      <c r="AU241" s="923"/>
      <c r="AV241" s="924"/>
      <c r="AW241" s="925"/>
      <c r="AX241" s="925"/>
      <c r="AY241" s="318">
        <f t="shared" si="16"/>
        <v>0</v>
      </c>
    </row>
    <row r="242" spans="2:51" ht="15" customHeight="1">
      <c r="AS242" s="1098" t="s">
        <v>841</v>
      </c>
      <c r="AT242" s="1108"/>
      <c r="AU242" s="1108"/>
      <c r="AV242" s="1109"/>
      <c r="AW242" s="1100" t="s">
        <v>842</v>
      </c>
      <c r="AX242" s="1100"/>
      <c r="AY242" s="318">
        <v>1</v>
      </c>
    </row>
    <row r="243" spans="2:51" ht="15" customHeight="1">
      <c r="AS243" s="926" t="str">
        <f>AM167</f>
        <v>Repasse de PIS COFINS</v>
      </c>
      <c r="AT243" s="926"/>
      <c r="AU243" s="927">
        <f ca="1">AN167</f>
        <v>602230.75017009256</v>
      </c>
      <c r="AV243" s="928"/>
      <c r="AW243" s="928">
        <f ca="1">AU243/Financeiros!$D$4</f>
        <v>8.8239762992007864E-3</v>
      </c>
      <c r="AX243" s="925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6" t="str">
        <f t="shared" ref="AS244:AS271" si="21">AM168</f>
        <v>Neutralidade Encargos Setoriais</v>
      </c>
      <c r="AT244" s="926"/>
      <c r="AU244" s="927">
        <f t="shared" ref="AU244:AU283" ca="1" si="22">AN168</f>
        <v>-120361.71462878174</v>
      </c>
      <c r="AV244" s="928"/>
      <c r="AW244" s="928">
        <f ca="1">AU244/Financeiros!$D$4</f>
        <v>-1.7635580994752769E-3</v>
      </c>
      <c r="AX244" s="925"/>
      <c r="AY244" s="318">
        <f t="shared" ref="AY244:AY252" ca="1" si="23">IF(AW244=0,0,1)</f>
        <v>1</v>
      </c>
    </row>
    <row r="245" spans="2:51" ht="15" customHeight="1">
      <c r="B245" s="343"/>
      <c r="C245" s="344"/>
      <c r="D245" s="344"/>
      <c r="E245" s="344"/>
      <c r="F245" s="345"/>
      <c r="G245" s="345"/>
      <c r="H245" s="345"/>
      <c r="AS245" s="926" t="str">
        <f t="shared" si="21"/>
        <v>Neutralidade Financeiros e Encargos Conta Covid</v>
      </c>
      <c r="AT245" s="926"/>
      <c r="AU245" s="927">
        <f t="shared" ca="1" si="22"/>
        <v>28145.871119257448</v>
      </c>
      <c r="AV245" s="928"/>
      <c r="AW245" s="928">
        <f ca="1">AU245/Financeiros!$D$4</f>
        <v>4.1239757286811059E-4</v>
      </c>
      <c r="AX245" s="925"/>
      <c r="AY245" s="318">
        <f t="shared" ca="1" si="23"/>
        <v>1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6" t="str">
        <f t="shared" si="21"/>
        <v>Neutralidades Crédito de Pis cofins</v>
      </c>
      <c r="AT246" s="926"/>
      <c r="AU246" s="927">
        <f t="shared" ca="1" si="22"/>
        <v>0</v>
      </c>
      <c r="AV246" s="928"/>
      <c r="AW246" s="928">
        <f ca="1">AU246/Financeiros!$D$4</f>
        <v>0</v>
      </c>
      <c r="AX246" s="925"/>
      <c r="AY246" s="318">
        <f t="shared" ca="1" si="23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6" t="str">
        <f t="shared" si="21"/>
        <v>Ajuste CUST RB + PIS Cofins</v>
      </c>
      <c r="AT247" s="926"/>
      <c r="AU247" s="927">
        <f t="shared" si="22"/>
        <v>0</v>
      </c>
      <c r="AV247" s="928"/>
      <c r="AW247" s="928">
        <f ca="1">AU247/Financeiros!$D$4</f>
        <v>0</v>
      </c>
      <c r="AX247" s="925"/>
      <c r="AY247" s="318">
        <f t="shared" ca="1" si="23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6">
        <f t="shared" si="21"/>
        <v>0</v>
      </c>
      <c r="AT248" s="926"/>
      <c r="AU248" s="927">
        <f t="shared" si="22"/>
        <v>0</v>
      </c>
      <c r="AV248" s="928"/>
      <c r="AW248" s="928">
        <f ca="1">AU248/Financeiros!$D$4</f>
        <v>0</v>
      </c>
      <c r="AX248" s="925"/>
      <c r="AY248" s="318">
        <f t="shared" ca="1" si="23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6">
        <f t="shared" si="21"/>
        <v>0</v>
      </c>
      <c r="AT249" s="926"/>
      <c r="AU249" s="927">
        <f t="shared" si="22"/>
        <v>0</v>
      </c>
      <c r="AV249" s="928"/>
      <c r="AW249" s="928">
        <f ca="1">AU249/Financeiros!$D$4</f>
        <v>0</v>
      </c>
      <c r="AX249" s="925"/>
      <c r="AY249" s="318">
        <f t="shared" ca="1" si="23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6" t="str">
        <f t="shared" si="21"/>
        <v>Manual de Contabilidade do Setor Elétrico</v>
      </c>
      <c r="AT250" s="926"/>
      <c r="AU250" s="927">
        <f t="shared" si="22"/>
        <v>0</v>
      </c>
      <c r="AV250" s="928"/>
      <c r="AW250" s="928">
        <f ca="1">AU250/Financeiros!$D$4</f>
        <v>0</v>
      </c>
      <c r="AX250" s="925"/>
      <c r="AY250" s="318">
        <f t="shared" ca="1" si="23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6" t="str">
        <f t="shared" si="21"/>
        <v>Financeiro CDE Eletrobras</v>
      </c>
      <c r="AT251" s="926"/>
      <c r="AU251" s="927">
        <f t="shared" si="22"/>
        <v>0</v>
      </c>
      <c r="AV251" s="928"/>
      <c r="AW251" s="928">
        <f ca="1">AU251/Financeiros!$D$4</f>
        <v>0</v>
      </c>
      <c r="AX251" s="925"/>
      <c r="AY251" s="318">
        <f t="shared" ca="1" si="23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6" t="str">
        <f t="shared" si="21"/>
        <v>Ajustes Processo Anterior</v>
      </c>
      <c r="AT252" s="926"/>
      <c r="AU252" s="927">
        <f t="shared" si="22"/>
        <v>0</v>
      </c>
      <c r="AV252" s="928"/>
      <c r="AW252" s="928">
        <f ca="1">AU252/Financeiros!$D$4</f>
        <v>0</v>
      </c>
      <c r="AX252" s="925"/>
      <c r="AY252" s="318">
        <f t="shared" ca="1" si="23"/>
        <v>0</v>
      </c>
    </row>
    <row r="253" spans="2:51" ht="15" hidden="1" customHeight="1">
      <c r="B253" s="343"/>
      <c r="C253" s="344"/>
      <c r="D253" s="344"/>
      <c r="E253" s="344"/>
      <c r="F253" s="345"/>
      <c r="G253" s="345"/>
      <c r="H253" s="345"/>
      <c r="AS253" s="926" t="str">
        <f t="shared" si="21"/>
        <v>Compensação DIC FIC</v>
      </c>
      <c r="AT253" s="926"/>
      <c r="AU253" s="927">
        <f t="shared" si="22"/>
        <v>0</v>
      </c>
      <c r="AV253" s="928"/>
      <c r="AW253" s="928">
        <f ca="1">AU253/Financeiros!$D$4</f>
        <v>0</v>
      </c>
      <c r="AX253" s="925"/>
      <c r="AY253" s="915">
        <f ca="1">IF(AW253=0,0,1)</f>
        <v>0</v>
      </c>
    </row>
    <row r="254" spans="2:51" ht="15" hidden="1" customHeight="1">
      <c r="B254" s="343"/>
      <c r="C254" s="344"/>
      <c r="D254" s="344"/>
      <c r="E254" s="344"/>
      <c r="F254" s="345"/>
      <c r="G254" s="345"/>
      <c r="H254" s="345"/>
      <c r="AS254" s="926" t="str">
        <f t="shared" si="21"/>
        <v>Subvenção CDE</v>
      </c>
      <c r="AT254" s="926"/>
      <c r="AU254" s="927">
        <f t="shared" ca="1" si="22"/>
        <v>0</v>
      </c>
      <c r="AV254" s="928"/>
      <c r="AW254" s="928">
        <f ca="1">AU254/Financeiros!$D$4</f>
        <v>0</v>
      </c>
      <c r="AX254" s="925"/>
      <c r="AY254" s="915">
        <f t="shared" ref="AY254:AY256" ca="1" si="24">IF(AW254=0,0,1)</f>
        <v>0</v>
      </c>
    </row>
    <row r="255" spans="2:51" ht="15" hidden="1" customHeight="1">
      <c r="B255" s="343"/>
      <c r="C255" s="344"/>
      <c r="D255" s="344"/>
      <c r="E255" s="344"/>
      <c r="F255" s="345"/>
      <c r="G255" s="345"/>
      <c r="H255" s="345"/>
      <c r="AS255" s="926" t="str">
        <f t="shared" si="21"/>
        <v>Retenção de Adicionais de Bandeiras Tarifárias</v>
      </c>
      <c r="AT255" s="926"/>
      <c r="AU255" s="927">
        <f t="shared" si="22"/>
        <v>0</v>
      </c>
      <c r="AV255" s="928"/>
      <c r="AW255" s="928">
        <f ca="1">AU255/Financeiros!$D$4</f>
        <v>0</v>
      </c>
      <c r="AX255" s="925"/>
      <c r="AY255" s="915">
        <f t="shared" ca="1" si="24"/>
        <v>0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6" t="str">
        <f t="shared" si="21"/>
        <v>Multa LPT</v>
      </c>
      <c r="AT256" s="926"/>
      <c r="AU256" s="927">
        <f t="shared" si="22"/>
        <v>0</v>
      </c>
      <c r="AV256" s="928"/>
      <c r="AW256" s="928">
        <f ca="1">AU256/Financeiros!$D$4</f>
        <v>0</v>
      </c>
      <c r="AX256" s="925"/>
      <c r="AY256" s="915">
        <f t="shared" ca="1" si="24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6" t="str">
        <f t="shared" si="21"/>
        <v xml:space="preserve">Repasse de ICMS </v>
      </c>
      <c r="AT257" s="926"/>
      <c r="AU257" s="927">
        <f t="shared" si="22"/>
        <v>0</v>
      </c>
      <c r="AV257" s="928"/>
      <c r="AW257" s="928">
        <f ca="1">AU257/Financeiros!$D$4</f>
        <v>0</v>
      </c>
      <c r="AX257" s="925"/>
      <c r="AY257" s="915">
        <f t="shared" ref="AY257:AY261" ca="1" si="25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6">
        <f t="shared" si="21"/>
        <v>0</v>
      </c>
      <c r="AT258" s="926"/>
      <c r="AU258" s="927">
        <f t="shared" si="22"/>
        <v>0</v>
      </c>
      <c r="AV258" s="928"/>
      <c r="AW258" s="928">
        <f ca="1">AU258/Financeiros!$D$4</f>
        <v>0</v>
      </c>
      <c r="AX258" s="925"/>
      <c r="AY258" s="915">
        <f t="shared" ref="AY258:AY260" ca="1" si="26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6" t="str">
        <f t="shared" si="21"/>
        <v>Ressarcimento P&amp;D</v>
      </c>
      <c r="AT259" s="926"/>
      <c r="AU259" s="927">
        <f t="shared" si="22"/>
        <v>0</v>
      </c>
      <c r="AV259" s="928"/>
      <c r="AW259" s="928">
        <f ca="1">AU259/Financeiros!$D$4</f>
        <v>0</v>
      </c>
      <c r="AX259" s="925"/>
      <c r="AY259" s="915">
        <f t="shared" ca="1" si="26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6" t="str">
        <f t="shared" si="21"/>
        <v>Efeito Conta COVID</v>
      </c>
      <c r="AT260" s="926"/>
      <c r="AU260" s="927">
        <f t="shared" si="22"/>
        <v>0</v>
      </c>
      <c r="AV260" s="928"/>
      <c r="AW260" s="928">
        <f ca="1">AU260/Financeiros!$D$4</f>
        <v>0</v>
      </c>
      <c r="AX260" s="925"/>
      <c r="AY260" s="915">
        <f t="shared" ca="1" si="26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6" t="str">
        <f t="shared" si="21"/>
        <v>Diferimento Parcela B</v>
      </c>
      <c r="AT261" s="926"/>
      <c r="AU261" s="927">
        <f t="shared" si="22"/>
        <v>0</v>
      </c>
      <c r="AV261" s="928"/>
      <c r="AW261" s="928">
        <f ca="1">AU261/Financeiros!$D$4</f>
        <v>0</v>
      </c>
      <c r="AX261" s="925"/>
      <c r="AY261" s="915">
        <f t="shared" ca="1" si="25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6" t="str">
        <f t="shared" si="21"/>
        <v>Efeito COVID da Supridora</v>
      </c>
      <c r="AT262" s="926"/>
      <c r="AU262" s="927">
        <f t="shared" si="22"/>
        <v>0</v>
      </c>
      <c r="AV262" s="928"/>
      <c r="AW262" s="928">
        <f ca="1">AU262/Financeiros!$D$4</f>
        <v>0</v>
      </c>
      <c r="AX262" s="925"/>
      <c r="AY262" s="918">
        <f t="shared" ref="AY262:AY263" ca="1" si="27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6" t="str">
        <f t="shared" si="21"/>
        <v>Crédito de Pis Cofins sobre ICMS</v>
      </c>
      <c r="AT263" s="926"/>
      <c r="AU263" s="927">
        <f t="shared" si="22"/>
        <v>0</v>
      </c>
      <c r="AV263" s="928"/>
      <c r="AW263" s="928">
        <f ca="1">AU263/Financeiros!$D$4</f>
        <v>0</v>
      </c>
      <c r="AX263" s="925"/>
      <c r="AY263" s="918">
        <f t="shared" ca="1" si="27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6" t="str">
        <f t="shared" si="21"/>
        <v>Diferimento de PIS COFINS</v>
      </c>
      <c r="AT264" s="926"/>
      <c r="AU264" s="927">
        <f t="shared" si="22"/>
        <v>0</v>
      </c>
      <c r="AV264" s="928"/>
      <c r="AW264" s="928">
        <f ca="1">AU264/Financeiros!$D$4</f>
        <v>0</v>
      </c>
      <c r="AX264" s="925"/>
      <c r="AY264" s="918">
        <f t="shared" ref="AY264:AY271" ca="1" si="28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6">
        <f t="shared" si="21"/>
        <v>0</v>
      </c>
      <c r="AT265" s="926"/>
      <c r="AU265" s="927">
        <f t="shared" si="22"/>
        <v>0</v>
      </c>
      <c r="AV265" s="928"/>
      <c r="AW265" s="928">
        <f ca="1">AU265/Financeiros!$D$4</f>
        <v>0</v>
      </c>
      <c r="AX265" s="925"/>
      <c r="AY265" s="918">
        <f t="shared" ca="1" si="28"/>
        <v>0</v>
      </c>
    </row>
    <row r="266" spans="2:51" ht="15" customHeight="1">
      <c r="B266" s="343"/>
      <c r="C266" s="344"/>
      <c r="D266" s="344"/>
      <c r="E266" s="344"/>
      <c r="F266" s="345"/>
      <c r="G266" s="345"/>
      <c r="H266" s="345"/>
      <c r="AS266" s="926" t="str">
        <f t="shared" si="21"/>
        <v>Financeiros associados ao §7º do Art. 88 da Ren 414/2021</v>
      </c>
      <c r="AT266" s="926"/>
      <c r="AU266" s="927">
        <f t="shared" si="22"/>
        <v>-3671.71</v>
      </c>
      <c r="AV266" s="928"/>
      <c r="AW266" s="928">
        <f ca="1">AU266/Financeiros!$D$4</f>
        <v>-5.379845185319382E-5</v>
      </c>
      <c r="AX266" s="925"/>
      <c r="AY266" s="918">
        <f t="shared" ca="1" si="28"/>
        <v>1</v>
      </c>
    </row>
    <row r="267" spans="2:51" ht="15" customHeight="1">
      <c r="B267" s="343"/>
      <c r="C267" s="344"/>
      <c r="D267" s="344"/>
      <c r="E267" s="344"/>
      <c r="F267" s="345"/>
      <c r="G267" s="345"/>
      <c r="H267" s="345"/>
      <c r="AS267" s="926" t="str">
        <f t="shared" si="21"/>
        <v>Spread Conta Covid</v>
      </c>
      <c r="AT267" s="926"/>
      <c r="AU267" s="927">
        <f t="shared" si="22"/>
        <v>-228012.01857549255</v>
      </c>
      <c r="AV267" s="928"/>
      <c r="AW267" s="928">
        <f ca="1">AU267/Financeiros!$D$4</f>
        <v>-3.340866681541617E-3</v>
      </c>
      <c r="AX267" s="925"/>
      <c r="AY267" s="918">
        <f t="shared" ca="1" si="28"/>
        <v>1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6" t="str">
        <f t="shared" si="21"/>
        <v>Diferimento de Energia</v>
      </c>
      <c r="AT268" s="926"/>
      <c r="AU268" s="927">
        <f t="shared" si="22"/>
        <v>0</v>
      </c>
      <c r="AV268" s="928"/>
      <c r="AW268" s="928">
        <f ca="1">AU268/Financeiros!$D$4</f>
        <v>0</v>
      </c>
      <c r="AX268" s="925"/>
      <c r="AY268" s="918">
        <f t="shared" ca="1" si="28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6" t="str">
        <f t="shared" si="21"/>
        <v xml:space="preserve">Reversão do Diferimento de Compra de Energia </v>
      </c>
      <c r="AT269" s="926"/>
      <c r="AU269" s="927">
        <f t="shared" si="22"/>
        <v>0</v>
      </c>
      <c r="AV269" s="928"/>
      <c r="AW269" s="928">
        <f ca="1">AU269/Financeiros!$D$4</f>
        <v>0</v>
      </c>
      <c r="AX269" s="925"/>
      <c r="AY269" s="918">
        <f t="shared" ca="1" si="28"/>
        <v>0</v>
      </c>
    </row>
    <row r="270" spans="2:51" ht="15" customHeight="1">
      <c r="B270" s="343"/>
      <c r="C270" s="344"/>
      <c r="D270" s="344"/>
      <c r="E270" s="344"/>
      <c r="F270" s="345"/>
      <c r="G270" s="345"/>
      <c r="H270" s="345"/>
      <c r="AS270" s="926" t="str">
        <f t="shared" si="21"/>
        <v>Reversão do Diferimento de Parcela B</v>
      </c>
      <c r="AT270" s="926"/>
      <c r="AU270" s="927">
        <f t="shared" si="22"/>
        <v>2174545.8258524011</v>
      </c>
      <c r="AV270" s="928"/>
      <c r="AW270" s="928">
        <f ca="1">AU270/Financeiros!$D$4</f>
        <v>3.1861775280369091E-2</v>
      </c>
      <c r="AX270" s="925"/>
      <c r="AY270" s="918">
        <f t="shared" ca="1" si="28"/>
        <v>1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6" t="str">
        <f t="shared" si="21"/>
        <v>Reversão do Diferimento de Pis Cofins</v>
      </c>
      <c r="AT271" s="926"/>
      <c r="AU271" s="927">
        <f t="shared" si="22"/>
        <v>0</v>
      </c>
      <c r="AV271" s="928"/>
      <c r="AW271" s="928">
        <f ca="1">AU271/Financeiros!$D$4</f>
        <v>0</v>
      </c>
      <c r="AX271" s="925"/>
      <c r="AY271" s="918">
        <f t="shared" ca="1" si="28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6">
        <f t="shared" ref="AS272:AS276" si="29">AM196</f>
        <v>0</v>
      </c>
      <c r="AT272" s="926"/>
      <c r="AU272" s="927">
        <f t="shared" si="22"/>
        <v>0</v>
      </c>
      <c r="AV272" s="928"/>
      <c r="AW272" s="928">
        <f ca="1">AU272/Financeiros!$D$4</f>
        <v>0</v>
      </c>
      <c r="AX272" s="925"/>
      <c r="AY272" s="915">
        <f t="shared" ref="AY272:AY276" ca="1" si="30">IF(AW272=0,0,1)</f>
        <v>0</v>
      </c>
    </row>
    <row r="273" spans="2:53" ht="15" customHeight="1">
      <c r="B273" s="343"/>
      <c r="C273" s="344"/>
      <c r="D273" s="344"/>
      <c r="E273" s="344"/>
      <c r="F273" s="345"/>
      <c r="G273" s="345"/>
      <c r="H273" s="345"/>
      <c r="AS273" s="926" t="str">
        <f t="shared" si="29"/>
        <v>CVE - Energia</v>
      </c>
      <c r="AT273" s="926"/>
      <c r="AU273" s="927">
        <f t="shared" ca="1" si="22"/>
        <v>-463559.36890000006</v>
      </c>
      <c r="AV273" s="928"/>
      <c r="AW273" s="928">
        <f ca="1">AU273/Financeiros!$D$4</f>
        <v>-6.7921421868457933E-3</v>
      </c>
      <c r="AX273" s="925"/>
      <c r="AY273" s="915">
        <f t="shared" ca="1" si="30"/>
        <v>1</v>
      </c>
    </row>
    <row r="274" spans="2:53" ht="15" customHeight="1">
      <c r="B274" s="343"/>
      <c r="C274" s="344"/>
      <c r="D274" s="344"/>
      <c r="E274" s="344"/>
      <c r="F274" s="345"/>
      <c r="G274" s="345"/>
      <c r="H274" s="345"/>
      <c r="AS274" s="926" t="str">
        <f t="shared" si="29"/>
        <v>CVE - Encargos</v>
      </c>
      <c r="AT274" s="926"/>
      <c r="AU274" s="927">
        <f t="shared" si="22"/>
        <v>1620612.8811000001</v>
      </c>
      <c r="AV274" s="928"/>
      <c r="AW274" s="928">
        <f ca="1">AU274/Financeiros!$D$4</f>
        <v>2.3745465752067586E-2</v>
      </c>
      <c r="AX274" s="925"/>
      <c r="AY274" s="915">
        <f t="shared" ca="1" si="30"/>
        <v>1</v>
      </c>
    </row>
    <row r="275" spans="2:53" ht="15" customHeight="1">
      <c r="B275" s="343"/>
      <c r="C275" s="344"/>
      <c r="D275" s="344"/>
      <c r="E275" s="344"/>
      <c r="F275" s="345"/>
      <c r="G275" s="345"/>
      <c r="H275" s="345"/>
      <c r="AS275" s="926" t="str">
        <f t="shared" si="29"/>
        <v>Conta Escassez</v>
      </c>
      <c r="AT275" s="926"/>
      <c r="AU275" s="927">
        <f t="shared" ca="1" si="22"/>
        <v>-3090881.2255924107</v>
      </c>
      <c r="AV275" s="928"/>
      <c r="AW275" s="928">
        <f ca="1">AU275/Financeiros!$D$4</f>
        <v>-4.5288060549164837E-2</v>
      </c>
      <c r="AX275" s="925"/>
      <c r="AY275" s="915">
        <f t="shared" ca="1" si="30"/>
        <v>1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6">
        <f t="shared" si="29"/>
        <v>0</v>
      </c>
      <c r="AT276" s="926"/>
      <c r="AU276" s="927">
        <f t="shared" si="22"/>
        <v>0</v>
      </c>
      <c r="AV276" s="928"/>
      <c r="AW276" s="928">
        <f ca="1">AU276/Financeiros!$D$4</f>
        <v>0</v>
      </c>
      <c r="AX276" s="925"/>
      <c r="AY276" s="915">
        <f t="shared" ca="1" si="30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6">
        <f t="shared" ref="AS277:AS281" si="31">AM201</f>
        <v>0</v>
      </c>
      <c r="AT277" s="926"/>
      <c r="AU277" s="927">
        <f t="shared" si="22"/>
        <v>0</v>
      </c>
      <c r="AV277" s="928"/>
      <c r="AW277" s="928">
        <f ca="1">AU277/Financeiros!$D$4</f>
        <v>0</v>
      </c>
      <c r="AX277" s="925"/>
      <c r="AY277" s="915">
        <f t="shared" ref="AY277:AY281" ca="1" si="32">IF(AW277=0,0,1)</f>
        <v>0</v>
      </c>
    </row>
    <row r="278" spans="2:53" ht="15" customHeight="1">
      <c r="B278" s="343"/>
      <c r="C278" s="344"/>
      <c r="D278" s="344"/>
      <c r="E278" s="344"/>
      <c r="F278" s="345"/>
      <c r="G278" s="345"/>
      <c r="H278" s="345"/>
      <c r="AS278" s="926" t="str">
        <f t="shared" si="31"/>
        <v>Sobrecontratação/Exposição de Energia</v>
      </c>
      <c r="AT278" s="926"/>
      <c r="AU278" s="927">
        <f ca="1">SUM(Financeiros!D77:D81)</f>
        <v>-19032.4136</v>
      </c>
      <c r="AV278" s="928"/>
      <c r="AW278" s="928">
        <f ca="1">AU278/Financeiros!$D$4</f>
        <v>-2.7886581094630874E-4</v>
      </c>
      <c r="AX278" s="925"/>
      <c r="AY278" s="915">
        <f t="shared" ca="1" si="32"/>
        <v>1</v>
      </c>
    </row>
    <row r="279" spans="2:53" ht="15" customHeight="1">
      <c r="B279" s="343"/>
      <c r="C279" s="344"/>
      <c r="D279" s="344"/>
      <c r="E279" s="344"/>
      <c r="F279" s="345"/>
      <c r="G279" s="345"/>
      <c r="H279" s="345"/>
      <c r="AS279" s="926" t="str">
        <f t="shared" si="31"/>
        <v>Reversão de Risco Hidrológico</v>
      </c>
      <c r="AT279" s="926"/>
      <c r="AU279" s="927">
        <f t="shared" ca="1" si="22"/>
        <v>-2719246.1550966692</v>
      </c>
      <c r="AV279" s="928"/>
      <c r="AW279" s="928">
        <f ca="1">AU279/Financeiros!$D$4</f>
        <v>-3.9842807125821639E-2</v>
      </c>
      <c r="AX279" s="925"/>
      <c r="AY279" s="915">
        <f t="shared" ca="1" si="32"/>
        <v>1</v>
      </c>
    </row>
    <row r="280" spans="2:53" ht="15" customHeight="1">
      <c r="B280" s="343"/>
      <c r="C280" s="344"/>
      <c r="D280" s="344"/>
      <c r="E280" s="344"/>
      <c r="F280" s="345"/>
      <c r="G280" s="345"/>
      <c r="H280" s="345"/>
      <c r="AS280" s="926" t="str">
        <f t="shared" si="31"/>
        <v>Previsão de Risco Hidrologico</v>
      </c>
      <c r="AT280" s="926"/>
      <c r="AU280" s="927">
        <f t="shared" ca="1" si="22"/>
        <v>2657892.9444858003</v>
      </c>
      <c r="AV280" s="928"/>
      <c r="AW280" s="928">
        <f ca="1">AU280/Financeiros!$D$4</f>
        <v>3.8943850577758836E-2</v>
      </c>
      <c r="AX280" s="925"/>
      <c r="AY280" s="915">
        <f t="shared" ca="1" si="32"/>
        <v>1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6" t="str">
        <f t="shared" si="31"/>
        <v>Diferimento da Previsão do Risco Hidrológico</v>
      </c>
      <c r="AT281" s="926"/>
      <c r="AU281" s="927">
        <f t="shared" si="22"/>
        <v>0</v>
      </c>
      <c r="AV281" s="928"/>
      <c r="AW281" s="928">
        <f ca="1">AU281/Financeiros!$D$4</f>
        <v>0</v>
      </c>
      <c r="AX281" s="925"/>
      <c r="AY281" s="915">
        <f t="shared" ca="1" si="32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6" t="str">
        <f t="shared" ref="AS282:AS283" si="33">AM206</f>
        <v xml:space="preserve">Diferimento CUSD </v>
      </c>
      <c r="AT282" s="926"/>
      <c r="AU282" s="927">
        <f t="shared" si="22"/>
        <v>0</v>
      </c>
      <c r="AV282" s="928"/>
      <c r="AW282" s="928">
        <f ca="1">AU282/Financeiros!$D$4</f>
        <v>0</v>
      </c>
      <c r="AX282" s="925"/>
      <c r="AY282" s="915">
        <f t="shared" ref="AY282:AY283" ca="1" si="34">IF(AW282=0,0,1)</f>
        <v>0</v>
      </c>
    </row>
    <row r="283" spans="2:53" ht="15" customHeight="1">
      <c r="B283" s="343"/>
      <c r="C283" s="344"/>
      <c r="D283" s="344"/>
      <c r="E283" s="344"/>
      <c r="F283" s="345"/>
      <c r="G283" s="345"/>
      <c r="H283" s="345"/>
      <c r="AS283" s="926" t="str">
        <f t="shared" si="33"/>
        <v>Garantias Financeiras</v>
      </c>
      <c r="AT283" s="926"/>
      <c r="AU283" s="927">
        <f t="shared" si="22"/>
        <v>62622.378336678128</v>
      </c>
      <c r="AV283" s="928"/>
      <c r="AW283" s="928">
        <f ca="1">AU283/Financeiros!$D$4</f>
        <v>9.1755258609156664E-4</v>
      </c>
      <c r="AX283" s="925"/>
      <c r="AY283" s="915">
        <f t="shared" ca="1" si="34"/>
        <v>1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5" t="s">
        <v>843</v>
      </c>
      <c r="AT284" s="1105"/>
      <c r="AU284" s="1110">
        <f ca="1">SUM(AU243:AU283)</f>
        <v>501286.04467087553</v>
      </c>
      <c r="AV284" s="1111"/>
      <c r="AW284" s="1111">
        <f ca="1">ROUND(SUM(AW243:AW283),4)</f>
        <v>7.3000000000000001E-3</v>
      </c>
      <c r="AX284" s="1111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2" t="str">
        <f>Resultado!B9</f>
        <v>Variação econômica e financeira</v>
      </c>
      <c r="AT285" s="1112"/>
      <c r="AU285" s="1112"/>
      <c r="AV285" s="1113"/>
      <c r="AW285" s="1113">
        <f ca="1">ROUND(AW240+AW284,4)</f>
        <v>0.16300000000000001</v>
      </c>
      <c r="AX285" s="1113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5" t="s">
        <v>844</v>
      </c>
      <c r="AT286" s="1105"/>
      <c r="AU286" s="1105"/>
      <c r="AV286" s="1105"/>
      <c r="AW286" s="1114">
        <f ca="1">ROUND(AW288-AW285,4)</f>
        <v>-5.5999999999999999E-3</v>
      </c>
      <c r="AX286" s="1114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5" t="s">
        <v>845</v>
      </c>
      <c r="AT287" s="1115"/>
      <c r="AU287" s="1110"/>
      <c r="AV287" s="1110"/>
      <c r="AW287" s="1116">
        <v>0</v>
      </c>
      <c r="AX287" s="1117"/>
      <c r="AY287" s="318">
        <f t="shared" si="16"/>
        <v>0</v>
      </c>
      <c r="BA287" s="771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25" t="s">
        <v>846</v>
      </c>
      <c r="AT288" s="1825"/>
      <c r="AU288" s="1825"/>
      <c r="AV288" s="1825"/>
      <c r="AW288" s="1113">
        <f>Resultado!L5</f>
        <v>0.15735461284194208</v>
      </c>
      <c r="AX288" s="1113"/>
      <c r="AY288" s="318"/>
    </row>
    <row r="289" spans="2:84" ht="15" customHeight="1">
      <c r="AW289" s="773">
        <v>-0.1116</v>
      </c>
      <c r="BA289" s="1096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31" t="s">
        <v>849</v>
      </c>
      <c r="BB290" s="931" t="str">
        <f>"Cobertura "&amp;YEAR(CAPA!C14)&amp;"/"&amp;YEAR(CAPA!C14)+1</f>
        <v>Cobertura 2021/2022</v>
      </c>
      <c r="BC290" s="931" t="str">
        <f>"Cobertura "&amp;YEAR(CAPA!C14)&amp;"/"&amp;YEAR(CAPA!C14)+1&amp;" Atualizada"</f>
        <v>Cobertura 2021/2022 Atualizada</v>
      </c>
      <c r="BD290" s="931" t="s">
        <v>850</v>
      </c>
      <c r="BE290" s="931" t="s">
        <v>851</v>
      </c>
      <c r="BF290" s="931" t="s">
        <v>852</v>
      </c>
      <c r="BG290" s="931" t="str">
        <f>"Previsão "&amp;YEAR(CAPA!C14)+1&amp;"/"&amp;YEAR(CAPA!C14)+2</f>
        <v>Previsão 2022/2023</v>
      </c>
      <c r="BH290" s="931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32" t="e">
        <f>Indexador!#REF!</f>
        <v>#REF!</v>
      </c>
      <c r="BC291" s="932" t="e">
        <f>Indexador!#REF!</f>
        <v>#REF!</v>
      </c>
      <c r="BD291" s="932" t="e">
        <f>Indexador!#REF!</f>
        <v>#REF!</v>
      </c>
      <c r="BE291" s="932" t="e">
        <f>Indexador!#REF!</f>
        <v>#REF!</v>
      </c>
      <c r="BF291" s="932">
        <f>BP311</f>
        <v>0</v>
      </c>
      <c r="BG291" s="932">
        <f t="shared" ref="BG291:BH296" si="35">BQ311</f>
        <v>0</v>
      </c>
      <c r="BH291" s="932">
        <f t="shared" si="35"/>
        <v>0</v>
      </c>
      <c r="BI291" s="352" t="e">
        <f>Indexador!#REF!</f>
        <v>#REF!</v>
      </c>
      <c r="BJ291" s="333">
        <f t="shared" ref="BJ291:BJ297" si="36">IF(BH291=0,0,1)</f>
        <v>0</v>
      </c>
    </row>
    <row r="292" spans="2:84" ht="15" customHeight="1">
      <c r="B292" s="343"/>
      <c r="C292" s="344"/>
      <c r="D292" s="344"/>
      <c r="E292" s="21"/>
      <c r="AZ292" s="353"/>
      <c r="BA292" s="436" t="str">
        <f t="shared" ref="BA292:BA296" si="37">BO312</f>
        <v>Subsidio Geração Fonte Incentivda</v>
      </c>
      <c r="BB292" s="932" t="e">
        <f>Indexador!#REF!</f>
        <v>#REF!</v>
      </c>
      <c r="BC292" s="932" t="e">
        <f>Indexador!#REF!</f>
        <v>#REF!</v>
      </c>
      <c r="BD292" s="932" t="e">
        <f>Indexador!#REF!</f>
        <v>#REF!</v>
      </c>
      <c r="BE292" s="932" t="e">
        <f>Indexador!#REF!</f>
        <v>#REF!</v>
      </c>
      <c r="BF292" s="933">
        <f t="shared" ref="BF292:BF296" si="38">BP312</f>
        <v>0.47014358236485049</v>
      </c>
      <c r="BG292" s="933">
        <f t="shared" si="35"/>
        <v>724.90019962392773</v>
      </c>
      <c r="BH292" s="933">
        <f t="shared" si="35"/>
        <v>725.37034320629255</v>
      </c>
      <c r="BI292" s="352" t="e">
        <f>Indexador!#REF!</f>
        <v>#REF!</v>
      </c>
      <c r="BJ292" s="333">
        <f t="shared" si="36"/>
        <v>1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7"/>
        <v>Subsidio Distribuição</v>
      </c>
      <c r="BB293" s="932" t="e">
        <f>Indexador!#REF!</f>
        <v>#REF!</v>
      </c>
      <c r="BC293" s="932" t="e">
        <f>Indexador!#REF!</f>
        <v>#REF!</v>
      </c>
      <c r="BD293" s="932" t="e">
        <f>Indexador!#REF!</f>
        <v>#REF!</v>
      </c>
      <c r="BE293" s="932" t="e">
        <f>Indexador!#REF!</f>
        <v>#REF!</v>
      </c>
      <c r="BF293" s="933">
        <f t="shared" si="38"/>
        <v>0</v>
      </c>
      <c r="BG293" s="933">
        <f t="shared" si="35"/>
        <v>0</v>
      </c>
      <c r="BH293" s="933">
        <f t="shared" si="35"/>
        <v>0</v>
      </c>
      <c r="BI293" s="352" t="e">
        <f>Indexador!#REF!</f>
        <v>#REF!</v>
      </c>
      <c r="BJ293" s="333">
        <f t="shared" si="36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7"/>
        <v>Subsidio Água, Esgoto e Saneamento</v>
      </c>
      <c r="BB294" s="932" t="e">
        <f>Indexador!#REF!</f>
        <v>#REF!</v>
      </c>
      <c r="BC294" s="932" t="e">
        <f>Indexador!#REF!</f>
        <v>#REF!</v>
      </c>
      <c r="BD294" s="932" t="e">
        <f>Indexador!#REF!</f>
        <v>#REF!</v>
      </c>
      <c r="BE294" s="932" t="e">
        <f>Indexador!#REF!</f>
        <v>#REF!</v>
      </c>
      <c r="BF294" s="933">
        <f t="shared" si="38"/>
        <v>18.780113741576315</v>
      </c>
      <c r="BG294" s="933">
        <f t="shared" si="35"/>
        <v>582.16349980775169</v>
      </c>
      <c r="BH294" s="933">
        <f t="shared" si="35"/>
        <v>600.94361354932801</v>
      </c>
      <c r="BI294" s="352" t="e">
        <f>Indexador!#REF!</f>
        <v>#REF!</v>
      </c>
      <c r="BJ294" s="333">
        <f t="shared" si="36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7"/>
        <v>Subsidio Rural</v>
      </c>
      <c r="BB295" s="932" t="e">
        <f>Indexador!#REF!</f>
        <v>#REF!</v>
      </c>
      <c r="BC295" s="932" t="e">
        <f>Indexador!#REF!</f>
        <v>#REF!</v>
      </c>
      <c r="BD295" s="932" t="e">
        <f>Indexador!#REF!</f>
        <v>#REF!</v>
      </c>
      <c r="BE295" s="932" t="e">
        <f>Indexador!#REF!</f>
        <v>#REF!</v>
      </c>
      <c r="BF295" s="933">
        <f t="shared" si="38"/>
        <v>-2147.1971532116054</v>
      </c>
      <c r="BG295" s="933">
        <f t="shared" si="35"/>
        <v>20201.777046315732</v>
      </c>
      <c r="BH295" s="933">
        <f t="shared" si="35"/>
        <v>18054.579893104128</v>
      </c>
      <c r="BI295" s="352" t="e">
        <f>Indexador!#REF!</f>
        <v>#REF!</v>
      </c>
      <c r="BJ295" s="333">
        <f t="shared" si="36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7"/>
        <v>Subsidio - Irrigante/Aquicultor</v>
      </c>
      <c r="BB296" s="932" t="e">
        <f>Indexador!#REF!</f>
        <v>#REF!</v>
      </c>
      <c r="BC296" s="932" t="e">
        <f>Indexador!#REF!</f>
        <v>#REF!</v>
      </c>
      <c r="BD296" s="932" t="e">
        <f>Indexador!#REF!</f>
        <v>#REF!</v>
      </c>
      <c r="BE296" s="932" t="e">
        <f>Indexador!#REF!</f>
        <v>#REF!</v>
      </c>
      <c r="BF296" s="933">
        <f t="shared" si="38"/>
        <v>2792.717388839204</v>
      </c>
      <c r="BG296" s="933">
        <f t="shared" si="35"/>
        <v>19077.629587083586</v>
      </c>
      <c r="BH296" s="933">
        <f t="shared" si="35"/>
        <v>21870.346975922788</v>
      </c>
      <c r="BI296" s="352" t="e">
        <f>Indexador!#REF!</f>
        <v>#REF!</v>
      </c>
      <c r="BJ296" s="333">
        <f t="shared" si="36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5" t="s">
        <v>760</v>
      </c>
      <c r="BB297" s="1118" t="e">
        <f t="shared" ref="BB297:BI297" si="39">SUM(BB291:BB296)</f>
        <v>#REF!</v>
      </c>
      <c r="BC297" s="1118" t="e">
        <f t="shared" si="39"/>
        <v>#REF!</v>
      </c>
      <c r="BD297" s="1118" t="e">
        <f t="shared" si="39"/>
        <v>#REF!</v>
      </c>
      <c r="BE297" s="1118" t="e">
        <f t="shared" si="39"/>
        <v>#REF!</v>
      </c>
      <c r="BF297" s="1119">
        <f t="shared" si="39"/>
        <v>664.77049295153984</v>
      </c>
      <c r="BG297" s="1119">
        <f t="shared" si="39"/>
        <v>40586.470332830999</v>
      </c>
      <c r="BH297" s="1119">
        <f t="shared" si="39"/>
        <v>41251.240825782537</v>
      </c>
      <c r="BI297" s="1120" t="e">
        <f t="shared" si="39"/>
        <v>#REF!</v>
      </c>
      <c r="BJ297" s="335">
        <f t="shared" si="36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6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21" t="s">
        <v>853</v>
      </c>
      <c r="BL299" s="1121" t="s">
        <v>793</v>
      </c>
      <c r="BM299" s="1121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0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0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0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0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0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0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0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0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2" t="s">
        <v>854</v>
      </c>
      <c r="BL308" s="1120">
        <f ca="1">SUM(BL300:BL307)</f>
        <v>0</v>
      </c>
      <c r="BM308" s="1120">
        <f>SUM(BM300:BM307)</f>
        <v>0</v>
      </c>
      <c r="BN308" s="333">
        <f ca="1">IF(BL308=0,0,1)</f>
        <v>0</v>
      </c>
      <c r="BO308" s="1096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(Cegero).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3" t="s">
        <v>856</v>
      </c>
      <c r="BP310" s="1123" t="s">
        <v>857</v>
      </c>
      <c r="BQ310" s="1123" t="s">
        <v>858</v>
      </c>
      <c r="BR310" s="1124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5" t="s">
        <v>860</v>
      </c>
      <c r="BP311" s="1126">
        <f>IFERROR(Aj.Subsídio!L5,0)</f>
        <v>0</v>
      </c>
      <c r="BQ311" s="1126">
        <f>IFERROR(Aj.Subsídio!M5,0)</f>
        <v>0</v>
      </c>
      <c r="BR311" s="1126">
        <f t="shared" ref="BR311:BR317" si="41">BP311+BQ311</f>
        <v>0</v>
      </c>
      <c r="BS311" s="405">
        <f t="shared" ref="BS311:BS317" si="42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5" t="s">
        <v>861</v>
      </c>
      <c r="BP312" s="1126">
        <f>IFERROR(Aj.Subsídio!L6,0)</f>
        <v>0.47014358236485049</v>
      </c>
      <c r="BQ312" s="1126">
        <f>IFERROR(Aj.Subsídio!M6,0)</f>
        <v>724.90019962392773</v>
      </c>
      <c r="BR312" s="1127">
        <f t="shared" si="41"/>
        <v>725.37034320629255</v>
      </c>
      <c r="BS312" s="358">
        <f t="shared" si="42"/>
        <v>1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5" t="s">
        <v>862</v>
      </c>
      <c r="BP313" s="1126">
        <f>IFERROR(Aj.Subsídio!L7,0)</f>
        <v>0</v>
      </c>
      <c r="BQ313" s="1126">
        <f>IFERROR(Aj.Subsídio!M7,0)</f>
        <v>0</v>
      </c>
      <c r="BR313" s="1127">
        <f t="shared" si="41"/>
        <v>0</v>
      </c>
      <c r="BS313" s="358">
        <f t="shared" si="42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5" t="s">
        <v>863</v>
      </c>
      <c r="BP314" s="1126">
        <f>IFERROR(Aj.Subsídio!L8,0)</f>
        <v>18.780113741576315</v>
      </c>
      <c r="BQ314" s="1126">
        <f>IFERROR(Aj.Subsídio!M8,0)</f>
        <v>582.16349980775169</v>
      </c>
      <c r="BR314" s="1127">
        <f t="shared" si="41"/>
        <v>600.94361354932801</v>
      </c>
      <c r="BS314" s="358">
        <f t="shared" si="42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5" t="s">
        <v>864</v>
      </c>
      <c r="BP315" s="1126">
        <f>IFERROR(Aj.Subsídio!L9,0)</f>
        <v>-2147.1971532116054</v>
      </c>
      <c r="BQ315" s="1126">
        <f>IFERROR(Aj.Subsídio!M9,0)</f>
        <v>20201.777046315732</v>
      </c>
      <c r="BR315" s="1127">
        <f t="shared" si="41"/>
        <v>18054.579893104128</v>
      </c>
      <c r="BS315" s="358">
        <f t="shared" si="42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5" t="s">
        <v>865</v>
      </c>
      <c r="BP316" s="1126">
        <f>IFERROR(Aj.Subsídio!L10,0)</f>
        <v>2792.717388839204</v>
      </c>
      <c r="BQ316" s="1126">
        <f>IFERROR(Aj.Subsídio!M10,0)</f>
        <v>19077.629587083586</v>
      </c>
      <c r="BR316" s="1127">
        <f t="shared" si="41"/>
        <v>21870.346975922788</v>
      </c>
      <c r="BS316" s="358">
        <f t="shared" si="42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8" t="s">
        <v>769</v>
      </c>
      <c r="BP317" s="1126">
        <f>SUM(BP311:BP316)</f>
        <v>664.77049295153984</v>
      </c>
      <c r="BQ317" s="1126">
        <f>SUM(BQ311:BQ316)</f>
        <v>40586.470332830999</v>
      </c>
      <c r="BR317" s="1127">
        <f t="shared" si="41"/>
        <v>41251.240825782537</v>
      </c>
      <c r="BS317" s="405">
        <f t="shared" si="42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51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A2 (88 a 138 kV)</v>
      </c>
      <c r="BV320" s="420">
        <f>Energia!I28</f>
        <v>0.29289999999999999</v>
      </c>
      <c r="BW320" s="420">
        <f>Energia!F28</f>
        <v>0</v>
      </c>
      <c r="BY320" s="23">
        <f t="shared" ref="BY320:BY326" si="43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3"/>
        <v>0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3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3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3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3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3"/>
        <v>#REF!</v>
      </c>
      <c r="BZ326" s="652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9" t="s">
        <v>633</v>
      </c>
      <c r="CA327" s="1130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31" t="s">
        <v>871</v>
      </c>
      <c r="CA329" s="1132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19"/>
      <c r="C338" s="1819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19"/>
      <c r="C344" s="1819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19"/>
      <c r="C353" s="1819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T238 AS237:AT237 AV237:AX237 AX238 AX219 AS285:AV285 AX285 AX286 AS222:AV222 AX222 AS228:AX229 AS227:AV227 AX227 AS232:AV232 AS230:AV230 AX230 AS231:AV231 AX231 AX232 AS236:AV236 AX236 K85 AT224 AW224:AX224 AW230:AW232 AW226 AX288 AX243 AV238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14" zoomScale="85" zoomScaleNormal="85" workbookViewId="0">
      <selection activeCell="D77" sqref="D77:D81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9" customWidth="1"/>
    <col min="6" max="6" width="31.42578125" style="1603" customWidth="1"/>
    <col min="7" max="7" width="47.85546875" style="1603" bestFit="1" customWidth="1"/>
    <col min="8" max="13" width="16.28515625" style="909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4" t="s">
        <v>724</v>
      </c>
      <c r="D1" s="1306"/>
      <c r="E1" s="1307"/>
      <c r="F1" s="1596"/>
      <c r="G1" s="1717"/>
      <c r="H1" s="1716"/>
      <c r="I1" s="1594"/>
      <c r="J1" s="1605" t="s">
        <v>873</v>
      </c>
      <c r="K1" s="1233">
        <f ca="1">LnkTXTIRTEco</f>
        <v>0.15570000000000001</v>
      </c>
      <c r="L1" s="1594"/>
      <c r="M1" s="1594"/>
    </row>
    <row r="2" spans="3:23" ht="16.5">
      <c r="C2" s="620" t="str">
        <f>CAPA!B2</f>
        <v>Cegero</v>
      </c>
      <c r="D2" s="622"/>
      <c r="E2" s="905"/>
      <c r="F2" s="1597"/>
      <c r="G2" s="1713" t="s">
        <v>2253</v>
      </c>
      <c r="H2" s="1718">
        <f ca="1">LnkTXTEV/LnkTXTER</f>
        <v>0.92754756730266819</v>
      </c>
      <c r="I2" s="905"/>
      <c r="J2" s="1606" t="s">
        <v>877</v>
      </c>
      <c r="K2" s="1607">
        <f ca="1">LnkTXTIRTTotal</f>
        <v>0.16300000000000001</v>
      </c>
      <c r="L2" s="905"/>
      <c r="M2" s="905"/>
    </row>
    <row r="3" spans="3:23" ht="16.5">
      <c r="C3" s="624"/>
      <c r="D3" s="622"/>
      <c r="E3" s="905"/>
      <c r="F3" s="1597"/>
      <c r="G3" s="1714" t="s">
        <v>2255</v>
      </c>
      <c r="H3" s="1719">
        <f ca="1">Energia!D10/LnkTXTER</f>
        <v>0</v>
      </c>
      <c r="I3" s="905"/>
      <c r="J3" s="905"/>
      <c r="K3" s="905"/>
      <c r="L3" s="905"/>
      <c r="M3" s="905"/>
    </row>
    <row r="4" spans="3:23" ht="16.5">
      <c r="C4" s="1308" t="s">
        <v>1278</v>
      </c>
      <c r="D4" s="1309">
        <f ca="1">LnkTXTRA0</f>
        <v>68249361.710620001</v>
      </c>
      <c r="E4" s="906"/>
      <c r="F4" s="1598"/>
      <c r="G4" s="1714" t="s">
        <v>2258</v>
      </c>
      <c r="H4" s="1719">
        <f ca="1">Energia!D11/LnkTXTER</f>
        <v>4.0330360991704305E-2</v>
      </c>
      <c r="I4" s="906"/>
      <c r="J4" s="906"/>
      <c r="K4" s="906"/>
      <c r="L4" s="906"/>
      <c r="M4" s="906"/>
    </row>
    <row r="5" spans="3:23" ht="16.5">
      <c r="C5" s="1310" t="s">
        <v>1279</v>
      </c>
      <c r="D5" s="1311">
        <f ca="1">D7</f>
        <v>501286.04467087536</v>
      </c>
      <c r="E5" s="907"/>
      <c r="F5" s="1599"/>
      <c r="G5" s="1714" t="s">
        <v>2256</v>
      </c>
      <c r="H5" s="1719">
        <f ca="1">Energia!D12/LnkTXTER</f>
        <v>1.3384898134544065E-3</v>
      </c>
      <c r="I5" s="907"/>
      <c r="J5" s="907"/>
      <c r="K5" s="907"/>
      <c r="L5" s="907"/>
      <c r="M5" s="907"/>
    </row>
    <row r="6" spans="3:23" ht="16.5">
      <c r="C6" s="623"/>
      <c r="D6" s="1312"/>
      <c r="E6" s="908"/>
      <c r="F6" s="1600"/>
      <c r="G6" s="1715" t="s">
        <v>2257</v>
      </c>
      <c r="H6" s="1720">
        <f ca="1">Energia!D13/LnkTXTER</f>
        <v>3.0783581892173194E-2</v>
      </c>
      <c r="I6" s="908"/>
      <c r="J6" s="908"/>
      <c r="K6" s="908"/>
      <c r="L6" s="908"/>
      <c r="M6" s="908"/>
    </row>
    <row r="7" spans="3:23" ht="17.25" thickBot="1">
      <c r="C7" s="1313" t="s">
        <v>1280</v>
      </c>
      <c r="D7" s="1314">
        <f ca="1">SUM(D9:D100)</f>
        <v>501286.04467087536</v>
      </c>
      <c r="E7" s="1315">
        <f ca="1">SUM(E9:E100)</f>
        <v>7.3449191627073095E-3</v>
      </c>
      <c r="F7" s="1601"/>
      <c r="G7" s="1601"/>
      <c r="H7" s="1595"/>
      <c r="I7" s="1595"/>
      <c r="J7" s="1595"/>
      <c r="K7" s="1595"/>
      <c r="L7" s="1595"/>
      <c r="M7" s="1595"/>
    </row>
    <row r="8" spans="3:23" ht="16.5">
      <c r="C8" s="1316" t="s">
        <v>1281</v>
      </c>
      <c r="D8" s="1317" t="s">
        <v>37</v>
      </c>
      <c r="E8" s="1318" t="s">
        <v>1282</v>
      </c>
      <c r="F8" s="1602" t="s">
        <v>22</v>
      </c>
      <c r="G8" s="1602" t="s">
        <v>2272</v>
      </c>
      <c r="H8" s="1608" t="s">
        <v>1283</v>
      </c>
      <c r="I8" s="1608" t="s">
        <v>1284</v>
      </c>
      <c r="J8" s="1608" t="s">
        <v>1285</v>
      </c>
      <c r="K8" s="1608" t="s">
        <v>1286</v>
      </c>
      <c r="L8" s="1608" t="s">
        <v>1287</v>
      </c>
      <c r="M8" s="1608" t="s">
        <v>1288</v>
      </c>
      <c r="O8" s="1587" t="s">
        <v>22</v>
      </c>
      <c r="P8" s="1588" t="s">
        <v>1410</v>
      </c>
      <c r="Q8" s="1589" t="s">
        <v>1411</v>
      </c>
      <c r="R8" s="1589" t="s">
        <v>1412</v>
      </c>
      <c r="T8" s="1570" t="s">
        <v>22</v>
      </c>
      <c r="U8" s="1570" t="s">
        <v>1286</v>
      </c>
      <c r="V8" s="1570" t="s">
        <v>1287</v>
      </c>
      <c r="W8" s="1570" t="s">
        <v>1288</v>
      </c>
    </row>
    <row r="9" spans="3:23" ht="16.5">
      <c r="C9" s="1652" t="s">
        <v>1289</v>
      </c>
      <c r="D9" s="1653">
        <f>IFERROR(ABS(Indexador!$D$49)*'Tributos suprimento'!$C$41,0)</f>
        <v>356920.86616963765</v>
      </c>
      <c r="E9" s="1628">
        <f ca="1">IF(ISERROR(D9/$D$4),0,D9/$D$4)</f>
        <v>5.2296586696736636E-3</v>
      </c>
      <c r="F9" s="1616" t="s">
        <v>2233</v>
      </c>
      <c r="G9" s="1635" t="s">
        <v>2265</v>
      </c>
      <c r="H9" s="1617">
        <f>IFERROR(VLOOKUP(Financeiros[[#This Row],[Tipo]],RefTabTipo[],2,FALSE),0)</f>
        <v>22</v>
      </c>
      <c r="I9" s="1641">
        <f>IFERROR(VLOOKUP(Financeiros[[#This Row],[Tipo]],RefTabTipo[],3,FALSE),0)</f>
        <v>60</v>
      </c>
      <c r="J9" s="1618">
        <f>IFERROR(VLOOKUP(Financeiros[[#This Row],[Tipo]],RefTabTipo[],4,FALSE),0)</f>
        <v>999</v>
      </c>
      <c r="K9" s="1647">
        <f>IFERROR(VLOOKUP(Financeiros[[#This Row],[Grupo Tarifário]],RefTabGrupoTarifa[],2,FALSE),0)</f>
        <v>1</v>
      </c>
      <c r="L9" s="1617">
        <f>IFERROR(VLOOKUP(Financeiros[[#This Row],[Grupo Tarifário]],RefTabGrupoTarifa[],3,FALSE),0)</f>
        <v>7</v>
      </c>
      <c r="M9" s="1647">
        <f>IFERROR(VLOOKUP(Financeiros[[#This Row],[Grupo Tarifário]],RefTabGrupoTarifa[],4,FALSE),0)</f>
        <v>9</v>
      </c>
      <c r="O9" s="1590" t="s">
        <v>2226</v>
      </c>
      <c r="P9" s="1591">
        <v>22</v>
      </c>
      <c r="Q9" s="1591">
        <v>60</v>
      </c>
      <c r="R9" s="1592">
        <v>235</v>
      </c>
      <c r="T9" s="849" t="s">
        <v>2237</v>
      </c>
      <c r="U9" s="1462">
        <v>99</v>
      </c>
      <c r="V9" s="1462">
        <v>999</v>
      </c>
      <c r="W9" s="1462">
        <v>2</v>
      </c>
    </row>
    <row r="10" spans="3:23" ht="16.5">
      <c r="C10" s="1652" t="s">
        <v>2285</v>
      </c>
      <c r="D10" s="1653">
        <f ca="1">IFERROR(ABS(Indexador!$D$49)*'Tributos suprimento'!$D$41*H2,0)</f>
        <v>227536.58613992165</v>
      </c>
      <c r="E10" s="1628">
        <f ca="1">IF(ISERROR(D10/$D$4),0,D10/$D$4)</f>
        <v>3.3339005733809758E-3</v>
      </c>
      <c r="F10" s="1616" t="s">
        <v>2233</v>
      </c>
      <c r="G10" s="1635" t="s">
        <v>2253</v>
      </c>
      <c r="H10" s="1617">
        <f>IFERROR(VLOOKUP(Financeiros[[#This Row],[Tipo]],RefTabTipo[],2,FALSE),0)</f>
        <v>22</v>
      </c>
      <c r="I10" s="1641">
        <f>IFERROR(VLOOKUP(Financeiros[[#This Row],[Tipo]],RefTabTipo[],3,FALSE),0)</f>
        <v>60</v>
      </c>
      <c r="J10" s="1618">
        <f>IFERROR(VLOOKUP(Financeiros[[#This Row],[Tipo]],RefTabTipo[],4,FALSE),0)</f>
        <v>999</v>
      </c>
      <c r="K10" s="1647">
        <f>IFERROR(VLOOKUP(Financeiros[[#This Row],[Grupo Tarifário]],RefTabGrupoTarifa[],2,FALSE),0)</f>
        <v>2</v>
      </c>
      <c r="L10" s="1617">
        <f>IFERROR(VLOOKUP(Financeiros[[#This Row],[Grupo Tarifário]],RefTabGrupoTarifa[],3,FALSE),0)</f>
        <v>11</v>
      </c>
      <c r="M10" s="1647">
        <f>IFERROR(VLOOKUP(Financeiros[[#This Row],[Grupo Tarifário]],RefTabGrupoTarifa[],4,FALSE),0)</f>
        <v>9</v>
      </c>
      <c r="O10" s="1590" t="s">
        <v>2227</v>
      </c>
      <c r="P10" s="1591">
        <v>20</v>
      </c>
      <c r="Q10" s="1591">
        <v>60</v>
      </c>
      <c r="R10" s="1592">
        <v>234</v>
      </c>
      <c r="T10" s="849" t="s">
        <v>2238</v>
      </c>
      <c r="U10" s="1462">
        <v>99</v>
      </c>
      <c r="V10" s="1462">
        <v>999</v>
      </c>
      <c r="W10" s="1462">
        <v>1</v>
      </c>
    </row>
    <row r="11" spans="3:23" ht="16.5" hidden="1">
      <c r="C11" s="1652" t="s">
        <v>2286</v>
      </c>
      <c r="D11" s="1653">
        <f ca="1">IFERROR(ABS(Indexador!$D$49)*'Tributos suprimento'!$D$41*H3,0)</f>
        <v>0</v>
      </c>
      <c r="E11" s="1628">
        <f t="shared" ref="E11:E14" ca="1" si="0">IF(ISERROR(D11/$D$4),0,D11/$D$4)</f>
        <v>0</v>
      </c>
      <c r="F11" s="1616" t="s">
        <v>2233</v>
      </c>
      <c r="G11" s="1635" t="s">
        <v>2255</v>
      </c>
      <c r="H11" s="1617">
        <f>IFERROR(VLOOKUP(Financeiros[[#This Row],[Tipo]],RefTabTipo[],2,FALSE),0)</f>
        <v>22</v>
      </c>
      <c r="I11" s="1641">
        <f>IFERROR(VLOOKUP(Financeiros[[#This Row],[Tipo]],RefTabTipo[],3,FALSE),0)</f>
        <v>60</v>
      </c>
      <c r="J11" s="1618">
        <f>IFERROR(VLOOKUP(Financeiros[[#This Row],[Tipo]],RefTabTipo[],4,FALSE),0)</f>
        <v>999</v>
      </c>
      <c r="K11" s="1647">
        <f>IFERROR(VLOOKUP(Financeiros[[#This Row],[Grupo Tarifário]],RefTabGrupoTarifa[],2,FALSE),0)</f>
        <v>2</v>
      </c>
      <c r="L11" s="1617">
        <f>IFERROR(VLOOKUP(Financeiros[[#This Row],[Grupo Tarifário]],RefTabGrupoTarifa[],3,FALSE),0)</f>
        <v>9</v>
      </c>
      <c r="M11" s="1647">
        <f>IFERROR(VLOOKUP(Financeiros[[#This Row],[Grupo Tarifário]],RefTabGrupoTarifa[],4,FALSE),0)</f>
        <v>9</v>
      </c>
      <c r="O11" s="1590" t="s">
        <v>2228</v>
      </c>
      <c r="P11" s="1591">
        <v>22</v>
      </c>
      <c r="Q11" s="1591">
        <v>60</v>
      </c>
      <c r="R11" s="1592">
        <v>167</v>
      </c>
      <c r="T11" s="849" t="s">
        <v>2239</v>
      </c>
      <c r="U11" s="1462">
        <v>99</v>
      </c>
      <c r="V11" s="1462">
        <v>999</v>
      </c>
      <c r="W11" s="1462">
        <v>3</v>
      </c>
    </row>
    <row r="12" spans="3:23" ht="16.5">
      <c r="C12" s="1652" t="s">
        <v>2287</v>
      </c>
      <c r="D12" s="1653">
        <f ca="1">IFERROR(ABS(Indexador!$D$49)*'Tributos suprimento'!$D$41*H4,0)</f>
        <v>9893.436176571453</v>
      </c>
      <c r="E12" s="1628">
        <f t="shared" ca="1" si="0"/>
        <v>1.4496012751767578E-4</v>
      </c>
      <c r="F12" s="1616" t="s">
        <v>2233</v>
      </c>
      <c r="G12" s="1635" t="s">
        <v>2258</v>
      </c>
      <c r="H12" s="1617">
        <f>IFERROR(VLOOKUP(Financeiros[[#This Row],[Tipo]],RefTabTipo[],2,FALSE),0)</f>
        <v>22</v>
      </c>
      <c r="I12" s="1641">
        <f>IFERROR(VLOOKUP(Financeiros[[#This Row],[Tipo]],RefTabTipo[],3,FALSE),0)</f>
        <v>60</v>
      </c>
      <c r="J12" s="1618">
        <f>IFERROR(VLOOKUP(Financeiros[[#This Row],[Tipo]],RefTabTipo[],4,FALSE),0)</f>
        <v>999</v>
      </c>
      <c r="K12" s="1647">
        <f>IFERROR(VLOOKUP(Financeiros[[#This Row],[Grupo Tarifário]],RefTabGrupoTarifa[],2,FALSE),0)</f>
        <v>2</v>
      </c>
      <c r="L12" s="1617">
        <f>IFERROR(VLOOKUP(Financeiros[[#This Row],[Grupo Tarifário]],RefTabGrupoTarifa[],3,FALSE),0)</f>
        <v>8</v>
      </c>
      <c r="M12" s="1647">
        <f>IFERROR(VLOOKUP(Financeiros[[#This Row],[Grupo Tarifário]],RefTabGrupoTarifa[],4,FALSE),0)</f>
        <v>9</v>
      </c>
      <c r="O12" s="1590" t="s">
        <v>2229</v>
      </c>
      <c r="P12" s="1591">
        <v>22</v>
      </c>
      <c r="Q12" s="1591">
        <v>60</v>
      </c>
      <c r="R12" s="1592">
        <v>241</v>
      </c>
      <c r="T12" s="849" t="s">
        <v>2240</v>
      </c>
      <c r="U12" s="849">
        <v>3</v>
      </c>
      <c r="V12" s="849">
        <v>17</v>
      </c>
      <c r="W12" s="849">
        <v>9</v>
      </c>
    </row>
    <row r="13" spans="3:23" ht="16.5">
      <c r="C13" s="1652" t="s">
        <v>2288</v>
      </c>
      <c r="D13" s="1653">
        <f ca="1">IFERROR(ABS(Indexador!$D$49)*'Tributos suprimento'!$D$41*H5,0)</f>
        <v>328.34478087429096</v>
      </c>
      <c r="E13" s="1628">
        <f t="shared" ca="1" si="0"/>
        <v>4.810957533441644E-6</v>
      </c>
      <c r="F13" s="1616" t="s">
        <v>2233</v>
      </c>
      <c r="G13" s="1635" t="s">
        <v>2256</v>
      </c>
      <c r="H13" s="1617">
        <f>IFERROR(VLOOKUP(Financeiros[[#This Row],[Tipo]],RefTabTipo[],2,FALSE),0)</f>
        <v>22</v>
      </c>
      <c r="I13" s="1641">
        <f>IFERROR(VLOOKUP(Financeiros[[#This Row],[Tipo]],RefTabTipo[],3,FALSE),0)</f>
        <v>60</v>
      </c>
      <c r="J13" s="1618">
        <f>IFERROR(VLOOKUP(Financeiros[[#This Row],[Tipo]],RefTabTipo[],4,FALSE),0)</f>
        <v>999</v>
      </c>
      <c r="K13" s="1647">
        <f>IFERROR(VLOOKUP(Financeiros[[#This Row],[Grupo Tarifário]],RefTabGrupoTarifa[],2,FALSE),0)</f>
        <v>2</v>
      </c>
      <c r="L13" s="1617">
        <f>IFERROR(VLOOKUP(Financeiros[[#This Row],[Grupo Tarifário]],RefTabGrupoTarifa[],3,FALSE),0)</f>
        <v>10</v>
      </c>
      <c r="M13" s="1647">
        <f>IFERROR(VLOOKUP(Financeiros[[#This Row],[Grupo Tarifário]],RefTabGrupoTarifa[],4,FALSE),0)</f>
        <v>9</v>
      </c>
      <c r="O13" s="1590" t="s">
        <v>2230</v>
      </c>
      <c r="P13" s="1591">
        <v>22</v>
      </c>
      <c r="Q13" s="1591">
        <v>60</v>
      </c>
      <c r="R13" s="1592">
        <v>120</v>
      </c>
      <c r="T13" s="849" t="s">
        <v>2241</v>
      </c>
      <c r="U13" s="849">
        <v>3</v>
      </c>
      <c r="V13" s="849">
        <v>13</v>
      </c>
      <c r="W13" s="849">
        <v>9</v>
      </c>
    </row>
    <row r="14" spans="3:23" ht="16.5">
      <c r="C14" s="1652" t="s">
        <v>2289</v>
      </c>
      <c r="D14" s="1653">
        <f ca="1">IFERROR(ABS(Indexador!$D$49)*'Tributos suprimento'!$D$41*H6,0)</f>
        <v>7551.5169030875095</v>
      </c>
      <c r="E14" s="1628">
        <f t="shared" ca="1" si="0"/>
        <v>1.1064597109503003E-4</v>
      </c>
      <c r="F14" s="1616" t="s">
        <v>2233</v>
      </c>
      <c r="G14" s="1635" t="s">
        <v>2257</v>
      </c>
      <c r="H14" s="1617">
        <f>IFERROR(VLOOKUP(Financeiros[[#This Row],[Tipo]],RefTabTipo[],2,FALSE),0)</f>
        <v>22</v>
      </c>
      <c r="I14" s="1641">
        <f>IFERROR(VLOOKUP(Financeiros[[#This Row],[Tipo]],RefTabTipo[],3,FALSE),0)</f>
        <v>60</v>
      </c>
      <c r="J14" s="1618">
        <f>IFERROR(VLOOKUP(Financeiros[[#This Row],[Tipo]],RefTabTipo[],4,FALSE),0)</f>
        <v>999</v>
      </c>
      <c r="K14" s="1647">
        <f>IFERROR(VLOOKUP(Financeiros[[#This Row],[Grupo Tarifário]],RefTabGrupoTarifa[],2,FALSE),0)</f>
        <v>2</v>
      </c>
      <c r="L14" s="1617">
        <f>IFERROR(VLOOKUP(Financeiros[[#This Row],[Grupo Tarifário]],RefTabGrupoTarifa[],3,FALSE),0)</f>
        <v>24</v>
      </c>
      <c r="M14" s="1647">
        <f>IFERROR(VLOOKUP(Financeiros[[#This Row],[Grupo Tarifário]],RefTabGrupoTarifa[],4,FALSE),0)</f>
        <v>9</v>
      </c>
      <c r="O14" s="1590" t="s">
        <v>2231</v>
      </c>
      <c r="P14" s="1591">
        <v>22</v>
      </c>
      <c r="Q14" s="1591">
        <v>60</v>
      </c>
      <c r="R14" s="1592">
        <v>240</v>
      </c>
      <c r="T14" s="849" t="s">
        <v>2242</v>
      </c>
      <c r="U14" s="849">
        <v>3</v>
      </c>
      <c r="V14" s="849">
        <v>25</v>
      </c>
      <c r="W14" s="849">
        <v>9</v>
      </c>
    </row>
    <row r="15" spans="3:23" ht="16.5">
      <c r="C15" s="1623" t="str">
        <f>"(Neutralidade) "&amp;Encargos!L31</f>
        <v>(Neutralidade) TFSEE</v>
      </c>
      <c r="D15" s="1619">
        <f ca="1">Encargos!$M$31</f>
        <v>-537.79841689214891</v>
      </c>
      <c r="E15" s="1626">
        <f t="shared" ref="E15" ca="1" si="1">IF(ISERROR(D15/$D$4),0,D15/$D$4)</f>
        <v>-7.8799039787717804E-6</v>
      </c>
      <c r="F15" s="1620" t="s">
        <v>107</v>
      </c>
      <c r="G15" s="1633" t="s">
        <v>2252</v>
      </c>
      <c r="H15" s="1621">
        <f>IFERROR(VLOOKUP(Financeiros[[#This Row],[Tipo]],RefTabTipo[],2,FALSE),0)</f>
        <v>20</v>
      </c>
      <c r="I15" s="1639">
        <f>IFERROR(VLOOKUP(Financeiros[[#This Row],[Tipo]],RefTabTipo[],3,FALSE),0)</f>
        <v>60</v>
      </c>
      <c r="J15" s="1622">
        <f>IFERROR(VLOOKUP(Financeiros[[#This Row],[Tipo]],RefTabTipo[],4,FALSE),0)</f>
        <v>999</v>
      </c>
      <c r="K15" s="1646">
        <f>IFERROR(VLOOKUP(Financeiros[[#This Row],[Grupo Tarifário]],RefTabGrupoTarifa[],2,FALSE),0)</f>
        <v>3</v>
      </c>
      <c r="L15" s="1621">
        <f>IFERROR(VLOOKUP(Financeiros[[#This Row],[Grupo Tarifário]],RefTabGrupoTarifa[],3,FALSE),0)</f>
        <v>14</v>
      </c>
      <c r="M15" s="1646">
        <f>IFERROR(VLOOKUP(Financeiros[[#This Row],[Grupo Tarifário]],RefTabGrupoTarifa[],4,FALSE),0)</f>
        <v>9</v>
      </c>
      <c r="O15" s="1590" t="s">
        <v>2232</v>
      </c>
      <c r="P15" s="1591">
        <v>22</v>
      </c>
      <c r="Q15" s="1591">
        <v>60</v>
      </c>
      <c r="R15" s="1592">
        <v>179</v>
      </c>
      <c r="T15" s="849" t="s">
        <v>2243</v>
      </c>
      <c r="U15" s="849">
        <v>3</v>
      </c>
      <c r="V15" s="849">
        <v>15</v>
      </c>
      <c r="W15" s="849">
        <v>9</v>
      </c>
    </row>
    <row r="16" spans="3:23" ht="16.5">
      <c r="C16" s="1623" t="str">
        <f>"(Neutralidade) "&amp;Encargos!L32</f>
        <v>(Neutralidade) CDE</v>
      </c>
      <c r="D16" s="1619">
        <f ca="1">IFERROR(Encargos!$M$32,0)</f>
        <v>-89284.939796970168</v>
      </c>
      <c r="E16" s="1626">
        <f ca="1">IF(ISERROR(D16/$D$4),0,D16/$D$4)</f>
        <v>-1.3082164808447857E-3</v>
      </c>
      <c r="F16" s="1620" t="s">
        <v>107</v>
      </c>
      <c r="G16" s="1633" t="s">
        <v>2243</v>
      </c>
      <c r="H16" s="1621">
        <f>IFERROR(VLOOKUP(Financeiros[[#This Row],[Tipo]],RefTabTipo[],2,FALSE),0)</f>
        <v>20</v>
      </c>
      <c r="I16" s="1639">
        <f>IFERROR(VLOOKUP(Financeiros[[#This Row],[Tipo]],RefTabTipo[],3,FALSE),0)</f>
        <v>60</v>
      </c>
      <c r="J16" s="1622">
        <f>IFERROR(VLOOKUP(Financeiros[[#This Row],[Tipo]],RefTabTipo[],4,FALSE),0)</f>
        <v>999</v>
      </c>
      <c r="K16" s="1646">
        <f>IFERROR(VLOOKUP(Financeiros[[#This Row],[Grupo Tarifário]],RefTabGrupoTarifa[],2,FALSE),0)</f>
        <v>3</v>
      </c>
      <c r="L16" s="1621">
        <f>IFERROR(VLOOKUP(Financeiros[[#This Row],[Grupo Tarifário]],RefTabGrupoTarifa[],3,FALSE),0)</f>
        <v>15</v>
      </c>
      <c r="M16" s="1646">
        <f>IFERROR(VLOOKUP(Financeiros[[#This Row],[Grupo Tarifário]],RefTabGrupoTarifa[],4,FALSE),0)</f>
        <v>9</v>
      </c>
      <c r="O16" s="1590" t="s">
        <v>2233</v>
      </c>
      <c r="P16" s="1591">
        <v>22</v>
      </c>
      <c r="Q16" s="1591">
        <v>60</v>
      </c>
      <c r="R16" s="1592">
        <v>999</v>
      </c>
      <c r="T16" s="849" t="s">
        <v>2244</v>
      </c>
      <c r="U16" s="1462">
        <v>3</v>
      </c>
      <c r="V16" s="1462">
        <v>25</v>
      </c>
      <c r="W16" s="1462">
        <v>9</v>
      </c>
    </row>
    <row r="17" spans="3:23" ht="16.5" hidden="1">
      <c r="C17" s="1623" t="str">
        <f>"(Neutralidade) "&amp;Encargos!L33</f>
        <v>(Neutralidade) CFURH</v>
      </c>
      <c r="D17" s="1619">
        <f>Encargos!$M$33</f>
        <v>0</v>
      </c>
      <c r="E17" s="1626">
        <f t="shared" ref="E17" ca="1" si="2">IF(ISERROR(D17/$D$4),0,D17/$D$4)</f>
        <v>0</v>
      </c>
      <c r="F17" s="1620" t="s">
        <v>107</v>
      </c>
      <c r="G17" s="1633" t="s">
        <v>2247</v>
      </c>
      <c r="H17" s="1621">
        <f>IFERROR(VLOOKUP(Financeiros[[#This Row],[Tipo]],RefTabTipo[],2,FALSE),0)</f>
        <v>20</v>
      </c>
      <c r="I17" s="1639">
        <f>IFERROR(VLOOKUP(Financeiros[[#This Row],[Tipo]],RefTabTipo[],3,FALSE),0)</f>
        <v>60</v>
      </c>
      <c r="J17" s="1622">
        <f>IFERROR(VLOOKUP(Financeiros[[#This Row],[Tipo]],RefTabTipo[],4,FALSE),0)</f>
        <v>999</v>
      </c>
      <c r="K17" s="1646">
        <f>IFERROR(VLOOKUP(Financeiros[[#This Row],[Grupo Tarifário]],RefTabGrupoTarifa[],2,FALSE),0)</f>
        <v>3</v>
      </c>
      <c r="L17" s="1621">
        <f>IFERROR(VLOOKUP(Financeiros[[#This Row],[Grupo Tarifário]],RefTabGrupoTarifa[],3,FALSE),0)</f>
        <v>16</v>
      </c>
      <c r="M17" s="1646">
        <f>IFERROR(VLOOKUP(Financeiros[[#This Row],[Grupo Tarifário]],RefTabGrupoTarifa[],4,FALSE),0)</f>
        <v>9</v>
      </c>
      <c r="O17" s="1590" t="s">
        <v>107</v>
      </c>
      <c r="P17" s="1591">
        <v>20</v>
      </c>
      <c r="Q17" s="1591">
        <v>60</v>
      </c>
      <c r="R17" s="1592">
        <v>999</v>
      </c>
      <c r="T17" s="849" t="s">
        <v>2245</v>
      </c>
      <c r="U17" s="1462">
        <v>3</v>
      </c>
      <c r="V17" s="1462">
        <v>12</v>
      </c>
      <c r="W17" s="1462">
        <v>9</v>
      </c>
    </row>
    <row r="18" spans="3:23" ht="16.5">
      <c r="C18" s="1623" t="str">
        <f>"(Neutralidade) "&amp;Encargos!L34</f>
        <v>(Neutralidade) ESS/ERR</v>
      </c>
      <c r="D18" s="1619">
        <f ca="1">Encargos!$M$34</f>
        <v>-13683.049005881176</v>
      </c>
      <c r="E18" s="1626">
        <f t="shared" ref="E18:E20" ca="1" si="3">IF(ISERROR(D18/$D$4),0,D18/$D$4)</f>
        <v>-2.0048610950968077E-4</v>
      </c>
      <c r="F18" s="1620" t="s">
        <v>107</v>
      </c>
      <c r="G18" s="1633" t="s">
        <v>2240</v>
      </c>
      <c r="H18" s="1621">
        <f>IFERROR(VLOOKUP(Financeiros[[#This Row],[Tipo]],RefTabTipo[],2,FALSE),0)</f>
        <v>20</v>
      </c>
      <c r="I18" s="1639">
        <f>IFERROR(VLOOKUP(Financeiros[[#This Row],[Tipo]],RefTabTipo[],3,FALSE),0)</f>
        <v>60</v>
      </c>
      <c r="J18" s="1622">
        <f>IFERROR(VLOOKUP(Financeiros[[#This Row],[Tipo]],RefTabTipo[],4,FALSE),0)</f>
        <v>999</v>
      </c>
      <c r="K18" s="1646">
        <f>IFERROR(VLOOKUP(Financeiros[[#This Row],[Grupo Tarifário]],RefTabGrupoTarifa[],2,FALSE),0)</f>
        <v>3</v>
      </c>
      <c r="L18" s="1621">
        <f>IFERROR(VLOOKUP(Financeiros[[#This Row],[Grupo Tarifário]],RefTabGrupoTarifa[],3,FALSE),0)</f>
        <v>17</v>
      </c>
      <c r="M18" s="1646">
        <f>IFERROR(VLOOKUP(Financeiros[[#This Row],[Grupo Tarifário]],RefTabGrupoTarifa[],4,FALSE),0)</f>
        <v>9</v>
      </c>
      <c r="O18" s="1590" t="s">
        <v>2234</v>
      </c>
      <c r="P18" s="1591">
        <v>20</v>
      </c>
      <c r="Q18" s="1591">
        <v>60</v>
      </c>
      <c r="R18" s="1592">
        <v>179</v>
      </c>
      <c r="T18" s="849" t="s">
        <v>2246</v>
      </c>
      <c r="U18" s="1462">
        <v>3</v>
      </c>
      <c r="V18" s="1462">
        <v>28</v>
      </c>
      <c r="W18" s="1462">
        <v>9</v>
      </c>
    </row>
    <row r="19" spans="3:23" ht="16.5">
      <c r="C19" s="1623" t="str">
        <f>"(Neutralidade) "&amp;Encargos!L35</f>
        <v>(Neutralidade) PROINFA</v>
      </c>
      <c r="D19" s="1619">
        <f ca="1">Encargos!$M$35</f>
        <v>-16855.927409038261</v>
      </c>
      <c r="E19" s="1626">
        <f t="shared" ca="1" si="3"/>
        <v>-2.4697560514203872E-4</v>
      </c>
      <c r="F19" s="1620" t="s">
        <v>107</v>
      </c>
      <c r="G19" s="1633" t="s">
        <v>2250</v>
      </c>
      <c r="H19" s="1621">
        <f>IFERROR(VLOOKUP(Financeiros[[#This Row],[Tipo]],RefTabTipo[],2,FALSE),0)</f>
        <v>20</v>
      </c>
      <c r="I19" s="1639">
        <f>IFERROR(VLOOKUP(Financeiros[[#This Row],[Tipo]],RefTabTipo[],3,FALSE),0)</f>
        <v>60</v>
      </c>
      <c r="J19" s="1622">
        <f>IFERROR(VLOOKUP(Financeiros[[#This Row],[Tipo]],RefTabTipo[],4,FALSE),0)</f>
        <v>999</v>
      </c>
      <c r="K19" s="1646">
        <f>IFERROR(VLOOKUP(Financeiros[[#This Row],[Grupo Tarifário]],RefTabGrupoTarifa[],2,FALSE),0)</f>
        <v>3</v>
      </c>
      <c r="L19" s="1621">
        <f>IFERROR(VLOOKUP(Financeiros[[#This Row],[Grupo Tarifário]],RefTabGrupoTarifa[],3,FALSE),0)</f>
        <v>18</v>
      </c>
      <c r="M19" s="1646">
        <f>IFERROR(VLOOKUP(Financeiros[[#This Row],[Grupo Tarifário]],RefTabGrupoTarifa[],4,FALSE),0)</f>
        <v>9</v>
      </c>
      <c r="O19" s="68" t="s">
        <v>2274</v>
      </c>
      <c r="P19" s="1664">
        <v>22</v>
      </c>
      <c r="Q19" s="1664">
        <v>60</v>
      </c>
      <c r="R19" s="1664">
        <v>220</v>
      </c>
      <c r="T19" s="849" t="s">
        <v>2247</v>
      </c>
      <c r="U19" s="849">
        <v>3</v>
      </c>
      <c r="V19" s="849">
        <v>16</v>
      </c>
      <c r="W19" s="849">
        <v>9</v>
      </c>
    </row>
    <row r="20" spans="3:23" ht="16.5">
      <c r="C20" s="1623" t="str">
        <f>"(Neutralidade) "&amp;Encargos!L36</f>
        <v>(Neutralidade) CDE COVID</v>
      </c>
      <c r="D20" s="1619">
        <f ca="1">Encargos!$M$36</f>
        <v>-17026.32732051827</v>
      </c>
      <c r="E20" s="1626">
        <f t="shared" ca="1" si="3"/>
        <v>-2.4947233049168392E-4</v>
      </c>
      <c r="F20" s="1620" t="s">
        <v>107</v>
      </c>
      <c r="G20" s="1633" t="s">
        <v>2245</v>
      </c>
      <c r="H20" s="1621">
        <f>IFERROR(VLOOKUP(Financeiros[[#This Row],[Tipo]],RefTabTipo[],2,FALSE),0)</f>
        <v>20</v>
      </c>
      <c r="I20" s="1639">
        <f>IFERROR(VLOOKUP(Financeiros[[#This Row],[Tipo]],RefTabTipo[],3,FALSE),0)</f>
        <v>60</v>
      </c>
      <c r="J20" s="1622">
        <f>IFERROR(VLOOKUP(Financeiros[[#This Row],[Tipo]],RefTabTipo[],4,FALSE),0)</f>
        <v>999</v>
      </c>
      <c r="K20" s="1646">
        <f>IFERROR(VLOOKUP(Financeiros[[#This Row],[Grupo Tarifário]],RefTabGrupoTarifa[],2,FALSE),0)</f>
        <v>3</v>
      </c>
      <c r="L20" s="1621">
        <f>IFERROR(VLOOKUP(Financeiros[[#This Row],[Grupo Tarifário]],RefTabGrupoTarifa[],3,FALSE),0)</f>
        <v>12</v>
      </c>
      <c r="M20" s="1646">
        <f>IFERROR(VLOOKUP(Financeiros[[#This Row],[Grupo Tarifário]],RefTabGrupoTarifa[],4,FALSE),0)</f>
        <v>9</v>
      </c>
      <c r="O20" s="1665" t="s">
        <v>2235</v>
      </c>
      <c r="P20" s="1666">
        <v>22</v>
      </c>
      <c r="Q20" s="1666">
        <v>60</v>
      </c>
      <c r="R20" s="1666">
        <v>178</v>
      </c>
      <c r="T20" s="849" t="s">
        <v>2248</v>
      </c>
      <c r="U20" s="849">
        <v>3</v>
      </c>
      <c r="V20" s="849">
        <v>20</v>
      </c>
      <c r="W20" s="849">
        <v>9</v>
      </c>
    </row>
    <row r="21" spans="3:23" ht="16.5" hidden="1">
      <c r="C21" s="1623" t="str">
        <f>"(Neutralidade) "&amp;Encargos!L37</f>
        <v>(Neutralidade) P&amp;D</v>
      </c>
      <c r="D21" s="1619">
        <f ca="1">Encargos!$M$37</f>
        <v>0</v>
      </c>
      <c r="E21" s="1626">
        <f t="shared" ref="E21:E23" ca="1" si="4">IF(ISERROR(D21/$D$4),0,D21/$D$4)</f>
        <v>0</v>
      </c>
      <c r="F21" s="1620" t="s">
        <v>107</v>
      </c>
      <c r="G21" s="1633" t="s">
        <v>2249</v>
      </c>
      <c r="H21" s="1621">
        <f>IFERROR(VLOOKUP(Financeiros[[#This Row],[Tipo]],RefTabTipo[],2,FALSE),0)</f>
        <v>20</v>
      </c>
      <c r="I21" s="1639">
        <f>IFERROR(VLOOKUP(Financeiros[[#This Row],[Tipo]],RefTabTipo[],3,FALSE),0)</f>
        <v>60</v>
      </c>
      <c r="J21" s="1622">
        <f>IFERROR(VLOOKUP(Financeiros[[#This Row],[Tipo]],RefTabTipo[],4,FALSE),0)</f>
        <v>999</v>
      </c>
      <c r="K21" s="1646">
        <f>IFERROR(VLOOKUP(Financeiros[[#This Row],[Grupo Tarifário]],RefTabGrupoTarifa[],2,FALSE),0)</f>
        <v>3</v>
      </c>
      <c r="L21" s="1621">
        <f>IFERROR(VLOOKUP(Financeiros[[#This Row],[Grupo Tarifário]],RefTabGrupoTarifa[],3,FALSE),0)</f>
        <v>19</v>
      </c>
      <c r="M21" s="1646">
        <f>IFERROR(VLOOKUP(Financeiros[[#This Row],[Grupo Tarifário]],RefTabGrupoTarifa[],4,FALSE),0)</f>
        <v>9</v>
      </c>
      <c r="O21" s="1665" t="s">
        <v>1307</v>
      </c>
      <c r="P21" s="1666">
        <v>22</v>
      </c>
      <c r="Q21" s="1666">
        <v>62</v>
      </c>
      <c r="R21" s="1666">
        <v>220</v>
      </c>
      <c r="T21" s="849" t="s">
        <v>2249</v>
      </c>
      <c r="U21" s="849">
        <v>3</v>
      </c>
      <c r="V21" s="849">
        <v>19</v>
      </c>
      <c r="W21" s="849">
        <v>9</v>
      </c>
    </row>
    <row r="22" spans="3:23" ht="16.5">
      <c r="C22" s="1623" t="str">
        <f>"(Neutralidade)" &amp; Encargos!L41</f>
        <v>(Neutralidade)Financeiro Covid</v>
      </c>
      <c r="D22" s="1619">
        <f ca="1">Encargos!$M$41</f>
        <v>45172.198439775719</v>
      </c>
      <c r="E22" s="1626">
        <f t="shared" ca="1" si="4"/>
        <v>6.6186990335979445E-4</v>
      </c>
      <c r="F22" s="1620" t="s">
        <v>107</v>
      </c>
      <c r="G22" s="1633" t="s">
        <v>104</v>
      </c>
      <c r="H22" s="1621">
        <f>IFERROR(VLOOKUP(Financeiros[[#This Row],[Tipo]],RefTabTipo[],2,FALSE),0)</f>
        <v>20</v>
      </c>
      <c r="I22" s="1639">
        <f>IFERROR(VLOOKUP(Financeiros[[#This Row],[Tipo]],RefTabTipo[],3,FALSE),0)</f>
        <v>60</v>
      </c>
      <c r="J22" s="1622">
        <f>IFERROR(VLOOKUP(Financeiros[[#This Row],[Tipo]],RefTabTipo[],4,FALSE),0)</f>
        <v>999</v>
      </c>
      <c r="K22" s="1646">
        <f>IFERROR(VLOOKUP(Financeiros[[#This Row],[Grupo Tarifário]],RefTabGrupoTarifa[],2,FALSE),0)</f>
        <v>4</v>
      </c>
      <c r="L22" s="1621">
        <f>IFERROR(VLOOKUP(Financeiros[[#This Row],[Grupo Tarifário]],RefTabGrupoTarifa[],3,FALSE),0)</f>
        <v>999</v>
      </c>
      <c r="M22" s="1646">
        <f>IFERROR(VLOOKUP(Financeiros[[#This Row],[Grupo Tarifário]],RefTabGrupoTarifa[],4,FALSE),0)</f>
        <v>9</v>
      </c>
      <c r="O22" s="1590" t="s">
        <v>2236</v>
      </c>
      <c r="P22" s="1593">
        <v>22</v>
      </c>
      <c r="Q22" s="1593">
        <v>60</v>
      </c>
      <c r="R22" s="1593">
        <v>106</v>
      </c>
      <c r="T22" s="849" t="s">
        <v>2250</v>
      </c>
      <c r="U22" s="849">
        <v>3</v>
      </c>
      <c r="V22" s="849">
        <v>18</v>
      </c>
      <c r="W22" s="849">
        <v>9</v>
      </c>
    </row>
    <row r="23" spans="3:23" ht="16.5" hidden="1">
      <c r="C23" s="1623" t="str">
        <f>"(Neutralidade)" &amp; Encargos!L42</f>
        <v>(Neutralidade)Crédito Pis Cofins</v>
      </c>
      <c r="D23" s="1619">
        <f ca="1">Encargos!$M$42</f>
        <v>0</v>
      </c>
      <c r="E23" s="1626">
        <f t="shared" ca="1" si="4"/>
        <v>0</v>
      </c>
      <c r="F23" s="1620" t="s">
        <v>2234</v>
      </c>
      <c r="G23" s="1633" t="s">
        <v>2239</v>
      </c>
      <c r="H23" s="1621">
        <f>IFERROR(VLOOKUP(Financeiros[[#This Row],[Tipo]],RefTabTipo[],2,FALSE),0)</f>
        <v>20</v>
      </c>
      <c r="I23" s="1639">
        <f>IFERROR(VLOOKUP(Financeiros[[#This Row],[Tipo]],RefTabTipo[],3,FALSE),0)</f>
        <v>60</v>
      </c>
      <c r="J23" s="1622">
        <f>IFERROR(VLOOKUP(Financeiros[[#This Row],[Tipo]],RefTabTipo[],4,FALSE),0)</f>
        <v>179</v>
      </c>
      <c r="K23" s="1646">
        <f>IFERROR(VLOOKUP(Financeiros[[#This Row],[Grupo Tarifário]],RefTabGrupoTarifa[],2,FALSE),0)</f>
        <v>99</v>
      </c>
      <c r="L23" s="1621">
        <f>IFERROR(VLOOKUP(Financeiros[[#This Row],[Grupo Tarifário]],RefTabGrupoTarifa[],3,FALSE),0)</f>
        <v>999</v>
      </c>
      <c r="M23" s="1646">
        <f>IFERROR(VLOOKUP(Financeiros[[#This Row],[Grupo Tarifário]],RefTabGrupoTarifa[],4,FALSE),0)</f>
        <v>3</v>
      </c>
      <c r="O23" s="68" t="s">
        <v>2397</v>
      </c>
      <c r="P23" s="68">
        <v>22</v>
      </c>
      <c r="Q23" s="68">
        <v>60</v>
      </c>
      <c r="R23" s="68">
        <v>242</v>
      </c>
      <c r="T23" s="849" t="s">
        <v>2251</v>
      </c>
      <c r="U23" s="849">
        <v>3</v>
      </c>
      <c r="V23" s="849">
        <v>12</v>
      </c>
      <c r="W23" s="849">
        <v>9</v>
      </c>
    </row>
    <row r="24" spans="3:23" ht="16.5" hidden="1">
      <c r="C24" s="1654" t="s">
        <v>1291</v>
      </c>
      <c r="D24" s="1655">
        <f>IFERROR((Indexador!J49+Indexador!P49)*Resultado!D25/(Resultado!D25+Resultado!D26),0)</f>
        <v>0</v>
      </c>
      <c r="E24" s="1656">
        <f ca="1">IF(ISERROR(D24/$D$4),0,D24/$D$4)</f>
        <v>0</v>
      </c>
      <c r="F24" s="1657" t="s">
        <v>2233</v>
      </c>
      <c r="G24" s="1658" t="s">
        <v>2268</v>
      </c>
      <c r="H24" s="1659">
        <f>IFERROR(VLOOKUP(Financeiros[[#This Row],[Tipo]],RefTabTipo[],2,FALSE),0)</f>
        <v>22</v>
      </c>
      <c r="I24" s="1660">
        <f>IFERROR(VLOOKUP(Financeiros[[#This Row],[Tipo]],RefTabTipo[],3,FALSE),0)</f>
        <v>60</v>
      </c>
      <c r="J24" s="1661">
        <f>IFERROR(VLOOKUP(Financeiros[[#This Row],[Tipo]],RefTabTipo[],4,FALSE),0)</f>
        <v>999</v>
      </c>
      <c r="K24" s="1662">
        <f>IFERROR(VLOOKUP(Financeiros[[#This Row],[Grupo Tarifário]],RefTabGrupoTarifa[],2,FALSE),0)</f>
        <v>1</v>
      </c>
      <c r="L24" s="1659">
        <f>IFERROR(VLOOKUP(Financeiros[[#This Row],[Grupo Tarifário]],RefTabGrupoTarifa[],3,FALSE),0)</f>
        <v>1</v>
      </c>
      <c r="M24" s="1662">
        <f>IFERROR(VLOOKUP(Financeiros[[#This Row],[Grupo Tarifário]],RefTabGrupoTarifa[],4,FALSE),0)</f>
        <v>9</v>
      </c>
      <c r="O24" s="68" t="s">
        <v>2398</v>
      </c>
      <c r="P24" s="68">
        <v>22</v>
      </c>
      <c r="Q24" s="68">
        <v>60</v>
      </c>
      <c r="R24" s="68">
        <v>102</v>
      </c>
      <c r="T24" s="849" t="s">
        <v>2252</v>
      </c>
      <c r="U24" s="849">
        <v>3</v>
      </c>
      <c r="V24" s="849">
        <v>14</v>
      </c>
      <c r="W24" s="849">
        <v>9</v>
      </c>
    </row>
    <row r="25" spans="3:23" ht="16.5" hidden="1">
      <c r="C25" s="1654" t="s">
        <v>1292</v>
      </c>
      <c r="D25" s="1655">
        <f>IFERROR((Indexador!J49+Indexador!P49)*Resultado!D26/(Resultado!D25+Resultado!D26),0)</f>
        <v>0</v>
      </c>
      <c r="E25" s="1656">
        <f ca="1">IF(ISERROR(D25/$D$4),0,D25/$D$4)</f>
        <v>0</v>
      </c>
      <c r="F25" s="1657" t="s">
        <v>2233</v>
      </c>
      <c r="G25" s="1658" t="s">
        <v>2267</v>
      </c>
      <c r="H25" s="1659">
        <f>IFERROR(VLOOKUP(Financeiros[[#This Row],[Tipo]],RefTabTipo[],2,FALSE),0)</f>
        <v>22</v>
      </c>
      <c r="I25" s="1660">
        <f>IFERROR(VLOOKUP(Financeiros[[#This Row],[Tipo]],RefTabTipo[],3,FALSE),0)</f>
        <v>60</v>
      </c>
      <c r="J25" s="1661">
        <f>IFERROR(VLOOKUP(Financeiros[[#This Row],[Tipo]],RefTabTipo[],4,FALSE),0)</f>
        <v>999</v>
      </c>
      <c r="K25" s="1662">
        <f>IFERROR(VLOOKUP(Financeiros[[#This Row],[Grupo Tarifário]],RefTabGrupoTarifa[],2,FALSE),0)</f>
        <v>1</v>
      </c>
      <c r="L25" s="1659">
        <f>IFERROR(VLOOKUP(Financeiros[[#This Row],[Grupo Tarifário]],RefTabGrupoTarifa[],3,FALSE),0)</f>
        <v>2</v>
      </c>
      <c r="M25" s="1662">
        <f>IFERROR(VLOOKUP(Financeiros[[#This Row],[Grupo Tarifário]],RefTabGrupoTarifa[],4,FALSE),0)</f>
        <v>9</v>
      </c>
      <c r="T25" s="849" t="s">
        <v>2253</v>
      </c>
      <c r="U25" s="849">
        <v>2</v>
      </c>
      <c r="V25" s="849">
        <v>11</v>
      </c>
      <c r="W25" s="849">
        <v>9</v>
      </c>
    </row>
    <row r="26" spans="3:23" ht="16.5" hidden="1">
      <c r="C26" s="1667" t="s">
        <v>1293</v>
      </c>
      <c r="D26" s="1668">
        <v>0</v>
      </c>
      <c r="E26" s="1630">
        <f t="shared" ref="E26:E27" ca="1" si="5">IF(ISERROR(D26/$D$4),0,D26/$D$4)</f>
        <v>0</v>
      </c>
      <c r="F26" s="1610" t="s">
        <v>2228</v>
      </c>
      <c r="G26" s="1637" t="s">
        <v>104</v>
      </c>
      <c r="H26" s="1611">
        <f>IFERROR(VLOOKUP(Financeiros[[#This Row],[Tipo]],RefTabTipo[],2,FALSE),0)</f>
        <v>22</v>
      </c>
      <c r="I26" s="1643">
        <f>IFERROR(VLOOKUP(Financeiros[[#This Row],[Tipo]],RefTabTipo[],3,FALSE),0)</f>
        <v>60</v>
      </c>
      <c r="J26" s="1612">
        <f>IFERROR(VLOOKUP(Financeiros[[#This Row],[Tipo]],RefTabTipo[],4,FALSE),0)</f>
        <v>167</v>
      </c>
      <c r="K26" s="1649">
        <f>IFERROR(VLOOKUP(Financeiros[[#This Row],[Grupo Tarifário]],RefTabGrupoTarifa[],2,FALSE),0)</f>
        <v>4</v>
      </c>
      <c r="L26" s="1611">
        <f>IFERROR(VLOOKUP(Financeiros[[#This Row],[Grupo Tarifário]],RefTabGrupoTarifa[],3,FALSE),0)</f>
        <v>999</v>
      </c>
      <c r="M26" s="1649">
        <f>IFERROR(VLOOKUP(Financeiros[[#This Row],[Grupo Tarifário]],RefTabGrupoTarifa[],4,FALSE),0)</f>
        <v>9</v>
      </c>
      <c r="T26" s="849" t="s">
        <v>2254</v>
      </c>
      <c r="U26" s="849">
        <v>2</v>
      </c>
      <c r="V26" s="849">
        <v>30</v>
      </c>
      <c r="W26" s="849">
        <v>9</v>
      </c>
    </row>
    <row r="27" spans="3:23" ht="16.5" hidden="1">
      <c r="C27" s="1667" t="s">
        <v>2069</v>
      </c>
      <c r="D27" s="1668"/>
      <c r="E27" s="1630">
        <f t="shared" ca="1" si="5"/>
        <v>0</v>
      </c>
      <c r="F27" s="1610" t="s">
        <v>2233</v>
      </c>
      <c r="G27" s="1637" t="s">
        <v>2246</v>
      </c>
      <c r="H27" s="1611">
        <f>IFERROR(VLOOKUP(Financeiros[[#This Row],[Tipo]],RefTabTipo[],2,FALSE),0)</f>
        <v>22</v>
      </c>
      <c r="I27" s="1643">
        <f>IFERROR(VLOOKUP(Financeiros[[#This Row],[Tipo]],RefTabTipo[],3,FALSE),0)</f>
        <v>60</v>
      </c>
      <c r="J27" s="1612">
        <f>IFERROR(VLOOKUP(Financeiros[[#This Row],[Tipo]],RefTabTipo[],4,FALSE),0)</f>
        <v>999</v>
      </c>
      <c r="K27" s="1649">
        <f>IFERROR(VLOOKUP(Financeiros[[#This Row],[Grupo Tarifário]],RefTabGrupoTarifa[],2,FALSE),0)</f>
        <v>3</v>
      </c>
      <c r="L27" s="1611">
        <f>IFERROR(VLOOKUP(Financeiros[[#This Row],[Grupo Tarifário]],RefTabGrupoTarifa[],3,FALSE),0)</f>
        <v>28</v>
      </c>
      <c r="M27" s="1649">
        <f>IFERROR(VLOOKUP(Financeiros[[#This Row],[Grupo Tarifário]],RefTabGrupoTarifa[],4,FALSE),0)</f>
        <v>9</v>
      </c>
      <c r="T27" s="849" t="s">
        <v>2255</v>
      </c>
      <c r="U27" s="849">
        <v>2</v>
      </c>
      <c r="V27" s="849">
        <v>9</v>
      </c>
      <c r="W27" s="849">
        <v>9</v>
      </c>
    </row>
    <row r="28" spans="3:23" ht="16.5" hidden="1">
      <c r="C28" s="1624" t="s">
        <v>2047</v>
      </c>
      <c r="D28" s="1452"/>
      <c r="E28" s="1627">
        <f ca="1">IF(ISERROR(D28/$D$4),0,D28/$D$4)</f>
        <v>0</v>
      </c>
      <c r="F28" s="1604" t="s">
        <v>2233</v>
      </c>
      <c r="G28" s="1634" t="s">
        <v>2254</v>
      </c>
      <c r="H28" s="1609">
        <f>IFERROR(VLOOKUP(Financeiros[[#This Row],[Tipo]],RefTabTipo[],2,FALSE),0)</f>
        <v>22</v>
      </c>
      <c r="I28" s="1640">
        <f>IFERROR(VLOOKUP(Financeiros[[#This Row],[Tipo]],RefTabTipo[],3,FALSE),0)</f>
        <v>60</v>
      </c>
      <c r="J28" s="1609">
        <f>IFERROR(VLOOKUP(Financeiros[[#This Row],[Tipo]],RefTabTipo[],4,FALSE),0)</f>
        <v>999</v>
      </c>
      <c r="K28" s="1640">
        <f>IFERROR(VLOOKUP(Financeiros[[#This Row],[Grupo Tarifário]],RefTabGrupoTarifa[],2,FALSE),0)</f>
        <v>2</v>
      </c>
      <c r="L28" s="1609">
        <f>IFERROR(VLOOKUP(Financeiros[[#This Row],[Grupo Tarifário]],RefTabGrupoTarifa[],3,FALSE),0)</f>
        <v>30</v>
      </c>
      <c r="M28" s="1640">
        <f>IFERROR(VLOOKUP(Financeiros[[#This Row],[Grupo Tarifário]],RefTabGrupoTarifa[],4,FALSE),0)</f>
        <v>9</v>
      </c>
      <c r="T28" s="849" t="s">
        <v>2256</v>
      </c>
      <c r="U28" s="849">
        <v>2</v>
      </c>
      <c r="V28" s="849">
        <v>10</v>
      </c>
      <c r="W28" s="849">
        <v>9</v>
      </c>
    </row>
    <row r="29" spans="3:23" ht="16.5" hidden="1">
      <c r="C29" s="1625" t="s">
        <v>1294</v>
      </c>
      <c r="D29" s="1452">
        <f>(Indexador!H49)</f>
        <v>0</v>
      </c>
      <c r="E29" s="1627">
        <f t="shared" ref="E29" ca="1" si="6">IF(ISERROR(D29/$D$4),0,D29/$D$4)</f>
        <v>0</v>
      </c>
      <c r="F29" s="1676" t="s">
        <v>2235</v>
      </c>
      <c r="G29" s="1677" t="s">
        <v>2265</v>
      </c>
      <c r="H29" s="1678">
        <f>IFERROR(VLOOKUP(Financeiros[[#This Row],[Tipo]],RefTabTipo[],2,FALSE),0)</f>
        <v>22</v>
      </c>
      <c r="I29" s="1640">
        <f>IFERROR(VLOOKUP(Financeiros[[#This Row],[Tipo]],RefTabTipo[],3,FALSE),0)</f>
        <v>60</v>
      </c>
      <c r="J29" s="1609">
        <f>IFERROR(VLOOKUP(Financeiros[[#This Row],[Tipo]],RefTabTipo[],4,FALSE),0)</f>
        <v>178</v>
      </c>
      <c r="K29" s="1679">
        <f>IFERROR(VLOOKUP(Financeiros[[#This Row],[Grupo Tarifário]],RefTabGrupoTarifa[],2,FALSE),0)</f>
        <v>1</v>
      </c>
      <c r="L29" s="1678">
        <f>IFERROR(VLOOKUP(Financeiros[[#This Row],[Grupo Tarifário]],RefTabGrupoTarifa[],3,FALSE),0)</f>
        <v>7</v>
      </c>
      <c r="M29" s="1679">
        <f>IFERROR(VLOOKUP(Financeiros[[#This Row],[Grupo Tarifário]],RefTabGrupoTarifa[],4,FALSE),0)</f>
        <v>9</v>
      </c>
      <c r="T29" s="849" t="s">
        <v>2257</v>
      </c>
      <c r="U29" s="849">
        <v>2</v>
      </c>
      <c r="V29" s="849">
        <v>24</v>
      </c>
      <c r="W29" s="849">
        <v>9</v>
      </c>
    </row>
    <row r="30" spans="3:23" ht="16.5" hidden="1">
      <c r="C30" s="1625" t="s">
        <v>1295</v>
      </c>
      <c r="D30" s="1452">
        <f ca="1">-LnkTXTISubvencaoPB</f>
        <v>0</v>
      </c>
      <c r="E30" s="1627">
        <f ca="1">IF(ISERROR(D30/$D$4),0,D30/$D$4)</f>
        <v>0</v>
      </c>
      <c r="F30" s="1676" t="s">
        <v>2397</v>
      </c>
      <c r="G30" s="1677" t="s">
        <v>104</v>
      </c>
      <c r="H30" s="1678">
        <f>IFERROR(VLOOKUP(Financeiros[[#This Row],[Tipo]],RefTabTipo[],2,FALSE),0)</f>
        <v>22</v>
      </c>
      <c r="I30" s="1640">
        <f>IFERROR(VLOOKUP(Financeiros[[#This Row],[Tipo]],RefTabTipo[],3,FALSE),0)</f>
        <v>60</v>
      </c>
      <c r="J30" s="1609">
        <f>IFERROR(VLOOKUP(Financeiros[[#This Row],[Tipo]],RefTabTipo[],4,FALSE),0)</f>
        <v>242</v>
      </c>
      <c r="K30" s="1679">
        <f>IFERROR(VLOOKUP(Financeiros[[#This Row],[Grupo Tarifário]],RefTabGrupoTarifa[],2,FALSE),0)</f>
        <v>4</v>
      </c>
      <c r="L30" s="1678">
        <f>IFERROR(VLOOKUP(Financeiros[[#This Row],[Grupo Tarifário]],RefTabGrupoTarifa[],3,FALSE),0)</f>
        <v>999</v>
      </c>
      <c r="M30" s="1679">
        <f>IFERROR(VLOOKUP(Financeiros[[#This Row],[Grupo Tarifário]],RefTabGrupoTarifa[],4,FALSE),0)</f>
        <v>9</v>
      </c>
      <c r="T30" s="849" t="s">
        <v>2258</v>
      </c>
      <c r="U30" s="849">
        <v>2</v>
      </c>
      <c r="V30" s="849">
        <v>8</v>
      </c>
      <c r="W30" s="849">
        <v>9</v>
      </c>
    </row>
    <row r="31" spans="3:23" ht="16.5" hidden="1">
      <c r="C31" s="1624" t="s">
        <v>1296</v>
      </c>
      <c r="D31" s="1452">
        <f>IFERROR(-ABS(Indexador!$L$49),0)</f>
        <v>0</v>
      </c>
      <c r="E31" s="1627">
        <f t="shared" ref="E31:E32" ca="1" si="7">IF(ISERROR(D31/$D$4),0,D31/$D$4)</f>
        <v>0</v>
      </c>
      <c r="F31" s="1676" t="s">
        <v>2233</v>
      </c>
      <c r="G31" s="1677" t="s">
        <v>2254</v>
      </c>
      <c r="H31" s="1678">
        <f>IFERROR(VLOOKUP(Financeiros[[#This Row],[Tipo]],RefTabTipo[],2,FALSE),0)</f>
        <v>22</v>
      </c>
      <c r="I31" s="1640">
        <f>IFERROR(VLOOKUP(Financeiros[[#This Row],[Tipo]],RefTabTipo[],3,FALSE),0)</f>
        <v>60</v>
      </c>
      <c r="J31" s="1609">
        <f>IFERROR(VLOOKUP(Financeiros[[#This Row],[Tipo]],RefTabTipo[],4,FALSE),0)</f>
        <v>999</v>
      </c>
      <c r="K31" s="1679">
        <f>IFERROR(VLOOKUP(Financeiros[[#This Row],[Grupo Tarifário]],RefTabGrupoTarifa[],2,FALSE),0)</f>
        <v>2</v>
      </c>
      <c r="L31" s="1678">
        <f>IFERROR(VLOOKUP(Financeiros[[#This Row],[Grupo Tarifário]],RefTabGrupoTarifa[],3,FALSE),0)</f>
        <v>30</v>
      </c>
      <c r="M31" s="1679">
        <f>IFERROR(VLOOKUP(Financeiros[[#This Row],[Grupo Tarifário]],RefTabGrupoTarifa[],4,FALSE),0)</f>
        <v>9</v>
      </c>
      <c r="N31" s="92"/>
      <c r="T31" s="849" t="s">
        <v>2259</v>
      </c>
      <c r="U31" s="849">
        <v>3</v>
      </c>
      <c r="V31" s="849">
        <v>40</v>
      </c>
      <c r="W31" s="849">
        <v>9</v>
      </c>
    </row>
    <row r="32" spans="3:23" ht="16.5" hidden="1">
      <c r="C32" s="1624" t="s">
        <v>1297</v>
      </c>
      <c r="D32" s="1452"/>
      <c r="E32" s="1627">
        <f t="shared" ca="1" si="7"/>
        <v>0</v>
      </c>
      <c r="F32" s="1676" t="s">
        <v>2230</v>
      </c>
      <c r="G32" s="1677" t="s">
        <v>104</v>
      </c>
      <c r="H32" s="1678">
        <f>IFERROR(VLOOKUP(Financeiros[[#This Row],[Tipo]],RefTabTipo[],2,FALSE),0)</f>
        <v>22</v>
      </c>
      <c r="I32" s="1640">
        <f>IFERROR(VLOOKUP(Financeiros[[#This Row],[Tipo]],RefTabTipo[],3,FALSE),0)</f>
        <v>60</v>
      </c>
      <c r="J32" s="1609">
        <f>IFERROR(VLOOKUP(Financeiros[[#This Row],[Tipo]],RefTabTipo[],4,FALSE),0)</f>
        <v>120</v>
      </c>
      <c r="K32" s="1679">
        <f>IFERROR(VLOOKUP(Financeiros[[#This Row],[Grupo Tarifário]],RefTabGrupoTarifa[],2,FALSE),0)</f>
        <v>4</v>
      </c>
      <c r="L32" s="1678">
        <f>IFERROR(VLOOKUP(Financeiros[[#This Row],[Grupo Tarifário]],RefTabGrupoTarifa[],3,FALSE),0)</f>
        <v>999</v>
      </c>
      <c r="M32" s="1679">
        <f>IFERROR(VLOOKUP(Financeiros[[#This Row],[Grupo Tarifário]],RefTabGrupoTarifa[],4,FALSE),0)</f>
        <v>9</v>
      </c>
      <c r="N32" s="92"/>
      <c r="T32" s="849" t="s">
        <v>104</v>
      </c>
      <c r="U32" s="849">
        <v>4</v>
      </c>
      <c r="V32" s="849">
        <v>999</v>
      </c>
      <c r="W32" s="849">
        <v>9</v>
      </c>
    </row>
    <row r="33" spans="3:23" ht="16.5" hidden="1">
      <c r="C33" s="1625" t="s">
        <v>1298</v>
      </c>
      <c r="D33" s="1452">
        <f>'Tributos suprimento'!$E$18</f>
        <v>0</v>
      </c>
      <c r="E33" s="1627">
        <f ca="1">IF(ISERROR(D33/$D$4),0,D33/$D$4)</f>
        <v>0</v>
      </c>
      <c r="F33" s="1676" t="s">
        <v>2233</v>
      </c>
      <c r="G33" s="1677" t="s">
        <v>2265</v>
      </c>
      <c r="H33" s="1678">
        <f>IFERROR(VLOOKUP(Financeiros[[#This Row],[Tipo]],RefTabTipo[],2,FALSE),0)</f>
        <v>22</v>
      </c>
      <c r="I33" s="1640">
        <f>IFERROR(VLOOKUP(Financeiros[[#This Row],[Tipo]],RefTabTipo[],3,FALSE),0)</f>
        <v>60</v>
      </c>
      <c r="J33" s="1609">
        <f>IFERROR(VLOOKUP(Financeiros[[#This Row],[Tipo]],RefTabTipo[],4,FALSE),0)</f>
        <v>999</v>
      </c>
      <c r="K33" s="1679">
        <f>IFERROR(VLOOKUP(Financeiros[[#This Row],[Grupo Tarifário]],RefTabGrupoTarifa[],2,FALSE),0)</f>
        <v>1</v>
      </c>
      <c r="L33" s="1678">
        <f>IFERROR(VLOOKUP(Financeiros[[#This Row],[Grupo Tarifário]],RefTabGrupoTarifa[],3,FALSE),0)</f>
        <v>7</v>
      </c>
      <c r="M33" s="1679">
        <f>IFERROR(VLOOKUP(Financeiros[[#This Row],[Grupo Tarifário]],RefTabGrupoTarifa[],4,FALSE),0)</f>
        <v>9</v>
      </c>
      <c r="N33" s="92"/>
      <c r="T33" s="849" t="s">
        <v>2260</v>
      </c>
      <c r="U33" s="849">
        <v>5</v>
      </c>
      <c r="V33" s="849">
        <v>999</v>
      </c>
      <c r="W33" s="849">
        <v>9</v>
      </c>
    </row>
    <row r="34" spans="3:23" ht="16.5" hidden="1">
      <c r="C34" s="1625" t="s">
        <v>1299</v>
      </c>
      <c r="D34" s="1452">
        <f>'Tributos suprimento'!$E$19</f>
        <v>0</v>
      </c>
      <c r="E34" s="1627">
        <f ca="1">IF(ISERROR(D34/$D$4),0,D34/$D$4)</f>
        <v>0</v>
      </c>
      <c r="F34" s="1676" t="s">
        <v>2233</v>
      </c>
      <c r="G34" s="1677" t="s">
        <v>2254</v>
      </c>
      <c r="H34" s="1678">
        <f>IFERROR(VLOOKUP(Financeiros[[#This Row],[Tipo]],RefTabTipo[],2,FALSE),0)</f>
        <v>22</v>
      </c>
      <c r="I34" s="1640">
        <f>IFERROR(VLOOKUP(Financeiros[[#This Row],[Tipo]],RefTabTipo[],3,FALSE),0)</f>
        <v>60</v>
      </c>
      <c r="J34" s="1609">
        <f>IFERROR(VLOOKUP(Financeiros[[#This Row],[Tipo]],RefTabTipo[],4,FALSE),0)</f>
        <v>999</v>
      </c>
      <c r="K34" s="1679">
        <f>IFERROR(VLOOKUP(Financeiros[[#This Row],[Grupo Tarifário]],RefTabGrupoTarifa[],2,FALSE),0)</f>
        <v>2</v>
      </c>
      <c r="L34" s="1678">
        <f>IFERROR(VLOOKUP(Financeiros[[#This Row],[Grupo Tarifário]],RefTabGrupoTarifa[],3,FALSE),0)</f>
        <v>30</v>
      </c>
      <c r="M34" s="1679">
        <f>IFERROR(VLOOKUP(Financeiros[[#This Row],[Grupo Tarifário]],RefTabGrupoTarifa[],4,FALSE),0)</f>
        <v>9</v>
      </c>
      <c r="T34" s="849" t="s">
        <v>2261</v>
      </c>
      <c r="U34" s="849">
        <v>1</v>
      </c>
      <c r="V34" s="849">
        <v>1</v>
      </c>
      <c r="W34" s="849">
        <v>9</v>
      </c>
    </row>
    <row r="35" spans="3:23" ht="16.5" hidden="1">
      <c r="C35" s="1625" t="s">
        <v>1300</v>
      </c>
      <c r="D35" s="625"/>
      <c r="E35" s="1627">
        <f t="shared" ref="E35:E38" ca="1" si="8">IF(ISERROR(D35/$D$4),0,D35/$D$4)</f>
        <v>0</v>
      </c>
      <c r="F35" s="1676" t="s">
        <v>2233</v>
      </c>
      <c r="G35" s="1677" t="s">
        <v>2249</v>
      </c>
      <c r="H35" s="1678">
        <f>IFERROR(VLOOKUP(Financeiros[[#This Row],[Tipo]],RefTabTipo[],2,FALSE),0)</f>
        <v>22</v>
      </c>
      <c r="I35" s="1640">
        <f>IFERROR(VLOOKUP(Financeiros[[#This Row],[Tipo]],RefTabTipo[],3,FALSE),0)</f>
        <v>60</v>
      </c>
      <c r="J35" s="1609">
        <f>IFERROR(VLOOKUP(Financeiros[[#This Row],[Tipo]],RefTabTipo[],4,FALSE),0)</f>
        <v>999</v>
      </c>
      <c r="K35" s="1679">
        <f>IFERROR(VLOOKUP(Financeiros[[#This Row],[Grupo Tarifário]],RefTabGrupoTarifa[],2,FALSE),0)</f>
        <v>3</v>
      </c>
      <c r="L35" s="1678">
        <f>IFERROR(VLOOKUP(Financeiros[[#This Row],[Grupo Tarifário]],RefTabGrupoTarifa[],3,FALSE),0)</f>
        <v>19</v>
      </c>
      <c r="M35" s="1679">
        <f>IFERROR(VLOOKUP(Financeiros[[#This Row],[Grupo Tarifário]],RefTabGrupoTarifa[],4,FALSE),0)</f>
        <v>9</v>
      </c>
      <c r="T35" s="849" t="s">
        <v>2262</v>
      </c>
      <c r="U35" s="849">
        <v>1</v>
      </c>
      <c r="V35" s="849">
        <v>22</v>
      </c>
      <c r="W35" s="849">
        <v>9</v>
      </c>
    </row>
    <row r="36" spans="3:23" ht="16.5" hidden="1">
      <c r="C36" s="1625" t="s">
        <v>1301</v>
      </c>
      <c r="D36" s="1680"/>
      <c r="E36" s="1627">
        <f t="shared" ca="1" si="8"/>
        <v>0</v>
      </c>
      <c r="F36" s="1676" t="s">
        <v>2233</v>
      </c>
      <c r="G36" s="1677" t="s">
        <v>104</v>
      </c>
      <c r="H36" s="1678">
        <f>IFERROR(VLOOKUP(Financeiros[[#This Row],[Tipo]],RefTabTipo[],2,FALSE),0)</f>
        <v>22</v>
      </c>
      <c r="I36" s="1640">
        <f>IFERROR(VLOOKUP(Financeiros[[#This Row],[Tipo]],RefTabTipo[],3,FALSE),0)</f>
        <v>60</v>
      </c>
      <c r="J36" s="1609">
        <f>IFERROR(VLOOKUP(Financeiros[[#This Row],[Tipo]],RefTabTipo[],4,FALSE),0)</f>
        <v>999</v>
      </c>
      <c r="K36" s="1679">
        <f>IFERROR(VLOOKUP(Financeiros[[#This Row],[Grupo Tarifário]],RefTabGrupoTarifa[],2,FALSE),0)</f>
        <v>4</v>
      </c>
      <c r="L36" s="1678">
        <f>IFERROR(VLOOKUP(Financeiros[[#This Row],[Grupo Tarifário]],RefTabGrupoTarifa[],3,FALSE),0)</f>
        <v>999</v>
      </c>
      <c r="M36" s="1679">
        <f>IFERROR(VLOOKUP(Financeiros[[#This Row],[Grupo Tarifário]],RefTabGrupoTarifa[],4,FALSE),0)</f>
        <v>9</v>
      </c>
      <c r="T36" s="849" t="s">
        <v>2263</v>
      </c>
      <c r="U36" s="849">
        <v>1</v>
      </c>
      <c r="V36" s="849">
        <v>4</v>
      </c>
      <c r="W36" s="849">
        <v>9</v>
      </c>
    </row>
    <row r="37" spans="3:23" ht="16.5" hidden="1">
      <c r="C37" s="1625" t="s">
        <v>2391</v>
      </c>
      <c r="D37" s="1669"/>
      <c r="E37" s="1627">
        <f t="shared" ca="1" si="8"/>
        <v>0</v>
      </c>
      <c r="F37" s="1676" t="s">
        <v>2233</v>
      </c>
      <c r="G37" s="1677" t="s">
        <v>104</v>
      </c>
      <c r="H37" s="1681">
        <f>IFERROR(VLOOKUP(Financeiros[[#This Row],[Tipo]],RefTabTipo[],2,FALSE),0)</f>
        <v>22</v>
      </c>
      <c r="I37" s="1640">
        <f>IFERROR(VLOOKUP(Financeiros[[#This Row],[Tipo]],RefTabTipo[],3,FALSE),0)</f>
        <v>60</v>
      </c>
      <c r="J37" s="1609">
        <f>IFERROR(VLOOKUP(Financeiros[[#This Row],[Tipo]],RefTabTipo[],4,FALSE),0)</f>
        <v>999</v>
      </c>
      <c r="K37" s="1682">
        <f>IFERROR(VLOOKUP(Financeiros[[#This Row],[Grupo Tarifário]],RefTabGrupoTarifa[],2,FALSE),0)</f>
        <v>4</v>
      </c>
      <c r="L37" s="1681">
        <f>IFERROR(VLOOKUP(Financeiros[[#This Row],[Grupo Tarifário]],RefTabGrupoTarifa[],3,FALSE),0)</f>
        <v>999</v>
      </c>
      <c r="M37" s="1682">
        <f>IFERROR(VLOOKUP(Financeiros[[#This Row],[Grupo Tarifário]],RefTabGrupoTarifa[],4,FALSE),0)</f>
        <v>9</v>
      </c>
      <c r="T37" s="849" t="s">
        <v>2264</v>
      </c>
      <c r="U37" s="849">
        <v>1</v>
      </c>
      <c r="V37" s="849">
        <v>3</v>
      </c>
      <c r="W37" s="849">
        <v>9</v>
      </c>
    </row>
    <row r="38" spans="3:23" ht="16.5" hidden="1">
      <c r="C38" s="1625" t="s">
        <v>1302</v>
      </c>
      <c r="D38" s="625"/>
      <c r="E38" s="1627">
        <f t="shared" ca="1" si="8"/>
        <v>0</v>
      </c>
      <c r="F38" s="1676" t="s">
        <v>2233</v>
      </c>
      <c r="G38" s="1677" t="s">
        <v>2254</v>
      </c>
      <c r="H38" s="1678">
        <f>IFERROR(VLOOKUP(Financeiros[[#This Row],[Tipo]],RefTabTipo[],2,FALSE),0)</f>
        <v>22</v>
      </c>
      <c r="I38" s="1640">
        <f>IFERROR(VLOOKUP(Financeiros[[#This Row],[Tipo]],RefTabTipo[],3,FALSE),0)</f>
        <v>60</v>
      </c>
      <c r="J38" s="1609">
        <f>IFERROR(VLOOKUP(Financeiros[[#This Row],[Tipo]],RefTabTipo[],4,FALSE),0)</f>
        <v>999</v>
      </c>
      <c r="K38" s="1679">
        <f>IFERROR(VLOOKUP(Financeiros[[#This Row],[Grupo Tarifário]],RefTabGrupoTarifa[],2,FALSE),0)</f>
        <v>2</v>
      </c>
      <c r="L38" s="1678">
        <f>IFERROR(VLOOKUP(Financeiros[[#This Row],[Grupo Tarifário]],RefTabGrupoTarifa[],3,FALSE),0)</f>
        <v>30</v>
      </c>
      <c r="M38" s="1679">
        <f>IFERROR(VLOOKUP(Financeiros[[#This Row],[Grupo Tarifário]],RefTabGrupoTarifa[],4,FALSE),0)</f>
        <v>9</v>
      </c>
      <c r="T38" s="849" t="s">
        <v>2265</v>
      </c>
      <c r="U38" s="849">
        <v>1</v>
      </c>
      <c r="V38" s="849">
        <v>7</v>
      </c>
      <c r="W38" s="849">
        <v>9</v>
      </c>
    </row>
    <row r="39" spans="3:23" ht="16.5" hidden="1">
      <c r="C39" s="1625" t="s">
        <v>1303</v>
      </c>
      <c r="D39" s="625">
        <f>-ABS(PIS_COFINS!$R$4)</f>
        <v>0</v>
      </c>
      <c r="E39" s="1627">
        <f t="shared" ref="E39:E48" ca="1" si="9">IF(ISERROR(D39/$D$4),0,D39/$D$4)</f>
        <v>0</v>
      </c>
      <c r="F39" s="1676" t="s">
        <v>2232</v>
      </c>
      <c r="G39" s="1677" t="s">
        <v>2239</v>
      </c>
      <c r="H39" s="1678">
        <f>IFERROR(VLOOKUP(Financeiros[[#This Row],[Tipo]],RefTabTipo[],2,FALSE),0)</f>
        <v>22</v>
      </c>
      <c r="I39" s="1640">
        <f>IFERROR(VLOOKUP(Financeiros[[#This Row],[Tipo]],RefTabTipo[],3,FALSE),0)</f>
        <v>60</v>
      </c>
      <c r="J39" s="1609">
        <f>IFERROR(VLOOKUP(Financeiros[[#This Row],[Tipo]],RefTabTipo[],4,FALSE),0)</f>
        <v>179</v>
      </c>
      <c r="K39" s="1679">
        <f>IFERROR(VLOOKUP(Financeiros[[#This Row],[Grupo Tarifário]],RefTabGrupoTarifa[],2,FALSE),0)</f>
        <v>99</v>
      </c>
      <c r="L39" s="1678">
        <f>IFERROR(VLOOKUP(Financeiros[[#This Row],[Grupo Tarifário]],RefTabGrupoTarifa[],3,FALSE),0)</f>
        <v>999</v>
      </c>
      <c r="M39" s="1679">
        <f>IFERROR(VLOOKUP(Financeiros[[#This Row],[Grupo Tarifário]],RefTabGrupoTarifa[],4,FALSE),0)</f>
        <v>3</v>
      </c>
      <c r="T39" s="849" t="s">
        <v>2266</v>
      </c>
      <c r="U39" s="849">
        <v>1</v>
      </c>
      <c r="V39" s="849">
        <v>23</v>
      </c>
      <c r="W39" s="849">
        <v>9</v>
      </c>
    </row>
    <row r="40" spans="3:23" ht="16.5" hidden="1">
      <c r="C40" s="1625" t="s">
        <v>1304</v>
      </c>
      <c r="D40" s="625"/>
      <c r="E40" s="1627">
        <f t="shared" ca="1" si="9"/>
        <v>0</v>
      </c>
      <c r="F40" s="1676" t="s">
        <v>2233</v>
      </c>
      <c r="G40" s="1677" t="s">
        <v>2265</v>
      </c>
      <c r="H40" s="1678">
        <f>IFERROR(VLOOKUP(Financeiros[[#This Row],[Tipo]],RefTabTipo[],2,FALSE),0)</f>
        <v>22</v>
      </c>
      <c r="I40" s="1640">
        <f>IFERROR(VLOOKUP(Financeiros[[#This Row],[Tipo]],RefTabTipo[],3,FALSE),0)</f>
        <v>60</v>
      </c>
      <c r="J40" s="1609">
        <f>IFERROR(VLOOKUP(Financeiros[[#This Row],[Tipo]],RefTabTipo[],4,FALSE),0)</f>
        <v>999</v>
      </c>
      <c r="K40" s="1679">
        <f>IFERROR(VLOOKUP(Financeiros[[#This Row],[Grupo Tarifário]],RefTabGrupoTarifa[],2,FALSE),0)</f>
        <v>1</v>
      </c>
      <c r="L40" s="1678">
        <f>IFERROR(VLOOKUP(Financeiros[[#This Row],[Grupo Tarifário]],RefTabGrupoTarifa[],3,FALSE),0)</f>
        <v>7</v>
      </c>
      <c r="M40" s="1679">
        <f>IFERROR(VLOOKUP(Financeiros[[#This Row],[Grupo Tarifário]],RefTabGrupoTarifa[],4,FALSE),0)</f>
        <v>9</v>
      </c>
      <c r="T40" s="849" t="s">
        <v>2267</v>
      </c>
      <c r="U40" s="849">
        <v>1</v>
      </c>
      <c r="V40" s="849">
        <v>2</v>
      </c>
      <c r="W40" s="849">
        <v>9</v>
      </c>
    </row>
    <row r="41" spans="3:23" ht="16.5" hidden="1">
      <c r="C41" s="1625" t="s">
        <v>1305</v>
      </c>
      <c r="D41" s="625"/>
      <c r="E41" s="1627">
        <f t="shared" ca="1" si="9"/>
        <v>0</v>
      </c>
      <c r="F41" s="1676" t="s">
        <v>2233</v>
      </c>
      <c r="G41" s="1677" t="s">
        <v>2254</v>
      </c>
      <c r="H41" s="1678">
        <f>IFERROR(VLOOKUP(Financeiros[[#This Row],[Tipo]],RefTabTipo[],2,FALSE),0)</f>
        <v>22</v>
      </c>
      <c r="I41" s="1640">
        <f>IFERROR(VLOOKUP(Financeiros[[#This Row],[Tipo]],RefTabTipo[],3,FALSE),0)</f>
        <v>60</v>
      </c>
      <c r="J41" s="1609">
        <f>IFERROR(VLOOKUP(Financeiros[[#This Row],[Tipo]],RefTabTipo[],4,FALSE),0)</f>
        <v>999</v>
      </c>
      <c r="K41" s="1679">
        <f>IFERROR(VLOOKUP(Financeiros[[#This Row],[Grupo Tarifário]],RefTabGrupoTarifa[],2,FALSE),0)</f>
        <v>2</v>
      </c>
      <c r="L41" s="1678">
        <f>IFERROR(VLOOKUP(Financeiros[[#This Row],[Grupo Tarifário]],RefTabGrupoTarifa[],3,FALSE),0)</f>
        <v>30</v>
      </c>
      <c r="M41" s="1679">
        <f>IFERROR(VLOOKUP(Financeiros[[#This Row],[Grupo Tarifário]],RefTabGrupoTarifa[],4,FALSE),0)</f>
        <v>9</v>
      </c>
      <c r="T41" s="849" t="s">
        <v>2268</v>
      </c>
      <c r="U41" s="849">
        <v>1</v>
      </c>
      <c r="V41" s="849">
        <v>1</v>
      </c>
      <c r="W41" s="849">
        <v>9</v>
      </c>
    </row>
    <row r="42" spans="3:23" ht="16.5">
      <c r="C42" s="1625" t="s">
        <v>1306</v>
      </c>
      <c r="D42" s="625">
        <f>'Financeiros Mitigação'!$D$12</f>
        <v>-3671.71</v>
      </c>
      <c r="E42" s="1627">
        <f t="shared" ca="1" si="9"/>
        <v>-5.379845185319382E-5</v>
      </c>
      <c r="F42" s="1676" t="s">
        <v>2233</v>
      </c>
      <c r="G42" s="1677" t="s">
        <v>104</v>
      </c>
      <c r="H42" s="1678">
        <f>IFERROR(VLOOKUP(Financeiros[[#This Row],[Tipo]],RefTabTipo[],2,FALSE),0)</f>
        <v>22</v>
      </c>
      <c r="I42" s="1640">
        <f>IFERROR(VLOOKUP(Financeiros[[#This Row],[Tipo]],RefTabTipo[],3,FALSE),0)</f>
        <v>60</v>
      </c>
      <c r="J42" s="1609">
        <f>IFERROR(VLOOKUP(Financeiros[[#This Row],[Tipo]],RefTabTipo[],4,FALSE),0)</f>
        <v>999</v>
      </c>
      <c r="K42" s="1679">
        <f>IFERROR(VLOOKUP(Financeiros[[#This Row],[Grupo Tarifário]],RefTabGrupoTarifa[],2,FALSE),0)</f>
        <v>4</v>
      </c>
      <c r="L42" s="1678">
        <f>IFERROR(VLOOKUP(Financeiros[[#This Row],[Grupo Tarifário]],RefTabGrupoTarifa[],3,FALSE),0)</f>
        <v>999</v>
      </c>
      <c r="M42" s="1679">
        <f>IFERROR(VLOOKUP(Financeiros[[#This Row],[Grupo Tarifário]],RefTabGrupoTarifa[],4,FALSE),0)</f>
        <v>9</v>
      </c>
      <c r="T42" s="849" t="s">
        <v>2269</v>
      </c>
      <c r="U42" s="849">
        <v>1</v>
      </c>
      <c r="V42" s="849">
        <v>21</v>
      </c>
      <c r="W42" s="849">
        <v>9</v>
      </c>
    </row>
    <row r="43" spans="3:23" ht="16.5">
      <c r="C43" s="1625" t="s">
        <v>2273</v>
      </c>
      <c r="D43" s="1669">
        <v>-228012.01857549255</v>
      </c>
      <c r="E43" s="1627">
        <f t="shared" ca="1" si="9"/>
        <v>-3.340866681541617E-3</v>
      </c>
      <c r="F43" s="1676" t="s">
        <v>2226</v>
      </c>
      <c r="G43" s="1677" t="s">
        <v>104</v>
      </c>
      <c r="H43" s="1681">
        <f>IFERROR(VLOOKUP(Financeiros[[#This Row],[Tipo]],RefTabTipo[],2,FALSE),0)</f>
        <v>22</v>
      </c>
      <c r="I43" s="1640">
        <f>IFERROR(VLOOKUP(Financeiros[[#This Row],[Tipo]],RefTabTipo[],3,FALSE),0)</f>
        <v>60</v>
      </c>
      <c r="J43" s="1609">
        <f>IFERROR(VLOOKUP(Financeiros[[#This Row],[Tipo]],RefTabTipo[],4,FALSE),0)</f>
        <v>235</v>
      </c>
      <c r="K43" s="1682">
        <f>IFERROR(VLOOKUP(Financeiros[[#This Row],[Grupo Tarifário]],RefTabGrupoTarifa[],2,FALSE),0)</f>
        <v>4</v>
      </c>
      <c r="L43" s="1681">
        <f>IFERROR(VLOOKUP(Financeiros[[#This Row],[Grupo Tarifário]],RefTabGrupoTarifa[],3,FALSE),0)</f>
        <v>999</v>
      </c>
      <c r="M43" s="1682">
        <f>IFERROR(VLOOKUP(Financeiros[[#This Row],[Grupo Tarifário]],RefTabGrupoTarifa[],4,FALSE),0)</f>
        <v>9</v>
      </c>
      <c r="T43" s="849" t="s">
        <v>2270</v>
      </c>
      <c r="U43" s="849">
        <v>1</v>
      </c>
      <c r="V43" s="849">
        <v>5</v>
      </c>
      <c r="W43" s="849">
        <v>9</v>
      </c>
    </row>
    <row r="44" spans="3:23" ht="16.5" hidden="1">
      <c r="C44" s="1625" t="s">
        <v>2385</v>
      </c>
      <c r="D44" s="1669"/>
      <c r="E44" s="1627">
        <f t="shared" ca="1" si="9"/>
        <v>0</v>
      </c>
      <c r="F44" s="1676" t="s">
        <v>2233</v>
      </c>
      <c r="G44" s="1677" t="s">
        <v>104</v>
      </c>
      <c r="H44" s="1681">
        <f>IFERROR(VLOOKUP(Financeiros[[#This Row],[Tipo]],RefTabTipo[],2,FALSE),0)</f>
        <v>22</v>
      </c>
      <c r="I44" s="1640">
        <f>IFERROR(VLOOKUP(Financeiros[[#This Row],[Tipo]],RefTabTipo[],3,FALSE),0)</f>
        <v>60</v>
      </c>
      <c r="J44" s="1609">
        <f>IFERROR(VLOOKUP(Financeiros[[#This Row],[Tipo]],RefTabTipo[],4,FALSE),0)</f>
        <v>999</v>
      </c>
      <c r="K44" s="1682">
        <f>IFERROR(VLOOKUP(Financeiros[[#This Row],[Grupo Tarifário]],RefTabGrupoTarifa[],2,FALSE),0)</f>
        <v>4</v>
      </c>
      <c r="L44" s="1681">
        <f>IFERROR(VLOOKUP(Financeiros[[#This Row],[Grupo Tarifário]],RefTabGrupoTarifa[],3,FALSE),0)</f>
        <v>999</v>
      </c>
      <c r="M44" s="1682">
        <f>IFERROR(VLOOKUP(Financeiros[[#This Row],[Grupo Tarifário]],RefTabGrupoTarifa[],4,FALSE),0)</f>
        <v>9</v>
      </c>
      <c r="T44" s="849" t="s">
        <v>2271</v>
      </c>
      <c r="U44" s="849">
        <v>1</v>
      </c>
      <c r="V44" s="849">
        <v>6</v>
      </c>
      <c r="W44" s="849">
        <v>9</v>
      </c>
    </row>
    <row r="45" spans="3:23" ht="16.5" hidden="1">
      <c r="C45" s="1763" t="s">
        <v>2389</v>
      </c>
      <c r="D45" s="1669"/>
      <c r="E45" s="1627">
        <f t="shared" ca="1" si="9"/>
        <v>0</v>
      </c>
      <c r="F45" s="1676"/>
      <c r="G45" s="1677"/>
      <c r="H45" s="1681">
        <f>IFERROR(VLOOKUP(Financeiros[[#This Row],[Tipo]],RefTabTipo[],2,FALSE),0)</f>
        <v>0</v>
      </c>
      <c r="I45" s="1640">
        <f>IFERROR(VLOOKUP(Financeiros[[#This Row],[Tipo]],RefTabTipo[],3,FALSE),0)</f>
        <v>0</v>
      </c>
      <c r="J45" s="1609">
        <f>IFERROR(VLOOKUP(Financeiros[[#This Row],[Tipo]],RefTabTipo[],4,FALSE),0)</f>
        <v>0</v>
      </c>
      <c r="K45" s="1682">
        <f>IFERROR(VLOOKUP(Financeiros[[#This Row],[Grupo Tarifário]],RefTabGrupoTarifa[],2,FALSE),0)</f>
        <v>0</v>
      </c>
      <c r="L45" s="1681">
        <f>IFERROR(VLOOKUP(Financeiros[[#This Row],[Grupo Tarifário]],RefTabGrupoTarifa[],3,FALSE),0)</f>
        <v>0</v>
      </c>
      <c r="M45" s="1682">
        <f>IFERROR(VLOOKUP(Financeiros[[#This Row],[Grupo Tarifário]],RefTabGrupoTarifa[],4,FALSE),0)</f>
        <v>0</v>
      </c>
      <c r="T45" s="849"/>
      <c r="U45" s="849"/>
      <c r="V45" s="849"/>
      <c r="W45" s="849"/>
    </row>
    <row r="46" spans="3:23" ht="16.5">
      <c r="C46" s="1763" t="s">
        <v>2390</v>
      </c>
      <c r="D46" s="625">
        <f>-Indexador!G17</f>
        <v>2174545.8258524011</v>
      </c>
      <c r="E46" s="1627">
        <f t="shared" ca="1" si="9"/>
        <v>3.1861775280369091E-2</v>
      </c>
      <c r="F46" s="1676" t="s">
        <v>2233</v>
      </c>
      <c r="G46" s="1677" t="s">
        <v>104</v>
      </c>
      <c r="H46" s="1678">
        <v>22</v>
      </c>
      <c r="I46" s="1640">
        <v>60</v>
      </c>
      <c r="J46" s="1609">
        <v>999</v>
      </c>
      <c r="K46" s="1679">
        <v>4</v>
      </c>
      <c r="L46" s="1678">
        <v>999</v>
      </c>
      <c r="M46" s="1679">
        <v>9</v>
      </c>
      <c r="T46" s="849"/>
      <c r="U46" s="849"/>
      <c r="V46" s="849"/>
      <c r="W46" s="849"/>
    </row>
    <row r="47" spans="3:23" ht="16.5" hidden="1">
      <c r="C47" s="1763" t="s">
        <v>2393</v>
      </c>
      <c r="D47" s="625"/>
      <c r="E47" s="1627">
        <f t="shared" ca="1" si="9"/>
        <v>0</v>
      </c>
      <c r="F47" s="1676"/>
      <c r="G47" s="1677"/>
      <c r="H47" s="1678">
        <f>IFERROR(VLOOKUP(Financeiros[[#This Row],[Tipo]],RefTabTipo[],2,FALSE),0)</f>
        <v>0</v>
      </c>
      <c r="I47" s="1640">
        <f>IFERROR(VLOOKUP(Financeiros[[#This Row],[Tipo]],RefTabTipo[],3,FALSE),0)</f>
        <v>0</v>
      </c>
      <c r="J47" s="1609">
        <f>IFERROR(VLOOKUP(Financeiros[[#This Row],[Tipo]],RefTabTipo[],4,FALSE),0)</f>
        <v>0</v>
      </c>
      <c r="K47" s="1679">
        <f>IFERROR(VLOOKUP(Financeiros[[#This Row],[Grupo Tarifário]],RefTabGrupoTarifa[],2,FALSE),0)</f>
        <v>0</v>
      </c>
      <c r="L47" s="1678">
        <f>IFERROR(VLOOKUP(Financeiros[[#This Row],[Grupo Tarifário]],RefTabGrupoTarifa[],3,FALSE),0)</f>
        <v>0</v>
      </c>
      <c r="M47" s="1679">
        <f>IFERROR(VLOOKUP(Financeiros[[#This Row],[Grupo Tarifário]],RefTabGrupoTarifa[],4,FALSE),0)</f>
        <v>0</v>
      </c>
    </row>
    <row r="48" spans="3:23" ht="16.5" hidden="1">
      <c r="C48" s="1763" t="s">
        <v>2394</v>
      </c>
      <c r="D48" s="625"/>
      <c r="E48" s="1627">
        <f t="shared" ca="1" si="9"/>
        <v>0</v>
      </c>
      <c r="F48" s="1676"/>
      <c r="G48" s="1677"/>
      <c r="H48" s="1678">
        <f>IFERROR(VLOOKUP(Financeiros[[#This Row],[Tipo]],RefTabTipo[],2,FALSE),0)</f>
        <v>0</v>
      </c>
      <c r="I48" s="1640">
        <f>IFERROR(VLOOKUP(Financeiros[[#This Row],[Tipo]],RefTabTipo[],3,FALSE),0)</f>
        <v>0</v>
      </c>
      <c r="J48" s="1609">
        <f>IFERROR(VLOOKUP(Financeiros[[#This Row],[Tipo]],RefTabTipo[],4,FALSE),0)</f>
        <v>0</v>
      </c>
      <c r="K48" s="1679">
        <f>IFERROR(VLOOKUP(Financeiros[[#This Row],[Grupo Tarifário]],RefTabGrupoTarifa[],2,FALSE),0)</f>
        <v>0</v>
      </c>
      <c r="L48" s="1678">
        <f>IFERROR(VLOOKUP(Financeiros[[#This Row],[Grupo Tarifário]],RefTabGrupoTarifa[],3,FALSE),0)</f>
        <v>0</v>
      </c>
      <c r="M48" s="1679">
        <f>IFERROR(VLOOKUP(Financeiros[[#This Row],[Grupo Tarifário]],RefTabGrupoTarifa[],4,FALSE),0)</f>
        <v>0</v>
      </c>
    </row>
    <row r="49" spans="3:13" ht="16.5" hidden="1">
      <c r="C49" s="1670" t="s">
        <v>2099</v>
      </c>
      <c r="D49" s="1671">
        <f>CVE!$D$9</f>
        <v>0</v>
      </c>
      <c r="E49" s="1628">
        <f t="shared" ref="E49:E100" ca="1" si="10">IF(ISERROR(D49/$D$4),0,D49/$D$4)</f>
        <v>0</v>
      </c>
      <c r="F49" s="1616" t="s">
        <v>2229</v>
      </c>
      <c r="G49" s="1635" t="s">
        <v>2241</v>
      </c>
      <c r="H49" s="1617">
        <f>IFERROR(VLOOKUP(Financeiros[[#This Row],[Tipo]],RefTabTipo[],2,FALSE),0)</f>
        <v>22</v>
      </c>
      <c r="I49" s="1641">
        <f>IFERROR(VLOOKUP(Financeiros[[#This Row],[Tipo]],RefTabTipo[],3,FALSE),0)</f>
        <v>60</v>
      </c>
      <c r="J49" s="1618">
        <f>IFERROR(VLOOKUP(Financeiros[[#This Row],[Tipo]],RefTabTipo[],4,FALSE),0)</f>
        <v>241</v>
      </c>
      <c r="K49" s="1647">
        <f>IFERROR(VLOOKUP(Financeiros[[#This Row],[Grupo Tarifário]],RefTabGrupoTarifa[],2,FALSE),0)</f>
        <v>3</v>
      </c>
      <c r="L49" s="1617">
        <f>IFERROR(VLOOKUP(Financeiros[[#This Row],[Grupo Tarifário]],RefTabGrupoTarifa[],3,FALSE),0)</f>
        <v>13</v>
      </c>
      <c r="M49" s="1647">
        <f>IFERROR(VLOOKUP(Financeiros[[#This Row],[Grupo Tarifário]],RefTabGrupoTarifa[],4,FALSE),0)</f>
        <v>9</v>
      </c>
    </row>
    <row r="50" spans="3:13" ht="16.5" hidden="1">
      <c r="C50" s="1670" t="s">
        <v>2100</v>
      </c>
      <c r="D50" s="1671">
        <f>CVE!$D$10</f>
        <v>0</v>
      </c>
      <c r="E50" s="1628">
        <f t="shared" ca="1" si="10"/>
        <v>0</v>
      </c>
      <c r="F50" s="1616" t="s">
        <v>2229</v>
      </c>
      <c r="G50" s="1635" t="s">
        <v>2243</v>
      </c>
      <c r="H50" s="1617">
        <f>IFERROR(VLOOKUP(Financeiros[[#This Row],[Tipo]],RefTabTipo[],2,FALSE),0)</f>
        <v>22</v>
      </c>
      <c r="I50" s="1641">
        <f>IFERROR(VLOOKUP(Financeiros[[#This Row],[Tipo]],RefTabTipo[],3,FALSE),0)</f>
        <v>60</v>
      </c>
      <c r="J50" s="1618">
        <f>IFERROR(VLOOKUP(Financeiros[[#This Row],[Tipo]],RefTabTipo[],4,FALSE),0)</f>
        <v>241</v>
      </c>
      <c r="K50" s="1647">
        <f>IFERROR(VLOOKUP(Financeiros[[#This Row],[Grupo Tarifário]],RefTabGrupoTarifa[],2,FALSE),0)</f>
        <v>3</v>
      </c>
      <c r="L50" s="1617">
        <f>IFERROR(VLOOKUP(Financeiros[[#This Row],[Grupo Tarifário]],RefTabGrupoTarifa[],3,FALSE),0)</f>
        <v>15</v>
      </c>
      <c r="M50" s="1647">
        <f>IFERROR(VLOOKUP(Financeiros[[#This Row],[Grupo Tarifário]],RefTabGrupoTarifa[],4,FALSE),0)</f>
        <v>9</v>
      </c>
    </row>
    <row r="51" spans="3:13" ht="16.5" hidden="1">
      <c r="C51" s="1670" t="s">
        <v>2101</v>
      </c>
      <c r="D51" s="1671">
        <f>CVE!$D$11</f>
        <v>0</v>
      </c>
      <c r="E51" s="1628">
        <f t="shared" ca="1" si="10"/>
        <v>0</v>
      </c>
      <c r="F51" s="1616" t="s">
        <v>2229</v>
      </c>
      <c r="G51" s="1635" t="s">
        <v>2242</v>
      </c>
      <c r="H51" s="1617">
        <f>IFERROR(VLOOKUP(Financeiros[[#This Row],[Tipo]],RefTabTipo[],2,FALSE),0)</f>
        <v>22</v>
      </c>
      <c r="I51" s="1641">
        <f>IFERROR(VLOOKUP(Financeiros[[#This Row],[Tipo]],RefTabTipo[],3,FALSE),0)</f>
        <v>60</v>
      </c>
      <c r="J51" s="1618">
        <f>IFERROR(VLOOKUP(Financeiros[[#This Row],[Tipo]],RefTabTipo[],4,FALSE),0)</f>
        <v>241</v>
      </c>
      <c r="K51" s="1647">
        <f>IFERROR(VLOOKUP(Financeiros[[#This Row],[Grupo Tarifário]],RefTabGrupoTarifa[],2,FALSE),0)</f>
        <v>3</v>
      </c>
      <c r="L51" s="1617">
        <f>IFERROR(VLOOKUP(Financeiros[[#This Row],[Grupo Tarifário]],RefTabGrupoTarifa[],3,FALSE),0)</f>
        <v>25</v>
      </c>
      <c r="M51" s="1647">
        <f>IFERROR(VLOOKUP(Financeiros[[#This Row],[Grupo Tarifário]],RefTabGrupoTarifa[],4,FALSE),0)</f>
        <v>9</v>
      </c>
    </row>
    <row r="52" spans="3:13" ht="16.5" hidden="1">
      <c r="C52" s="1670" t="s">
        <v>2102</v>
      </c>
      <c r="D52" s="1671">
        <f>IFERROR(CVE!$D$12*Resultado!D25/SUM(Resultado!$D$25:$D$29),0)</f>
        <v>0</v>
      </c>
      <c r="E52" s="1628">
        <f t="shared" ca="1" si="10"/>
        <v>0</v>
      </c>
      <c r="F52" s="1616" t="s">
        <v>2229</v>
      </c>
      <c r="G52" s="1635" t="s">
        <v>2261</v>
      </c>
      <c r="H52" s="1617">
        <f>IFERROR(VLOOKUP(Financeiros[[#This Row],[Tipo]],RefTabTipo[],2,FALSE),0)</f>
        <v>22</v>
      </c>
      <c r="I52" s="1641">
        <f>IFERROR(VLOOKUP(Financeiros[[#This Row],[Tipo]],RefTabTipo[],3,FALSE),0)</f>
        <v>60</v>
      </c>
      <c r="J52" s="1618">
        <f>IFERROR(VLOOKUP(Financeiros[[#This Row],[Tipo]],RefTabTipo[],4,FALSE),0)</f>
        <v>241</v>
      </c>
      <c r="K52" s="1647">
        <f>IFERROR(VLOOKUP(Financeiros[[#This Row],[Grupo Tarifário]],RefTabGrupoTarifa[],2,FALSE),0)</f>
        <v>1</v>
      </c>
      <c r="L52" s="1617">
        <f>IFERROR(VLOOKUP(Financeiros[[#This Row],[Grupo Tarifário]],RefTabGrupoTarifa[],3,FALSE),0)</f>
        <v>1</v>
      </c>
      <c r="M52" s="1647">
        <f>IFERROR(VLOOKUP(Financeiros[[#This Row],[Grupo Tarifário]],RefTabGrupoTarifa[],4,FALSE),0)</f>
        <v>9</v>
      </c>
    </row>
    <row r="53" spans="3:13" ht="16.5" hidden="1">
      <c r="C53" s="1670" t="s">
        <v>2103</v>
      </c>
      <c r="D53" s="1671">
        <f>IFERROR(CVE!$D$12*Resultado!D26/SUM(Resultado!$D$25:$D$29),0)</f>
        <v>0</v>
      </c>
      <c r="E53" s="1628">
        <f t="shared" ca="1" si="10"/>
        <v>0</v>
      </c>
      <c r="F53" s="1616" t="s">
        <v>2229</v>
      </c>
      <c r="G53" s="1635" t="s">
        <v>2261</v>
      </c>
      <c r="H53" s="1617">
        <f>IFERROR(VLOOKUP(Financeiros[[#This Row],[Tipo]],RefTabTipo[],2,FALSE),0)</f>
        <v>22</v>
      </c>
      <c r="I53" s="1641">
        <f>IFERROR(VLOOKUP(Financeiros[[#This Row],[Tipo]],RefTabTipo[],3,FALSE),0)</f>
        <v>60</v>
      </c>
      <c r="J53" s="1618">
        <f>IFERROR(VLOOKUP(Financeiros[[#This Row],[Tipo]],RefTabTipo[],4,FALSE),0)</f>
        <v>241</v>
      </c>
      <c r="K53" s="1647">
        <f>IFERROR(VLOOKUP(Financeiros[[#This Row],[Grupo Tarifário]],RefTabGrupoTarifa[],2,FALSE),0)</f>
        <v>1</v>
      </c>
      <c r="L53" s="1617">
        <f>IFERROR(VLOOKUP(Financeiros[[#This Row],[Grupo Tarifário]],RefTabGrupoTarifa[],3,FALSE),0)</f>
        <v>1</v>
      </c>
      <c r="M53" s="1647">
        <f>IFERROR(VLOOKUP(Financeiros[[#This Row],[Grupo Tarifário]],RefTabGrupoTarifa[],4,FALSE),0)</f>
        <v>9</v>
      </c>
    </row>
    <row r="54" spans="3:13" ht="16.5" hidden="1">
      <c r="C54" s="1670" t="s">
        <v>2104</v>
      </c>
      <c r="D54" s="1671">
        <f>IFERROR(CVE!$D$12*Resultado!D28/SUM(Resultado!$D$25:$D$29),0)</f>
        <v>0</v>
      </c>
      <c r="E54" s="1628">
        <f t="shared" ca="1" si="10"/>
        <v>0</v>
      </c>
      <c r="F54" s="1616" t="s">
        <v>2229</v>
      </c>
      <c r="G54" s="1635" t="s">
        <v>2261</v>
      </c>
      <c r="H54" s="1617">
        <f>IFERROR(VLOOKUP(Financeiros[[#This Row],[Tipo]],RefTabTipo[],2,FALSE),0)</f>
        <v>22</v>
      </c>
      <c r="I54" s="1641">
        <f>IFERROR(VLOOKUP(Financeiros[[#This Row],[Tipo]],RefTabTipo[],3,FALSE),0)</f>
        <v>60</v>
      </c>
      <c r="J54" s="1618">
        <f>IFERROR(VLOOKUP(Financeiros[[#This Row],[Tipo]],RefTabTipo[],4,FALSE),0)</f>
        <v>241</v>
      </c>
      <c r="K54" s="1647">
        <f>IFERROR(VLOOKUP(Financeiros[[#This Row],[Grupo Tarifário]],RefTabGrupoTarifa[],2,FALSE),0)</f>
        <v>1</v>
      </c>
      <c r="L54" s="1617">
        <f>IFERROR(VLOOKUP(Financeiros[[#This Row],[Grupo Tarifário]],RefTabGrupoTarifa[],3,FALSE),0)</f>
        <v>1</v>
      </c>
      <c r="M54" s="1647">
        <f>IFERROR(VLOOKUP(Financeiros[[#This Row],[Grupo Tarifário]],RefTabGrupoTarifa[],4,FALSE),0)</f>
        <v>9</v>
      </c>
    </row>
    <row r="55" spans="3:13" ht="16.5" hidden="1">
      <c r="C55" s="1670" t="s">
        <v>2105</v>
      </c>
      <c r="D55" s="1671">
        <f>IFERROR(CVE!$D$12*Resultado!D27/SUM(Resultado!$D$25:$D$29),0)</f>
        <v>0</v>
      </c>
      <c r="E55" s="1628">
        <f t="shared" ca="1" si="10"/>
        <v>0</v>
      </c>
      <c r="F55" s="1616" t="s">
        <v>2229</v>
      </c>
      <c r="G55" s="1635" t="s">
        <v>2261</v>
      </c>
      <c r="H55" s="1617">
        <f>IFERROR(VLOOKUP(Financeiros[[#This Row],[Tipo]],RefTabTipo[],2,FALSE),0)</f>
        <v>22</v>
      </c>
      <c r="I55" s="1641">
        <f>IFERROR(VLOOKUP(Financeiros[[#This Row],[Tipo]],RefTabTipo[],3,FALSE),0)</f>
        <v>60</v>
      </c>
      <c r="J55" s="1618">
        <f>IFERROR(VLOOKUP(Financeiros[[#This Row],[Tipo]],RefTabTipo[],4,FALSE),0)</f>
        <v>241</v>
      </c>
      <c r="K55" s="1647">
        <f>IFERROR(VLOOKUP(Financeiros[[#This Row],[Grupo Tarifário]],RefTabGrupoTarifa[],2,FALSE),0)</f>
        <v>1</v>
      </c>
      <c r="L55" s="1617">
        <f>IFERROR(VLOOKUP(Financeiros[[#This Row],[Grupo Tarifário]],RefTabGrupoTarifa[],3,FALSE),0)</f>
        <v>1</v>
      </c>
      <c r="M55" s="1647">
        <f>IFERROR(VLOOKUP(Financeiros[[#This Row],[Grupo Tarifário]],RefTabGrupoTarifa[],4,FALSE),0)</f>
        <v>9</v>
      </c>
    </row>
    <row r="56" spans="3:13" ht="16.5" hidden="1">
      <c r="C56" s="1670" t="s">
        <v>2106</v>
      </c>
      <c r="D56" s="1671">
        <f>IFERROR(CVE!$D$12*Resultado!D29/SUM(Resultado!$D$25:$D$29),0)</f>
        <v>0</v>
      </c>
      <c r="E56" s="1628">
        <f t="shared" ca="1" si="10"/>
        <v>0</v>
      </c>
      <c r="F56" s="1616" t="s">
        <v>2229</v>
      </c>
      <c r="G56" s="1635" t="s">
        <v>2261</v>
      </c>
      <c r="H56" s="1617">
        <f>IFERROR(VLOOKUP(Financeiros[[#This Row],[Tipo]],RefTabTipo[],2,FALSE),0)</f>
        <v>22</v>
      </c>
      <c r="I56" s="1641">
        <f>IFERROR(VLOOKUP(Financeiros[[#This Row],[Tipo]],RefTabTipo[],3,FALSE),0)</f>
        <v>60</v>
      </c>
      <c r="J56" s="1618">
        <f>IFERROR(VLOOKUP(Financeiros[[#This Row],[Tipo]],RefTabTipo[],4,FALSE),0)</f>
        <v>241</v>
      </c>
      <c r="K56" s="1647">
        <f>IFERROR(VLOOKUP(Financeiros[[#This Row],[Grupo Tarifário]],RefTabGrupoTarifa[],2,FALSE),0)</f>
        <v>1</v>
      </c>
      <c r="L56" s="1617">
        <f>IFERROR(VLOOKUP(Financeiros[[#This Row],[Grupo Tarifário]],RefTabGrupoTarifa[],3,FALSE),0)</f>
        <v>1</v>
      </c>
      <c r="M56" s="1647">
        <f>IFERROR(VLOOKUP(Financeiros[[#This Row],[Grupo Tarifário]],RefTabGrupoTarifa[],4,FALSE),0)</f>
        <v>9</v>
      </c>
    </row>
    <row r="57" spans="3:13" ht="16.5" hidden="1">
      <c r="C57" s="1670" t="s">
        <v>2107</v>
      </c>
      <c r="D57" s="1671">
        <f>CVE!D15</f>
        <v>0</v>
      </c>
      <c r="E57" s="1628">
        <f t="shared" ca="1" si="10"/>
        <v>0</v>
      </c>
      <c r="F57" s="1616" t="s">
        <v>2229</v>
      </c>
      <c r="G57" s="1635" t="s">
        <v>2269</v>
      </c>
      <c r="H57" s="1617">
        <f>IFERROR(VLOOKUP(Financeiros[[#This Row],[Tipo]],RefTabTipo[],2,FALSE),0)</f>
        <v>22</v>
      </c>
      <c r="I57" s="1641">
        <f>IFERROR(VLOOKUP(Financeiros[[#This Row],[Tipo]],RefTabTipo[],3,FALSE),0)</f>
        <v>60</v>
      </c>
      <c r="J57" s="1618">
        <f>IFERROR(VLOOKUP(Financeiros[[#This Row],[Tipo]],RefTabTipo[],4,FALSE),0)</f>
        <v>241</v>
      </c>
      <c r="K57" s="1647">
        <f>IFERROR(VLOOKUP(Financeiros[[#This Row],[Grupo Tarifário]],RefTabGrupoTarifa[],2,FALSE),0)</f>
        <v>1</v>
      </c>
      <c r="L57" s="1617">
        <f>IFERROR(VLOOKUP(Financeiros[[#This Row],[Grupo Tarifário]],RefTabGrupoTarifa[],3,FALSE),0)</f>
        <v>21</v>
      </c>
      <c r="M57" s="1647">
        <f>IFERROR(VLOOKUP(Financeiros[[#This Row],[Grupo Tarifário]],RefTabGrupoTarifa[],4,FALSE),0)</f>
        <v>9</v>
      </c>
    </row>
    <row r="58" spans="3:13" ht="16.5">
      <c r="C58" s="1670" t="s">
        <v>2108</v>
      </c>
      <c r="D58" s="1671">
        <f ca="1">IFERROR(CVE!$D$13*H2,0)</f>
        <v>-429973.36492355511</v>
      </c>
      <c r="E58" s="1628">
        <f t="shared" ca="1" si="10"/>
        <v>-6.3000349621826386E-3</v>
      </c>
      <c r="F58" s="1616" t="s">
        <v>2229</v>
      </c>
      <c r="G58" s="1635" t="s">
        <v>2253</v>
      </c>
      <c r="H58" s="1617">
        <f>IFERROR(VLOOKUP(Financeiros[[#This Row],[Tipo]],RefTabTipo[],2,FALSE),0)</f>
        <v>22</v>
      </c>
      <c r="I58" s="1641">
        <f>IFERROR(VLOOKUP(Financeiros[[#This Row],[Tipo]],RefTabTipo[],3,FALSE),0)</f>
        <v>60</v>
      </c>
      <c r="J58" s="1618">
        <f>IFERROR(VLOOKUP(Financeiros[[#This Row],[Tipo]],RefTabTipo[],4,FALSE),0)</f>
        <v>241</v>
      </c>
      <c r="K58" s="1647">
        <f>IFERROR(VLOOKUP(Financeiros[[#This Row],[Grupo Tarifário]],RefTabGrupoTarifa[],2,FALSE),0)</f>
        <v>2</v>
      </c>
      <c r="L58" s="1617">
        <f>IFERROR(VLOOKUP(Financeiros[[#This Row],[Grupo Tarifário]],RefTabGrupoTarifa[],3,FALSE),0)</f>
        <v>11</v>
      </c>
      <c r="M58" s="1647">
        <f>IFERROR(VLOOKUP(Financeiros[[#This Row],[Grupo Tarifário]],RefTabGrupoTarifa[],4,FALSE),0)</f>
        <v>9</v>
      </c>
    </row>
    <row r="59" spans="3:13" ht="16.5" hidden="1">
      <c r="C59" s="1670" t="s">
        <v>2109</v>
      </c>
      <c r="D59" s="1671">
        <f ca="1">IFERROR(CVE!$D$13*H3,0)</f>
        <v>0</v>
      </c>
      <c r="E59" s="1628">
        <f t="shared" ca="1" si="10"/>
        <v>0</v>
      </c>
      <c r="F59" s="1616" t="s">
        <v>2229</v>
      </c>
      <c r="G59" s="1635" t="s">
        <v>2255</v>
      </c>
      <c r="H59" s="1617">
        <f>IFERROR(VLOOKUP(Financeiros[[#This Row],[Tipo]],RefTabTipo[],2,FALSE),0)</f>
        <v>22</v>
      </c>
      <c r="I59" s="1641">
        <f>IFERROR(VLOOKUP(Financeiros[[#This Row],[Tipo]],RefTabTipo[],3,FALSE),0)</f>
        <v>60</v>
      </c>
      <c r="J59" s="1618">
        <f>IFERROR(VLOOKUP(Financeiros[[#This Row],[Tipo]],RefTabTipo[],4,FALSE),0)</f>
        <v>241</v>
      </c>
      <c r="K59" s="1647">
        <f>IFERROR(VLOOKUP(Financeiros[[#This Row],[Grupo Tarifário]],RefTabGrupoTarifa[],2,FALSE),0)</f>
        <v>2</v>
      </c>
      <c r="L59" s="1617">
        <f>IFERROR(VLOOKUP(Financeiros[[#This Row],[Grupo Tarifário]],RefTabGrupoTarifa[],3,FALSE),0)</f>
        <v>9</v>
      </c>
      <c r="M59" s="1647">
        <f>IFERROR(VLOOKUP(Financeiros[[#This Row],[Grupo Tarifário]],RefTabGrupoTarifa[],4,FALSE),0)</f>
        <v>9</v>
      </c>
    </row>
    <row r="60" spans="3:13" ht="16.5">
      <c r="C60" s="1670" t="s">
        <v>2110</v>
      </c>
      <c r="D60" s="1671">
        <f ca="1">IFERROR(CVE!$D$13*H4,0)</f>
        <v>-18695.516688823627</v>
      </c>
      <c r="E60" s="1628">
        <f t="shared" ca="1" si="10"/>
        <v>-2.7392954630247473E-4</v>
      </c>
      <c r="F60" s="1616" t="s">
        <v>2229</v>
      </c>
      <c r="G60" s="1635" t="s">
        <v>2258</v>
      </c>
      <c r="H60" s="1617">
        <f>IFERROR(VLOOKUP(Financeiros[[#This Row],[Tipo]],RefTabTipo[],2,FALSE),0)</f>
        <v>22</v>
      </c>
      <c r="I60" s="1641">
        <f>IFERROR(VLOOKUP(Financeiros[[#This Row],[Tipo]],RefTabTipo[],3,FALSE),0)</f>
        <v>60</v>
      </c>
      <c r="J60" s="1618">
        <f>IFERROR(VLOOKUP(Financeiros[[#This Row],[Tipo]],RefTabTipo[],4,FALSE),0)</f>
        <v>241</v>
      </c>
      <c r="K60" s="1647">
        <f>IFERROR(VLOOKUP(Financeiros[[#This Row],[Grupo Tarifário]],RefTabGrupoTarifa[],2,FALSE),0)</f>
        <v>2</v>
      </c>
      <c r="L60" s="1617">
        <f>IFERROR(VLOOKUP(Financeiros[[#This Row],[Grupo Tarifário]],RefTabGrupoTarifa[],3,FALSE),0)</f>
        <v>8</v>
      </c>
      <c r="M60" s="1647">
        <f>IFERROR(VLOOKUP(Financeiros[[#This Row],[Grupo Tarifário]],RefTabGrupoTarifa[],4,FALSE),0)</f>
        <v>9</v>
      </c>
    </row>
    <row r="61" spans="3:13" ht="16.5">
      <c r="C61" s="1670" t="s">
        <v>2111</v>
      </c>
      <c r="D61" s="1671">
        <f ca="1">IFERROR(CVE!$D$13*H5,0)</f>
        <v>-620.46949320400336</v>
      </c>
      <c r="E61" s="1628">
        <f t="shared" ca="1" si="10"/>
        <v>-9.0912131286270276E-6</v>
      </c>
      <c r="F61" s="1616" t="s">
        <v>2229</v>
      </c>
      <c r="G61" s="1635" t="s">
        <v>2256</v>
      </c>
      <c r="H61" s="1617">
        <f>IFERROR(VLOOKUP(Financeiros[[#This Row],[Tipo]],RefTabTipo[],2,FALSE),0)</f>
        <v>22</v>
      </c>
      <c r="I61" s="1641">
        <f>IFERROR(VLOOKUP(Financeiros[[#This Row],[Tipo]],RefTabTipo[],3,FALSE),0)</f>
        <v>60</v>
      </c>
      <c r="J61" s="1618">
        <f>IFERROR(VLOOKUP(Financeiros[[#This Row],[Tipo]],RefTabTipo[],4,FALSE),0)</f>
        <v>241</v>
      </c>
      <c r="K61" s="1647">
        <f>IFERROR(VLOOKUP(Financeiros[[#This Row],[Grupo Tarifário]],RefTabGrupoTarifa[],2,FALSE),0)</f>
        <v>2</v>
      </c>
      <c r="L61" s="1617">
        <f>IFERROR(VLOOKUP(Financeiros[[#This Row],[Grupo Tarifário]],RefTabGrupoTarifa[],3,FALSE),0)</f>
        <v>10</v>
      </c>
      <c r="M61" s="1647">
        <f>IFERROR(VLOOKUP(Financeiros[[#This Row],[Grupo Tarifário]],RefTabGrupoTarifa[],4,FALSE),0)</f>
        <v>9</v>
      </c>
    </row>
    <row r="62" spans="3:13" ht="16.5">
      <c r="C62" s="1670" t="s">
        <v>2112</v>
      </c>
      <c r="D62" s="1671">
        <f ca="1">IFERROR(CVE!$D$13*H6,0)</f>
        <v>-14270.017794417274</v>
      </c>
      <c r="E62" s="1628">
        <f t="shared" ca="1" si="10"/>
        <v>-2.0908646523205176E-4</v>
      </c>
      <c r="F62" s="1616" t="s">
        <v>2229</v>
      </c>
      <c r="G62" s="1635" t="s">
        <v>2257</v>
      </c>
      <c r="H62" s="1617">
        <f>IFERROR(VLOOKUP(Financeiros[[#This Row],[Tipo]],RefTabTipo[],2,FALSE),0)</f>
        <v>22</v>
      </c>
      <c r="I62" s="1641">
        <f>IFERROR(VLOOKUP(Financeiros[[#This Row],[Tipo]],RefTabTipo[],3,FALSE),0)</f>
        <v>60</v>
      </c>
      <c r="J62" s="1618">
        <f>IFERROR(VLOOKUP(Financeiros[[#This Row],[Tipo]],RefTabTipo[],4,FALSE),0)</f>
        <v>241</v>
      </c>
      <c r="K62" s="1647">
        <f>IFERROR(VLOOKUP(Financeiros[[#This Row],[Grupo Tarifário]],RefTabGrupoTarifa[],2,FALSE),0)</f>
        <v>2</v>
      </c>
      <c r="L62" s="1617">
        <f>IFERROR(VLOOKUP(Financeiros[[#This Row],[Grupo Tarifário]],RefTabGrupoTarifa[],3,FALSE),0)</f>
        <v>24</v>
      </c>
      <c r="M62" s="1647">
        <f>IFERROR(VLOOKUP(Financeiros[[#This Row],[Grupo Tarifário]],RefTabGrupoTarifa[],4,FALSE),0)</f>
        <v>9</v>
      </c>
    </row>
    <row r="63" spans="3:13" ht="16.5" hidden="1">
      <c r="C63" s="1670" t="s">
        <v>2113</v>
      </c>
      <c r="D63" s="1671">
        <f>IFERROR(CVE!$D$16,0)</f>
        <v>0</v>
      </c>
      <c r="E63" s="1628">
        <f t="shared" ca="1" si="10"/>
        <v>0</v>
      </c>
      <c r="F63" s="1616" t="s">
        <v>2229</v>
      </c>
      <c r="G63" s="1635" t="s">
        <v>2250</v>
      </c>
      <c r="H63" s="1617">
        <f>IFERROR(VLOOKUP(Financeiros[[#This Row],[Tipo]],RefTabTipo[],2,FALSE),0)</f>
        <v>22</v>
      </c>
      <c r="I63" s="1641">
        <f>IFERROR(VLOOKUP(Financeiros[[#This Row],[Tipo]],RefTabTipo[],3,FALSE),0)</f>
        <v>60</v>
      </c>
      <c r="J63" s="1618">
        <f>IFERROR(VLOOKUP(Financeiros[[#This Row],[Tipo]],RefTabTipo[],4,FALSE),0)</f>
        <v>241</v>
      </c>
      <c r="K63" s="1647">
        <f>IFERROR(VLOOKUP(Financeiros[[#This Row],[Grupo Tarifário]],RefTabGrupoTarifa[],2,FALSE),0)</f>
        <v>3</v>
      </c>
      <c r="L63" s="1617">
        <f>IFERROR(VLOOKUP(Financeiros[[#This Row],[Grupo Tarifário]],RefTabGrupoTarifa[],3,FALSE),0)</f>
        <v>18</v>
      </c>
      <c r="M63" s="1647">
        <f>IFERROR(VLOOKUP(Financeiros[[#This Row],[Grupo Tarifário]],RefTabGrupoTarifa[],4,FALSE),0)</f>
        <v>9</v>
      </c>
    </row>
    <row r="64" spans="3:13" ht="16.5" hidden="1">
      <c r="C64" s="1670" t="s">
        <v>2114</v>
      </c>
      <c r="D64" s="1671">
        <f>CVE!D14</f>
        <v>0</v>
      </c>
      <c r="E64" s="1628">
        <f t="shared" ca="1" si="10"/>
        <v>0</v>
      </c>
      <c r="F64" s="1616" t="s">
        <v>2229</v>
      </c>
      <c r="G64" s="1635" t="s">
        <v>2247</v>
      </c>
      <c r="H64" s="1617">
        <f>IFERROR(VLOOKUP(Financeiros[[#This Row],[Tipo]],RefTabTipo[],2,FALSE),0)</f>
        <v>22</v>
      </c>
      <c r="I64" s="1641">
        <f>IFERROR(VLOOKUP(Financeiros[[#This Row],[Tipo]],RefTabTipo[],3,FALSE),0)</f>
        <v>60</v>
      </c>
      <c r="J64" s="1618">
        <f>IFERROR(VLOOKUP(Financeiros[[#This Row],[Tipo]],RefTabTipo[],4,FALSE),0)</f>
        <v>241</v>
      </c>
      <c r="K64" s="1647">
        <f>IFERROR(VLOOKUP(Financeiros[[#This Row],[Grupo Tarifário]],RefTabGrupoTarifa[],2,FALSE),0)</f>
        <v>3</v>
      </c>
      <c r="L64" s="1617">
        <f>IFERROR(VLOOKUP(Financeiros[[#This Row],[Grupo Tarifário]],RefTabGrupoTarifa[],3,FALSE),0)</f>
        <v>16</v>
      </c>
      <c r="M64" s="1647">
        <f>IFERROR(VLOOKUP(Financeiros[[#This Row],[Grupo Tarifário]],RefTabGrupoTarifa[],4,FALSE),0)</f>
        <v>9</v>
      </c>
    </row>
    <row r="65" spans="3:13" ht="16.5">
      <c r="C65" s="1670" t="s">
        <v>2115</v>
      </c>
      <c r="D65" s="1671">
        <f>CVE!D17</f>
        <v>1620612.8811000001</v>
      </c>
      <c r="E65" s="1628">
        <f t="shared" ca="1" si="10"/>
        <v>2.3745465752067586E-2</v>
      </c>
      <c r="F65" s="1616" t="s">
        <v>2229</v>
      </c>
      <c r="G65" s="1635" t="s">
        <v>2240</v>
      </c>
      <c r="H65" s="1617">
        <f>IFERROR(VLOOKUP(Financeiros[[#This Row],[Tipo]],RefTabTipo[],2,FALSE),0)</f>
        <v>22</v>
      </c>
      <c r="I65" s="1641">
        <f>IFERROR(VLOOKUP(Financeiros[[#This Row],[Tipo]],RefTabTipo[],3,FALSE),0)</f>
        <v>60</v>
      </c>
      <c r="J65" s="1618">
        <f>IFERROR(VLOOKUP(Financeiros[[#This Row],[Tipo]],RefTabTipo[],4,FALSE),0)</f>
        <v>241</v>
      </c>
      <c r="K65" s="1647">
        <f>IFERROR(VLOOKUP(Financeiros[[#This Row],[Grupo Tarifário]],RefTabGrupoTarifa[],2,FALSE),0)</f>
        <v>3</v>
      </c>
      <c r="L65" s="1617">
        <f>IFERROR(VLOOKUP(Financeiros[[#This Row],[Grupo Tarifário]],RefTabGrupoTarifa[],3,FALSE),0)</f>
        <v>17</v>
      </c>
      <c r="M65" s="1647">
        <f>IFERROR(VLOOKUP(Financeiros[[#This Row],[Grupo Tarifário]],RefTabGrupoTarifa[],4,FALSE),0)</f>
        <v>9</v>
      </c>
    </row>
    <row r="66" spans="3:13" ht="16.5" hidden="1">
      <c r="C66" s="1672" t="s">
        <v>2092</v>
      </c>
      <c r="D66" s="1673">
        <f ca="1">IFERROR('Financeiros Mitigação'!$D$5*H2,0)</f>
        <v>0</v>
      </c>
      <c r="E66" s="1629">
        <f t="shared" ca="1" si="10"/>
        <v>0</v>
      </c>
      <c r="F66" s="1613" t="s">
        <v>2231</v>
      </c>
      <c r="G66" s="1636" t="s">
        <v>2253</v>
      </c>
      <c r="H66" s="1614">
        <f>IFERROR(VLOOKUP(Financeiros[[#This Row],[Tipo]],RefTabTipo[],2,FALSE),0)</f>
        <v>22</v>
      </c>
      <c r="I66" s="1642">
        <f>IFERROR(VLOOKUP(Financeiros[[#This Row],[Tipo]],RefTabTipo[],3,FALSE),0)</f>
        <v>60</v>
      </c>
      <c r="J66" s="1615">
        <f>IFERROR(VLOOKUP(Financeiros[[#This Row],[Tipo]],RefTabTipo[],4,FALSE),0)</f>
        <v>240</v>
      </c>
      <c r="K66" s="1648">
        <f>IFERROR(VLOOKUP(Financeiros[[#This Row],[Grupo Tarifário]],RefTabGrupoTarifa[],2,FALSE),0)</f>
        <v>2</v>
      </c>
      <c r="L66" s="1614">
        <f>IFERROR(VLOOKUP(Financeiros[[#This Row],[Grupo Tarifário]],RefTabGrupoTarifa[],3,FALSE),0)</f>
        <v>11</v>
      </c>
      <c r="M66" s="1648">
        <f>IFERROR(VLOOKUP(Financeiros[[#This Row],[Grupo Tarifário]],RefTabGrupoTarifa[],4,FALSE),0)</f>
        <v>9</v>
      </c>
    </row>
    <row r="67" spans="3:13" ht="16.5" hidden="1">
      <c r="C67" s="1672" t="s">
        <v>2093</v>
      </c>
      <c r="D67" s="1673">
        <f ca="1">IFERROR('Financeiros Mitigação'!$D$5*H3,0)</f>
        <v>0</v>
      </c>
      <c r="E67" s="1629">
        <f t="shared" ca="1" si="10"/>
        <v>0</v>
      </c>
      <c r="F67" s="1613" t="s">
        <v>2231</v>
      </c>
      <c r="G67" s="1636" t="s">
        <v>2255</v>
      </c>
      <c r="H67" s="1614">
        <f>IFERROR(VLOOKUP(Financeiros[[#This Row],[Tipo]],RefTabTipo[],2,FALSE),0)</f>
        <v>22</v>
      </c>
      <c r="I67" s="1642">
        <f>IFERROR(VLOOKUP(Financeiros[[#This Row],[Tipo]],RefTabTipo[],3,FALSE),0)</f>
        <v>60</v>
      </c>
      <c r="J67" s="1615">
        <f>IFERROR(VLOOKUP(Financeiros[[#This Row],[Tipo]],RefTabTipo[],4,FALSE),0)</f>
        <v>240</v>
      </c>
      <c r="K67" s="1648">
        <f>IFERROR(VLOOKUP(Financeiros[[#This Row],[Grupo Tarifário]],RefTabGrupoTarifa[],2,FALSE),0)</f>
        <v>2</v>
      </c>
      <c r="L67" s="1614">
        <f>IFERROR(VLOOKUP(Financeiros[[#This Row],[Grupo Tarifário]],RefTabGrupoTarifa[],3,FALSE),0)</f>
        <v>9</v>
      </c>
      <c r="M67" s="1648">
        <f>IFERROR(VLOOKUP(Financeiros[[#This Row],[Grupo Tarifário]],RefTabGrupoTarifa[],4,FALSE),0)</f>
        <v>9</v>
      </c>
    </row>
    <row r="68" spans="3:13" ht="16.5" hidden="1">
      <c r="C68" s="1672" t="s">
        <v>2094</v>
      </c>
      <c r="D68" s="1673">
        <f ca="1">IFERROR('Financeiros Mitigação'!$D$5*H4,0)</f>
        <v>0</v>
      </c>
      <c r="E68" s="1629">
        <f t="shared" ca="1" si="10"/>
        <v>0</v>
      </c>
      <c r="F68" s="1613" t="s">
        <v>2231</v>
      </c>
      <c r="G68" s="1636" t="s">
        <v>2258</v>
      </c>
      <c r="H68" s="1614">
        <f>IFERROR(VLOOKUP(Financeiros[[#This Row],[Tipo]],RefTabTipo[],2,FALSE),0)</f>
        <v>22</v>
      </c>
      <c r="I68" s="1642">
        <f>IFERROR(VLOOKUP(Financeiros[[#This Row],[Tipo]],RefTabTipo[],3,FALSE),0)</f>
        <v>60</v>
      </c>
      <c r="J68" s="1615">
        <f>IFERROR(VLOOKUP(Financeiros[[#This Row],[Tipo]],RefTabTipo[],4,FALSE),0)</f>
        <v>240</v>
      </c>
      <c r="K68" s="1648">
        <f>IFERROR(VLOOKUP(Financeiros[[#This Row],[Grupo Tarifário]],RefTabGrupoTarifa[],2,FALSE),0)</f>
        <v>2</v>
      </c>
      <c r="L68" s="1614">
        <f>IFERROR(VLOOKUP(Financeiros[[#This Row],[Grupo Tarifário]],RefTabGrupoTarifa[],3,FALSE),0)</f>
        <v>8</v>
      </c>
      <c r="M68" s="1648">
        <f>IFERROR(VLOOKUP(Financeiros[[#This Row],[Grupo Tarifário]],RefTabGrupoTarifa[],4,FALSE),0)</f>
        <v>9</v>
      </c>
    </row>
    <row r="69" spans="3:13" ht="16.5" hidden="1">
      <c r="C69" s="1672" t="s">
        <v>2095</v>
      </c>
      <c r="D69" s="1673">
        <f ca="1">IFERROR('Financeiros Mitigação'!$D$5*H5,0)</f>
        <v>0</v>
      </c>
      <c r="E69" s="1629">
        <f t="shared" ca="1" si="10"/>
        <v>0</v>
      </c>
      <c r="F69" s="1613" t="s">
        <v>2231</v>
      </c>
      <c r="G69" s="1636" t="s">
        <v>2256</v>
      </c>
      <c r="H69" s="1614">
        <f>IFERROR(VLOOKUP(Financeiros[[#This Row],[Tipo]],RefTabTipo[],2,FALSE),0)</f>
        <v>22</v>
      </c>
      <c r="I69" s="1642">
        <f>IFERROR(VLOOKUP(Financeiros[[#This Row],[Tipo]],RefTabTipo[],3,FALSE),0)</f>
        <v>60</v>
      </c>
      <c r="J69" s="1615">
        <f>IFERROR(VLOOKUP(Financeiros[[#This Row],[Tipo]],RefTabTipo[],4,FALSE),0)</f>
        <v>240</v>
      </c>
      <c r="K69" s="1648">
        <f>IFERROR(VLOOKUP(Financeiros[[#This Row],[Grupo Tarifário]],RefTabGrupoTarifa[],2,FALSE),0)</f>
        <v>2</v>
      </c>
      <c r="L69" s="1614">
        <f>IFERROR(VLOOKUP(Financeiros[[#This Row],[Grupo Tarifário]],RefTabGrupoTarifa[],3,FALSE),0)</f>
        <v>10</v>
      </c>
      <c r="M69" s="1648">
        <f>IFERROR(VLOOKUP(Financeiros[[#This Row],[Grupo Tarifário]],RefTabGrupoTarifa[],4,FALSE),0)</f>
        <v>9</v>
      </c>
    </row>
    <row r="70" spans="3:13" ht="16.5" hidden="1">
      <c r="C70" s="1672" t="s">
        <v>2096</v>
      </c>
      <c r="D70" s="1673">
        <f ca="1">IFERROR('Financeiros Mitigação'!$D$5*H6,0)</f>
        <v>0</v>
      </c>
      <c r="E70" s="1629">
        <f t="shared" ca="1" si="10"/>
        <v>0</v>
      </c>
      <c r="F70" s="1613" t="s">
        <v>2231</v>
      </c>
      <c r="G70" s="1636" t="s">
        <v>2257</v>
      </c>
      <c r="H70" s="1614">
        <f>IFERROR(VLOOKUP(Financeiros[[#This Row],[Tipo]],RefTabTipo[],2,FALSE),0)</f>
        <v>22</v>
      </c>
      <c r="I70" s="1642">
        <f>IFERROR(VLOOKUP(Financeiros[[#This Row],[Tipo]],RefTabTipo[],3,FALSE),0)</f>
        <v>60</v>
      </c>
      <c r="J70" s="1615">
        <f>IFERROR(VLOOKUP(Financeiros[[#This Row],[Tipo]],RefTabTipo[],4,FALSE),0)</f>
        <v>240</v>
      </c>
      <c r="K70" s="1648">
        <f>IFERROR(VLOOKUP(Financeiros[[#This Row],[Grupo Tarifário]],RefTabGrupoTarifa[],2,FALSE),0)</f>
        <v>2</v>
      </c>
      <c r="L70" s="1614">
        <f>IFERROR(VLOOKUP(Financeiros[[#This Row],[Grupo Tarifário]],RefTabGrupoTarifa[],3,FALSE),0)</f>
        <v>24</v>
      </c>
      <c r="M70" s="1648">
        <f>IFERROR(VLOOKUP(Financeiros[[#This Row],[Grupo Tarifário]],RefTabGrupoTarifa[],4,FALSE),0)</f>
        <v>9</v>
      </c>
    </row>
    <row r="71" spans="3:13" ht="16.5">
      <c r="C71" s="1672" t="s">
        <v>2097</v>
      </c>
      <c r="D71" s="1673">
        <f>IFERROR('Financeiros Mitigação'!D6,0)</f>
        <v>-866418.63761915977</v>
      </c>
      <c r="E71" s="1629">
        <f t="shared" ca="1" si="10"/>
        <v>-1.2694897298714808E-2</v>
      </c>
      <c r="F71" s="1613" t="s">
        <v>2231</v>
      </c>
      <c r="G71" s="1636" t="s">
        <v>2240</v>
      </c>
      <c r="H71" s="1614">
        <f>IFERROR(VLOOKUP(Financeiros[[#This Row],[Tipo]],RefTabTipo[],2,FALSE),0)</f>
        <v>22</v>
      </c>
      <c r="I71" s="1642">
        <f>IFERROR(VLOOKUP(Financeiros[[#This Row],[Tipo]],RefTabTipo[],3,FALSE),0)</f>
        <v>60</v>
      </c>
      <c r="J71" s="1615">
        <f>IFERROR(VLOOKUP(Financeiros[[#This Row],[Tipo]],RefTabTipo[],4,FALSE),0)</f>
        <v>240</v>
      </c>
      <c r="K71" s="1648">
        <f>IFERROR(VLOOKUP(Financeiros[[#This Row],[Grupo Tarifário]],RefTabGrupoTarifa[],2,FALSE),0)</f>
        <v>3</v>
      </c>
      <c r="L71" s="1614">
        <f>IFERROR(VLOOKUP(Financeiros[[#This Row],[Grupo Tarifário]],RefTabGrupoTarifa[],3,FALSE),0)</f>
        <v>17</v>
      </c>
      <c r="M71" s="1648">
        <f>IFERROR(VLOOKUP(Financeiros[[#This Row],[Grupo Tarifário]],RefTabGrupoTarifa[],4,FALSE),0)</f>
        <v>9</v>
      </c>
    </row>
    <row r="72" spans="3:13" ht="16.5">
      <c r="C72" s="1672" t="s">
        <v>2388</v>
      </c>
      <c r="D72" s="1673">
        <f>'Financeiros Mitigação'!D7</f>
        <v>-2224462.587973251</v>
      </c>
      <c r="E72" s="1629">
        <f t="shared" ca="1" si="10"/>
        <v>-3.259316325045003E-2</v>
      </c>
      <c r="F72" s="1613" t="s">
        <v>2231</v>
      </c>
      <c r="G72" s="1636" t="s">
        <v>104</v>
      </c>
      <c r="H72" s="1614">
        <f>IFERROR(VLOOKUP(Financeiros[[#This Row],[Tipo]],RefTabTipo[],2,FALSE),0)</f>
        <v>22</v>
      </c>
      <c r="I72" s="1642">
        <f>IFERROR(VLOOKUP(Financeiros[[#This Row],[Tipo]],RefTabTipo[],3,FALSE),0)</f>
        <v>60</v>
      </c>
      <c r="J72" s="1615">
        <f>IFERROR(VLOOKUP(Financeiros[[#This Row],[Tipo]],RefTabTipo[],4,FALSE),0)</f>
        <v>240</v>
      </c>
      <c r="K72" s="1648">
        <f>IFERROR(VLOOKUP(Financeiros[[#This Row],[Grupo Tarifário]],RefTabGrupoTarifa[],2,FALSE),0)</f>
        <v>4</v>
      </c>
      <c r="L72" s="1614">
        <f>IFERROR(VLOOKUP(Financeiros[[#This Row],[Grupo Tarifário]],RefTabGrupoTarifa[],3,FALSE),0)</f>
        <v>999</v>
      </c>
      <c r="M72" s="1648">
        <f>IFERROR(VLOOKUP(Financeiros[[#This Row],[Grupo Tarifário]],RefTabGrupoTarifa[],4,FALSE),0)</f>
        <v>9</v>
      </c>
    </row>
    <row r="73" spans="3:13" ht="16.5" hidden="1">
      <c r="C73" s="1672"/>
      <c r="D73" s="1673"/>
      <c r="E73" s="1629">
        <f t="shared" ca="1" si="10"/>
        <v>0</v>
      </c>
      <c r="F73" s="1613" t="s">
        <v>2231</v>
      </c>
      <c r="G73" s="1636" t="s">
        <v>2255</v>
      </c>
      <c r="H73" s="1614">
        <f>IFERROR(VLOOKUP(Financeiros[[#This Row],[Tipo]],RefTabTipo[],2,FALSE),0)</f>
        <v>22</v>
      </c>
      <c r="I73" s="1642">
        <f>IFERROR(VLOOKUP(Financeiros[[#This Row],[Tipo]],RefTabTipo[],3,FALSE),0)</f>
        <v>60</v>
      </c>
      <c r="J73" s="1615">
        <f>IFERROR(VLOOKUP(Financeiros[[#This Row],[Tipo]],RefTabTipo[],4,FALSE),0)</f>
        <v>240</v>
      </c>
      <c r="K73" s="1648">
        <f>IFERROR(VLOOKUP(Financeiros[[#This Row],[Grupo Tarifário]],RefTabGrupoTarifa[],2,FALSE),0)</f>
        <v>2</v>
      </c>
      <c r="L73" s="1614">
        <f>IFERROR(VLOOKUP(Financeiros[[#This Row],[Grupo Tarifário]],RefTabGrupoTarifa[],3,FALSE),0)</f>
        <v>9</v>
      </c>
      <c r="M73" s="1648">
        <f>IFERROR(VLOOKUP(Financeiros[[#This Row],[Grupo Tarifário]],RefTabGrupoTarifa[],4,FALSE),0)</f>
        <v>9</v>
      </c>
    </row>
    <row r="74" spans="3:13" ht="16.5" hidden="1">
      <c r="C74" s="1672"/>
      <c r="D74" s="1673"/>
      <c r="E74" s="1629">
        <f t="shared" ca="1" si="10"/>
        <v>0</v>
      </c>
      <c r="F74" s="1613" t="s">
        <v>2231</v>
      </c>
      <c r="G74" s="1636" t="s">
        <v>2258</v>
      </c>
      <c r="H74" s="1614">
        <f>IFERROR(VLOOKUP(Financeiros[[#This Row],[Tipo]],RefTabTipo[],2,FALSE),0)</f>
        <v>22</v>
      </c>
      <c r="I74" s="1642">
        <f>IFERROR(VLOOKUP(Financeiros[[#This Row],[Tipo]],RefTabTipo[],3,FALSE),0)</f>
        <v>60</v>
      </c>
      <c r="J74" s="1615">
        <f>IFERROR(VLOOKUP(Financeiros[[#This Row],[Tipo]],RefTabTipo[],4,FALSE),0)</f>
        <v>240</v>
      </c>
      <c r="K74" s="1648">
        <f>IFERROR(VLOOKUP(Financeiros[[#This Row],[Grupo Tarifário]],RefTabGrupoTarifa[],2,FALSE),0)</f>
        <v>2</v>
      </c>
      <c r="L74" s="1614">
        <f>IFERROR(VLOOKUP(Financeiros[[#This Row],[Grupo Tarifário]],RefTabGrupoTarifa[],3,FALSE),0)</f>
        <v>8</v>
      </c>
      <c r="M74" s="1648">
        <f>IFERROR(VLOOKUP(Financeiros[[#This Row],[Grupo Tarifário]],RefTabGrupoTarifa[],4,FALSE),0)</f>
        <v>9</v>
      </c>
    </row>
    <row r="75" spans="3:13" ht="16.5" hidden="1">
      <c r="C75" s="1672"/>
      <c r="D75" s="1673"/>
      <c r="E75" s="1629">
        <f t="shared" ca="1" si="10"/>
        <v>0</v>
      </c>
      <c r="F75" s="1613" t="s">
        <v>2231</v>
      </c>
      <c r="G75" s="1636" t="s">
        <v>2256</v>
      </c>
      <c r="H75" s="1614">
        <f>IFERROR(VLOOKUP(Financeiros[[#This Row],[Tipo]],RefTabTipo[],2,FALSE),0)</f>
        <v>22</v>
      </c>
      <c r="I75" s="1642">
        <f>IFERROR(VLOOKUP(Financeiros[[#This Row],[Tipo]],RefTabTipo[],3,FALSE),0)</f>
        <v>60</v>
      </c>
      <c r="J75" s="1615">
        <f>IFERROR(VLOOKUP(Financeiros[[#This Row],[Tipo]],RefTabTipo[],4,FALSE),0)</f>
        <v>240</v>
      </c>
      <c r="K75" s="1648">
        <f>IFERROR(VLOOKUP(Financeiros[[#This Row],[Grupo Tarifário]],RefTabGrupoTarifa[],2,FALSE),0)</f>
        <v>2</v>
      </c>
      <c r="L75" s="1614">
        <f>IFERROR(VLOOKUP(Financeiros[[#This Row],[Grupo Tarifário]],RefTabGrupoTarifa[],3,FALSE),0)</f>
        <v>10</v>
      </c>
      <c r="M75" s="1648">
        <f>IFERROR(VLOOKUP(Financeiros[[#This Row],[Grupo Tarifário]],RefTabGrupoTarifa[],4,FALSE),0)</f>
        <v>9</v>
      </c>
    </row>
    <row r="76" spans="3:13" ht="16.5" hidden="1">
      <c r="C76" s="1672"/>
      <c r="D76" s="1673"/>
      <c r="E76" s="1629">
        <f t="shared" ca="1" si="10"/>
        <v>0</v>
      </c>
      <c r="F76" s="1636" t="s">
        <v>2231</v>
      </c>
      <c r="G76" s="1636" t="s">
        <v>2257</v>
      </c>
      <c r="H76" s="1648">
        <f>IFERROR(VLOOKUP(Financeiros[[#This Row],[Tipo]],RefTabTipo[],2,FALSE),0)</f>
        <v>22</v>
      </c>
      <c r="I76" s="1642">
        <f>IFERROR(VLOOKUP(Financeiros[[#This Row],[Tipo]],RefTabTipo[],3,FALSE),0)</f>
        <v>60</v>
      </c>
      <c r="J76" s="1642">
        <f>IFERROR(VLOOKUP(Financeiros[[#This Row],[Tipo]],RefTabTipo[],4,FALSE),0)</f>
        <v>240</v>
      </c>
      <c r="K76" s="1648">
        <f>IFERROR(VLOOKUP(Financeiros[[#This Row],[Grupo Tarifário]],RefTabGrupoTarifa[],2,FALSE),0)</f>
        <v>2</v>
      </c>
      <c r="L76" s="1648">
        <f>IFERROR(VLOOKUP(Financeiros[[#This Row],[Grupo Tarifário]],RefTabGrupoTarifa[],3,FALSE),0)</f>
        <v>24</v>
      </c>
      <c r="M76" s="1648">
        <f>IFERROR(VLOOKUP(Financeiros[[#This Row],[Grupo Tarifário]],RefTabGrupoTarifa[],4,FALSE),0)</f>
        <v>9</v>
      </c>
    </row>
    <row r="77" spans="3:13" ht="16.5">
      <c r="C77" s="1674" t="s">
        <v>2309</v>
      </c>
      <c r="D77" s="1674">
        <f ca="1">IFERROR(CVE!$I$9*H2,0)</f>
        <v>-17653.468934578217</v>
      </c>
      <c r="E77" s="1630">
        <f t="shared" ca="1" si="10"/>
        <v>-2.5866130454713445E-4</v>
      </c>
      <c r="F77" s="1637" t="s">
        <v>2236</v>
      </c>
      <c r="G77" s="1637" t="s">
        <v>2253</v>
      </c>
      <c r="H77" s="1649">
        <f>IFERROR(VLOOKUP(Financeiros[[#This Row],[Tipo]],RefTabTipo[],2,FALSE),0)</f>
        <v>22</v>
      </c>
      <c r="I77" s="1643">
        <f>IFERROR(VLOOKUP(Financeiros[[#This Row],[Tipo]],RefTabTipo[],3,FALSE),0)</f>
        <v>60</v>
      </c>
      <c r="J77" s="1643">
        <f>IFERROR(VLOOKUP(Financeiros[[#This Row],[Tipo]],RefTabTipo[],4,FALSE),0)</f>
        <v>106</v>
      </c>
      <c r="K77" s="1649">
        <f>IFERROR(VLOOKUP(Financeiros[[#This Row],[Grupo Tarifário]],RefTabGrupoTarifa[],2,FALSE),0)</f>
        <v>2</v>
      </c>
      <c r="L77" s="1649">
        <f>IFERROR(VLOOKUP(Financeiros[[#This Row],[Grupo Tarifário]],RefTabGrupoTarifa[],3,FALSE),0)</f>
        <v>11</v>
      </c>
      <c r="M77" s="1649">
        <f>IFERROR(VLOOKUP(Financeiros[[#This Row],[Grupo Tarifário]],RefTabGrupoTarifa[],4,FALSE),0)</f>
        <v>9</v>
      </c>
    </row>
    <row r="78" spans="3:13" ht="16.5" hidden="1">
      <c r="C78" s="1674" t="s">
        <v>2310</v>
      </c>
      <c r="D78" s="1674">
        <f ca="1">IFERROR(CVE!$I$9*H3,0)</f>
        <v>0</v>
      </c>
      <c r="E78" s="1630">
        <f t="shared" ca="1" si="10"/>
        <v>0</v>
      </c>
      <c r="F78" s="1637" t="s">
        <v>2236</v>
      </c>
      <c r="G78" s="1637" t="s">
        <v>2255</v>
      </c>
      <c r="H78" s="1649">
        <f>IFERROR(VLOOKUP(Financeiros[[#This Row],[Tipo]],RefTabTipo[],2,FALSE),0)</f>
        <v>22</v>
      </c>
      <c r="I78" s="1643">
        <f>IFERROR(VLOOKUP(Financeiros[[#This Row],[Tipo]],RefTabTipo[],3,FALSE),0)</f>
        <v>60</v>
      </c>
      <c r="J78" s="1643">
        <f>IFERROR(VLOOKUP(Financeiros[[#This Row],[Tipo]],RefTabTipo[],4,FALSE),0)</f>
        <v>106</v>
      </c>
      <c r="K78" s="1649">
        <f>IFERROR(VLOOKUP(Financeiros[[#This Row],[Grupo Tarifário]],RefTabGrupoTarifa[],2,FALSE),0)</f>
        <v>2</v>
      </c>
      <c r="L78" s="1649">
        <f>IFERROR(VLOOKUP(Financeiros[[#This Row],[Grupo Tarifário]],RefTabGrupoTarifa[],3,FALSE),0)</f>
        <v>9</v>
      </c>
      <c r="M78" s="1649">
        <f>IFERROR(VLOOKUP(Financeiros[[#This Row],[Grupo Tarifário]],RefTabGrupoTarifa[],4,FALSE),0)</f>
        <v>9</v>
      </c>
    </row>
    <row r="79" spans="3:13" ht="16.5">
      <c r="C79" s="1674" t="s">
        <v>2311</v>
      </c>
      <c r="D79" s="1674">
        <f ca="1">IFERROR(CVE!$I$9*H4,0)</f>
        <v>-767.58411103142248</v>
      </c>
      <c r="E79" s="1630">
        <f t="shared" ca="1" si="10"/>
        <v>-1.1246758823708998E-5</v>
      </c>
      <c r="F79" s="1637" t="s">
        <v>2236</v>
      </c>
      <c r="G79" s="1637" t="s">
        <v>2258</v>
      </c>
      <c r="H79" s="1649">
        <f>IFERROR(VLOOKUP(Financeiros[[#This Row],[Tipo]],RefTabTipo[],2,FALSE),0)</f>
        <v>22</v>
      </c>
      <c r="I79" s="1643">
        <f>IFERROR(VLOOKUP(Financeiros[[#This Row],[Tipo]],RefTabTipo[],3,FALSE),0)</f>
        <v>60</v>
      </c>
      <c r="J79" s="1643">
        <f>IFERROR(VLOOKUP(Financeiros[[#This Row],[Tipo]],RefTabTipo[],4,FALSE),0)</f>
        <v>106</v>
      </c>
      <c r="K79" s="1649">
        <f>IFERROR(VLOOKUP(Financeiros[[#This Row],[Grupo Tarifário]],RefTabGrupoTarifa[],2,FALSE),0)</f>
        <v>2</v>
      </c>
      <c r="L79" s="1649">
        <f>IFERROR(VLOOKUP(Financeiros[[#This Row],[Grupo Tarifário]],RefTabGrupoTarifa[],3,FALSE),0)</f>
        <v>8</v>
      </c>
      <c r="M79" s="1649">
        <f>IFERROR(VLOOKUP(Financeiros[[#This Row],[Grupo Tarifário]],RefTabGrupoTarifa[],4,FALSE),0)</f>
        <v>9</v>
      </c>
    </row>
    <row r="80" spans="3:13" ht="16.5">
      <c r="C80" s="1674" t="s">
        <v>2312</v>
      </c>
      <c r="D80" s="1674">
        <f ca="1">IFERROR(CVE!$I$9*H5,0)</f>
        <v>-25.474691729051109</v>
      </c>
      <c r="E80" s="1630">
        <f t="shared" ca="1" si="10"/>
        <v>-3.7325904727233658E-7</v>
      </c>
      <c r="F80" s="1637" t="s">
        <v>2236</v>
      </c>
      <c r="G80" s="1637" t="s">
        <v>2256</v>
      </c>
      <c r="H80" s="1649">
        <f>IFERROR(VLOOKUP(Financeiros[[#This Row],[Tipo]],RefTabTipo[],2,FALSE),0)</f>
        <v>22</v>
      </c>
      <c r="I80" s="1643">
        <f>IFERROR(VLOOKUP(Financeiros[[#This Row],[Tipo]],RefTabTipo[],3,FALSE),0)</f>
        <v>60</v>
      </c>
      <c r="J80" s="1643">
        <f>IFERROR(VLOOKUP(Financeiros[[#This Row],[Tipo]],RefTabTipo[],4,FALSE),0)</f>
        <v>106</v>
      </c>
      <c r="K80" s="1649">
        <f>IFERROR(VLOOKUP(Financeiros[[#This Row],[Grupo Tarifário]],RefTabGrupoTarifa[],2,FALSE),0)</f>
        <v>2</v>
      </c>
      <c r="L80" s="1649">
        <f>IFERROR(VLOOKUP(Financeiros[[#This Row],[Grupo Tarifário]],RefTabGrupoTarifa[],3,FALSE),0)</f>
        <v>10</v>
      </c>
      <c r="M80" s="1649">
        <f>IFERROR(VLOOKUP(Financeiros[[#This Row],[Grupo Tarifário]],RefTabGrupoTarifa[],4,FALSE),0)</f>
        <v>9</v>
      </c>
    </row>
    <row r="81" spans="3:13" ht="16.5">
      <c r="C81" s="1674" t="s">
        <v>2313</v>
      </c>
      <c r="D81" s="1674">
        <f ca="1">IFERROR(CVE!$I$9*H6,0)</f>
        <v>-585.88586266131085</v>
      </c>
      <c r="E81" s="1630">
        <f t="shared" ca="1" si="10"/>
        <v>-8.5844885281929842E-6</v>
      </c>
      <c r="F81" s="1637" t="s">
        <v>2236</v>
      </c>
      <c r="G81" s="1637" t="s">
        <v>2257</v>
      </c>
      <c r="H81" s="1649">
        <f>IFERROR(VLOOKUP(Financeiros[[#This Row],[Tipo]],RefTabTipo[],2,FALSE),0)</f>
        <v>22</v>
      </c>
      <c r="I81" s="1643">
        <f>IFERROR(VLOOKUP(Financeiros[[#This Row],[Tipo]],RefTabTipo[],3,FALSE),0)</f>
        <v>60</v>
      </c>
      <c r="J81" s="1643">
        <f>IFERROR(VLOOKUP(Financeiros[[#This Row],[Tipo]],RefTabTipo[],4,FALSE),0)</f>
        <v>106</v>
      </c>
      <c r="K81" s="1649">
        <f>IFERROR(VLOOKUP(Financeiros[[#This Row],[Grupo Tarifário]],RefTabGrupoTarifa[],2,FALSE),0)</f>
        <v>2</v>
      </c>
      <c r="L81" s="1649">
        <f>IFERROR(VLOOKUP(Financeiros[[#This Row],[Grupo Tarifário]],RefTabGrupoTarifa[],3,FALSE),0)</f>
        <v>24</v>
      </c>
      <c r="M81" s="1649">
        <f>IFERROR(VLOOKUP(Financeiros[[#This Row],[Grupo Tarifário]],RefTabGrupoTarifa[],4,FALSE),0)</f>
        <v>9</v>
      </c>
    </row>
    <row r="82" spans="3:13" ht="16.5">
      <c r="C82" s="1675" t="s">
        <v>2290</v>
      </c>
      <c r="D82" s="1683">
        <f ca="1">IFERROR(CVE!$I$15*H2,0)</f>
        <v>-2522230.1560570491</v>
      </c>
      <c r="E82" s="1631">
        <f t="shared" ca="1" si="10"/>
        <v>-3.6956098824065267E-2</v>
      </c>
      <c r="F82" s="1638" t="s">
        <v>1307</v>
      </c>
      <c r="G82" s="1638" t="s">
        <v>2253</v>
      </c>
      <c r="H82" s="1650">
        <f>IFERROR(VLOOKUP(Financeiros[[#This Row],[Tipo]],RefTabTipo[],2,FALSE),0)</f>
        <v>22</v>
      </c>
      <c r="I82" s="1644">
        <f>IFERROR(VLOOKUP(Financeiros[[#This Row],[Tipo]],RefTabTipo[],3,FALSE),0)</f>
        <v>62</v>
      </c>
      <c r="J82" s="1644">
        <f>IFERROR(VLOOKUP(Financeiros[[#This Row],[Tipo]],RefTabTipo[],4,FALSE),0)</f>
        <v>220</v>
      </c>
      <c r="K82" s="1650">
        <f>IFERROR(VLOOKUP(Financeiros[[#This Row],[Grupo Tarifário]],RefTabGrupoTarifa[],2,FALSE),0)</f>
        <v>2</v>
      </c>
      <c r="L82" s="1650">
        <f>IFERROR(VLOOKUP(Financeiros[[#This Row],[Grupo Tarifário]],RefTabGrupoTarifa[],3,FALSE),0)</f>
        <v>11</v>
      </c>
      <c r="M82" s="1650">
        <f>IFERROR(VLOOKUP(Financeiros[[#This Row],[Grupo Tarifário]],RefTabGrupoTarifa[],4,FALSE),0)</f>
        <v>9</v>
      </c>
    </row>
    <row r="83" spans="3:13" ht="16.5" hidden="1">
      <c r="C83" s="1675" t="s">
        <v>2291</v>
      </c>
      <c r="D83" s="1683">
        <f ca="1">IFERROR(CVE!$I$15*H3,0)</f>
        <v>0</v>
      </c>
      <c r="E83" s="1632">
        <f t="shared" ca="1" si="10"/>
        <v>0</v>
      </c>
      <c r="F83" s="1638" t="s">
        <v>1307</v>
      </c>
      <c r="G83" s="1638" t="s">
        <v>2255</v>
      </c>
      <c r="H83" s="1651">
        <f>IFERROR(VLOOKUP(Financeiros[[#This Row],[Tipo]],RefTabTipo[],2,FALSE),0)</f>
        <v>22</v>
      </c>
      <c r="I83" s="1645">
        <f>IFERROR(VLOOKUP(Financeiros[[#This Row],[Tipo]],RefTabTipo[],3,FALSE),0)</f>
        <v>62</v>
      </c>
      <c r="J83" s="1645">
        <f>IFERROR(VLOOKUP(Financeiros[[#This Row],[Tipo]],RefTabTipo[],4,FALSE),0)</f>
        <v>220</v>
      </c>
      <c r="K83" s="1651">
        <f>IFERROR(VLOOKUP(Financeiros[[#This Row],[Grupo Tarifário]],RefTabGrupoTarifa[],2,FALSE),0)</f>
        <v>2</v>
      </c>
      <c r="L83" s="1651">
        <f>IFERROR(VLOOKUP(Financeiros[[#This Row],[Grupo Tarifário]],RefTabGrupoTarifa[],3,FALSE),0)</f>
        <v>9</v>
      </c>
      <c r="M83" s="1651">
        <f>IFERROR(VLOOKUP(Financeiros[[#This Row],[Grupo Tarifário]],RefTabGrupoTarifa[],4,FALSE),0)</f>
        <v>9</v>
      </c>
    </row>
    <row r="84" spans="3:13" ht="16.5">
      <c r="C84" s="1675" t="s">
        <v>2292</v>
      </c>
      <c r="D84" s="1683">
        <f ca="1">IFERROR(CVE!$I$15*H4,0)</f>
        <v>-109668.1790603526</v>
      </c>
      <c r="E84" s="1632">
        <f t="shared" ca="1" si="10"/>
        <v>-1.6068747943072351E-3</v>
      </c>
      <c r="F84" s="1638" t="s">
        <v>1307</v>
      </c>
      <c r="G84" s="1638" t="s">
        <v>2258</v>
      </c>
      <c r="H84" s="1651">
        <f>IFERROR(VLOOKUP(Financeiros[[#This Row],[Tipo]],RefTabTipo[],2,FALSE),0)</f>
        <v>22</v>
      </c>
      <c r="I84" s="1645">
        <f>IFERROR(VLOOKUP(Financeiros[[#This Row],[Tipo]],RefTabTipo[],3,FALSE),0)</f>
        <v>62</v>
      </c>
      <c r="J84" s="1645">
        <f>IFERROR(VLOOKUP(Financeiros[[#This Row],[Tipo]],RefTabTipo[],4,FALSE),0)</f>
        <v>220</v>
      </c>
      <c r="K84" s="1651">
        <f>IFERROR(VLOOKUP(Financeiros[[#This Row],[Grupo Tarifário]],RefTabGrupoTarifa[],2,FALSE),0)</f>
        <v>2</v>
      </c>
      <c r="L84" s="1651">
        <f>IFERROR(VLOOKUP(Financeiros[[#This Row],[Grupo Tarifário]],RefTabGrupoTarifa[],3,FALSE),0)</f>
        <v>8</v>
      </c>
      <c r="M84" s="1651">
        <f>IFERROR(VLOOKUP(Financeiros[[#This Row],[Grupo Tarifário]],RefTabGrupoTarifa[],4,FALSE),0)</f>
        <v>9</v>
      </c>
    </row>
    <row r="85" spans="3:13" ht="16.5">
      <c r="C85" s="1675" t="s">
        <v>2293</v>
      </c>
      <c r="D85" s="1683">
        <f ca="1">IFERROR(CVE!$I$15*H5,0)</f>
        <v>-3639.6832788719521</v>
      </c>
      <c r="E85" s="1632">
        <f t="shared" ca="1" si="10"/>
        <v>-5.3329191477340897E-5</v>
      </c>
      <c r="F85" s="1638" t="s">
        <v>1307</v>
      </c>
      <c r="G85" s="1638" t="s">
        <v>2256</v>
      </c>
      <c r="H85" s="1651">
        <f>IFERROR(VLOOKUP(Financeiros[[#This Row],[Tipo]],RefTabTipo[],2,FALSE),0)</f>
        <v>22</v>
      </c>
      <c r="I85" s="1645">
        <f>IFERROR(VLOOKUP(Financeiros[[#This Row],[Tipo]],RefTabTipo[],3,FALSE),0)</f>
        <v>62</v>
      </c>
      <c r="J85" s="1645">
        <f>IFERROR(VLOOKUP(Financeiros[[#This Row],[Tipo]],RefTabTipo[],4,FALSE),0)</f>
        <v>220</v>
      </c>
      <c r="K85" s="1651">
        <f>IFERROR(VLOOKUP(Financeiros[[#This Row],[Grupo Tarifário]],RefTabGrupoTarifa[],2,FALSE),0)</f>
        <v>2</v>
      </c>
      <c r="L85" s="1651">
        <f>IFERROR(VLOOKUP(Financeiros[[#This Row],[Grupo Tarifário]],RefTabGrupoTarifa[],3,FALSE),0)</f>
        <v>10</v>
      </c>
      <c r="M85" s="1651">
        <f>IFERROR(VLOOKUP(Financeiros[[#This Row],[Grupo Tarifário]],RefTabGrupoTarifa[],4,FALSE),0)</f>
        <v>9</v>
      </c>
    </row>
    <row r="86" spans="3:13" ht="16.5">
      <c r="C86" s="1675" t="s">
        <v>2294</v>
      </c>
      <c r="D86" s="1683">
        <f ca="1">IFERROR(CVE!$I$15*H6,0)</f>
        <v>-83708.136700395393</v>
      </c>
      <c r="E86" s="1632">
        <f t="shared" ca="1" si="10"/>
        <v>-1.2265043159717919E-3</v>
      </c>
      <c r="F86" s="1638" t="s">
        <v>1307</v>
      </c>
      <c r="G86" s="1638" t="s">
        <v>2257</v>
      </c>
      <c r="H86" s="1651">
        <f>IFERROR(VLOOKUP(Financeiros[[#This Row],[Tipo]],RefTabTipo[],2,FALSE),0)</f>
        <v>22</v>
      </c>
      <c r="I86" s="1645">
        <f>IFERROR(VLOOKUP(Financeiros[[#This Row],[Tipo]],RefTabTipo[],3,FALSE),0)</f>
        <v>62</v>
      </c>
      <c r="J86" s="1645">
        <f>IFERROR(VLOOKUP(Financeiros[[#This Row],[Tipo]],RefTabTipo[],4,FALSE),0)</f>
        <v>220</v>
      </c>
      <c r="K86" s="1651">
        <f>IFERROR(VLOOKUP(Financeiros[[#This Row],[Grupo Tarifário]],RefTabGrupoTarifa[],2,FALSE),0)</f>
        <v>2</v>
      </c>
      <c r="L86" s="1651">
        <f>IFERROR(VLOOKUP(Financeiros[[#This Row],[Grupo Tarifário]],RefTabGrupoTarifa[],3,FALSE),0)</f>
        <v>24</v>
      </c>
      <c r="M86" s="1651">
        <f>IFERROR(VLOOKUP(Financeiros[[#This Row],[Grupo Tarifário]],RefTabGrupoTarifa[],4,FALSE),0)</f>
        <v>9</v>
      </c>
    </row>
    <row r="87" spans="3:13" ht="16.5">
      <c r="C87" s="1684" t="s">
        <v>2295</v>
      </c>
      <c r="D87" s="1685">
        <f ca="1">IFERROR(Energia!$K$66*H2,0)</f>
        <v>2465322.1348087294</v>
      </c>
      <c r="E87" s="1686">
        <f t="shared" ca="1" si="10"/>
        <v>3.6122273864798812E-2</v>
      </c>
      <c r="F87" s="1638" t="s">
        <v>2274</v>
      </c>
      <c r="G87" s="1638" t="s">
        <v>2253</v>
      </c>
      <c r="H87" s="1651">
        <f>IFERROR(VLOOKUP(Financeiros[[#This Row],[Tipo]],RefTabTipo[],2,FALSE),0)</f>
        <v>22</v>
      </c>
      <c r="I87" s="1645">
        <f>IFERROR(VLOOKUP(Financeiros[[#This Row],[Tipo]],RefTabTipo[],3,FALSE),0)</f>
        <v>60</v>
      </c>
      <c r="J87" s="1645">
        <f>IFERROR(VLOOKUP(Financeiros[[#This Row],[Tipo]],RefTabTipo[],4,FALSE),0)</f>
        <v>220</v>
      </c>
      <c r="K87" s="1651">
        <f>IFERROR(VLOOKUP(Financeiros[[#This Row],[Grupo Tarifário]],RefTabGrupoTarifa[],2,FALSE),0)</f>
        <v>2</v>
      </c>
      <c r="L87" s="1651">
        <f>IFERROR(VLOOKUP(Financeiros[[#This Row],[Grupo Tarifário]],RefTabGrupoTarifa[],3,FALSE),0)</f>
        <v>11</v>
      </c>
      <c r="M87" s="1651">
        <f>IFERROR(VLOOKUP(Financeiros[[#This Row],[Grupo Tarifário]],RefTabGrupoTarifa[],4,FALSE),0)</f>
        <v>9</v>
      </c>
    </row>
    <row r="88" spans="3:13" ht="16.5" hidden="1">
      <c r="C88" s="1684" t="s">
        <v>2296</v>
      </c>
      <c r="D88" s="1685">
        <f ca="1">IFERROR(Energia!$K$66*H3,0)</f>
        <v>0</v>
      </c>
      <c r="E88" s="1686">
        <f t="shared" ca="1" si="10"/>
        <v>0</v>
      </c>
      <c r="F88" s="1638" t="s">
        <v>2274</v>
      </c>
      <c r="G88" s="1638" t="s">
        <v>2255</v>
      </c>
      <c r="H88" s="1651">
        <f>IFERROR(VLOOKUP(Financeiros[[#This Row],[Tipo]],RefTabTipo[],2,FALSE),0)</f>
        <v>22</v>
      </c>
      <c r="I88" s="1645">
        <f>IFERROR(VLOOKUP(Financeiros[[#This Row],[Tipo]],RefTabTipo[],3,FALSE),0)</f>
        <v>60</v>
      </c>
      <c r="J88" s="1645">
        <f>IFERROR(VLOOKUP(Financeiros[[#This Row],[Tipo]],RefTabTipo[],4,FALSE),0)</f>
        <v>220</v>
      </c>
      <c r="K88" s="1651">
        <f>IFERROR(VLOOKUP(Financeiros[[#This Row],[Grupo Tarifário]],RefTabGrupoTarifa[],2,FALSE),0)</f>
        <v>2</v>
      </c>
      <c r="L88" s="1651">
        <f>IFERROR(VLOOKUP(Financeiros[[#This Row],[Grupo Tarifário]],RefTabGrupoTarifa[],3,FALSE),0)</f>
        <v>9</v>
      </c>
      <c r="M88" s="1651">
        <f>IFERROR(VLOOKUP(Financeiros[[#This Row],[Grupo Tarifário]],RefTabGrupoTarifa[],4,FALSE),0)</f>
        <v>9</v>
      </c>
    </row>
    <row r="89" spans="3:13" ht="16.5">
      <c r="C89" s="1684" t="s">
        <v>2297</v>
      </c>
      <c r="D89" s="1685">
        <f ca="1">IFERROR(Energia!$K$66*H4,0)</f>
        <v>107193.7819284162</v>
      </c>
      <c r="E89" s="1686">
        <f t="shared" ca="1" si="10"/>
        <v>1.5706195522080058E-3</v>
      </c>
      <c r="F89" s="1638" t="s">
        <v>2274</v>
      </c>
      <c r="G89" s="1638" t="s">
        <v>2258</v>
      </c>
      <c r="H89" s="1651">
        <f>IFERROR(VLOOKUP(Financeiros[[#This Row],[Tipo]],RefTabTipo[],2,FALSE),0)</f>
        <v>22</v>
      </c>
      <c r="I89" s="1645">
        <f>IFERROR(VLOOKUP(Financeiros[[#This Row],[Tipo]],RefTabTipo[],3,FALSE),0)</f>
        <v>60</v>
      </c>
      <c r="J89" s="1645">
        <f>IFERROR(VLOOKUP(Financeiros[[#This Row],[Tipo]],RefTabTipo[],4,FALSE),0)</f>
        <v>220</v>
      </c>
      <c r="K89" s="1651">
        <f>IFERROR(VLOOKUP(Financeiros[[#This Row],[Grupo Tarifário]],RefTabGrupoTarifa[],2,FALSE),0)</f>
        <v>2</v>
      </c>
      <c r="L89" s="1651">
        <f>IFERROR(VLOOKUP(Financeiros[[#This Row],[Grupo Tarifário]],RefTabGrupoTarifa[],3,FALSE),0)</f>
        <v>8</v>
      </c>
      <c r="M89" s="1651">
        <f>IFERROR(VLOOKUP(Financeiros[[#This Row],[Grupo Tarifário]],RefTabGrupoTarifa[],4,FALSE),0)</f>
        <v>9</v>
      </c>
    </row>
    <row r="90" spans="3:13" ht="16.5">
      <c r="C90" s="1684" t="s">
        <v>2298</v>
      </c>
      <c r="D90" s="1685">
        <f ca="1">IFERROR(Energia!$K$66*H5,0)</f>
        <v>3557.5626314465812</v>
      </c>
      <c r="E90" s="1686">
        <f t="shared" ca="1" si="10"/>
        <v>5.2125947295020692E-5</v>
      </c>
      <c r="F90" s="1638" t="s">
        <v>2274</v>
      </c>
      <c r="G90" s="1638" t="s">
        <v>2256</v>
      </c>
      <c r="H90" s="1651">
        <f>IFERROR(VLOOKUP(Financeiros[[#This Row],[Tipo]],RefTabTipo[],2,FALSE),0)</f>
        <v>22</v>
      </c>
      <c r="I90" s="1645">
        <f>IFERROR(VLOOKUP(Financeiros[[#This Row],[Tipo]],RefTabTipo[],3,FALSE),0)</f>
        <v>60</v>
      </c>
      <c r="J90" s="1645">
        <f>IFERROR(VLOOKUP(Financeiros[[#This Row],[Tipo]],RefTabTipo[],4,FALSE),0)</f>
        <v>220</v>
      </c>
      <c r="K90" s="1651">
        <f>IFERROR(VLOOKUP(Financeiros[[#This Row],[Grupo Tarifário]],RefTabGrupoTarifa[],2,FALSE),0)</f>
        <v>2</v>
      </c>
      <c r="L90" s="1651">
        <f>IFERROR(VLOOKUP(Financeiros[[#This Row],[Grupo Tarifário]],RefTabGrupoTarifa[],3,FALSE),0)</f>
        <v>10</v>
      </c>
      <c r="M90" s="1651">
        <f>IFERROR(VLOOKUP(Financeiros[[#This Row],[Grupo Tarifário]],RefTabGrupoTarifa[],4,FALSE),0)</f>
        <v>9</v>
      </c>
    </row>
    <row r="91" spans="3:13" ht="16.5">
      <c r="C91" s="1684" t="s">
        <v>2299</v>
      </c>
      <c r="D91" s="1685">
        <f ca="1">IFERROR(Energia!$K$66*H6,0)</f>
        <v>81819.465117207961</v>
      </c>
      <c r="E91" s="1686">
        <f t="shared" ca="1" si="10"/>
        <v>1.1988312134569952E-3</v>
      </c>
      <c r="F91" s="1638" t="s">
        <v>2274</v>
      </c>
      <c r="G91" s="1638" t="s">
        <v>2257</v>
      </c>
      <c r="H91" s="1651">
        <f>IFERROR(VLOOKUP(Financeiros[[#This Row],[Tipo]],RefTabTipo[],2,FALSE),0)</f>
        <v>22</v>
      </c>
      <c r="I91" s="1645">
        <f>IFERROR(VLOOKUP(Financeiros[[#This Row],[Tipo]],RefTabTipo[],3,FALSE),0)</f>
        <v>60</v>
      </c>
      <c r="J91" s="1645">
        <f>IFERROR(VLOOKUP(Financeiros[[#This Row],[Tipo]],RefTabTipo[],4,FALSE),0)</f>
        <v>220</v>
      </c>
      <c r="K91" s="1651">
        <f>IFERROR(VLOOKUP(Financeiros[[#This Row],[Grupo Tarifário]],RefTabGrupoTarifa[],2,FALSE),0)</f>
        <v>2</v>
      </c>
      <c r="L91" s="1651">
        <f>IFERROR(VLOOKUP(Financeiros[[#This Row],[Grupo Tarifário]],RefTabGrupoTarifa[],3,FALSE),0)</f>
        <v>24</v>
      </c>
      <c r="M91" s="1651">
        <f>IFERROR(VLOOKUP(Financeiros[[#This Row],[Grupo Tarifário]],RefTabGrupoTarifa[],4,FALSE),0)</f>
        <v>9</v>
      </c>
    </row>
    <row r="92" spans="3:13" ht="16.5" hidden="1">
      <c r="C92" s="1625" t="s">
        <v>2399</v>
      </c>
      <c r="D92" s="1663"/>
      <c r="E92" s="1627">
        <f t="shared" ca="1" si="10"/>
        <v>0</v>
      </c>
      <c r="F92" s="1677"/>
      <c r="G92" s="1677"/>
      <c r="H92" s="1679">
        <f>IFERROR(VLOOKUP(Financeiros[[#This Row],[Tipo]],RefTabTipo[],2,FALSE),0)</f>
        <v>0</v>
      </c>
      <c r="I92" s="1640">
        <f>IFERROR(VLOOKUP(Financeiros[[#This Row],[Tipo]],RefTabTipo[],3,FALSE),0)</f>
        <v>0</v>
      </c>
      <c r="J92" s="1640">
        <f>IFERROR(VLOOKUP(Financeiros[[#This Row],[Tipo]],RefTabTipo[],4,FALSE),0)</f>
        <v>0</v>
      </c>
      <c r="K92" s="1679">
        <f>IFERROR(VLOOKUP(Financeiros[[#This Row],[Grupo Tarifário]],RefTabGrupoTarifa[],2,FALSE),0)</f>
        <v>0</v>
      </c>
      <c r="L92" s="1679">
        <f>IFERROR(VLOOKUP(Financeiros[[#This Row],[Grupo Tarifário]],RefTabGrupoTarifa[],3,FALSE),0)</f>
        <v>0</v>
      </c>
      <c r="M92" s="1679">
        <f>IFERROR(VLOOKUP(Financeiros[[#This Row],[Grupo Tarifário]],RefTabGrupoTarifa[],4,FALSE),0)</f>
        <v>0</v>
      </c>
    </row>
    <row r="93" spans="3:13" ht="16.5" hidden="1">
      <c r="C93" s="1625" t="s">
        <v>2400</v>
      </c>
      <c r="D93" s="1663"/>
      <c r="E93" s="1627">
        <f t="shared" ca="1" si="10"/>
        <v>0</v>
      </c>
      <c r="F93" s="1677"/>
      <c r="G93" s="1677"/>
      <c r="H93" s="1679">
        <f>IFERROR(VLOOKUP(Financeiros[[#This Row],[Tipo]],RefTabTipo[],2,FALSE),0)</f>
        <v>0</v>
      </c>
      <c r="I93" s="1640">
        <f>IFERROR(VLOOKUP(Financeiros[[#This Row],[Tipo]],RefTabTipo[],3,FALSE),0)</f>
        <v>0</v>
      </c>
      <c r="J93" s="1640">
        <f>IFERROR(VLOOKUP(Financeiros[[#This Row],[Tipo]],RefTabTipo[],4,FALSE),0)</f>
        <v>0</v>
      </c>
      <c r="K93" s="1679">
        <f>IFERROR(VLOOKUP(Financeiros[[#This Row],[Grupo Tarifário]],RefTabGrupoTarifa[],2,FALSE),0)</f>
        <v>0</v>
      </c>
      <c r="L93" s="1679">
        <f>IFERROR(VLOOKUP(Financeiros[[#This Row],[Grupo Tarifário]],RefTabGrupoTarifa[],3,FALSE),0)</f>
        <v>0</v>
      </c>
      <c r="M93" s="1679">
        <f>IFERROR(VLOOKUP(Financeiros[[#This Row],[Grupo Tarifário]],RefTabGrupoTarifa[],4,FALSE),0)</f>
        <v>0</v>
      </c>
    </row>
    <row r="94" spans="3:13" ht="16.5" hidden="1">
      <c r="C94" s="1766" t="s">
        <v>2401</v>
      </c>
      <c r="D94" s="1688"/>
      <c r="E94" s="1627">
        <f t="shared" ca="1" si="10"/>
        <v>0</v>
      </c>
      <c r="F94" s="1677"/>
      <c r="G94" s="1689"/>
      <c r="H94" s="1679">
        <f>IFERROR(VLOOKUP(Financeiros[[#This Row],[Tipo]],RefTabTipo[],2,FALSE),0)</f>
        <v>0</v>
      </c>
      <c r="I94" s="1640">
        <f>IFERROR(VLOOKUP(Financeiros[[#This Row],[Tipo]],RefTabTipo[],3,FALSE),0)</f>
        <v>0</v>
      </c>
      <c r="J94" s="1640">
        <f>IFERROR(VLOOKUP(Financeiros[[#This Row],[Tipo]],RefTabTipo[],4,FALSE),0)</f>
        <v>0</v>
      </c>
      <c r="K94" s="1679">
        <f>IFERROR(VLOOKUP(Financeiros[[#This Row],[Grupo Tarifário]],RefTabGrupoTarifa[],2,FALSE),0)</f>
        <v>0</v>
      </c>
      <c r="L94" s="1679">
        <f>IFERROR(VLOOKUP(Financeiros[[#This Row],[Grupo Tarifário]],RefTabGrupoTarifa[],3,FALSE),0)</f>
        <v>0</v>
      </c>
      <c r="M94" s="1679">
        <f>IFERROR(VLOOKUP(Financeiros[[#This Row],[Grupo Tarifário]],RefTabGrupoTarifa[],4,FALSE),0)</f>
        <v>0</v>
      </c>
    </row>
    <row r="95" spans="3:13" ht="16.5" hidden="1">
      <c r="C95" s="1625" t="s">
        <v>2402</v>
      </c>
      <c r="D95" s="1663"/>
      <c r="E95" s="1627">
        <f t="shared" ca="1" si="10"/>
        <v>0</v>
      </c>
      <c r="F95" s="1677"/>
      <c r="G95" s="1677"/>
      <c r="H95" s="1679">
        <f>IFERROR(VLOOKUP(Financeiros[[#This Row],[Tipo]],RefTabTipo[],2,FALSE),0)</f>
        <v>0</v>
      </c>
      <c r="I95" s="1640">
        <f>IFERROR(VLOOKUP(Financeiros[[#This Row],[Tipo]],RefTabTipo[],3,FALSE),0)</f>
        <v>0</v>
      </c>
      <c r="J95" s="1640">
        <f>IFERROR(VLOOKUP(Financeiros[[#This Row],[Tipo]],RefTabTipo[],4,FALSE),0)</f>
        <v>0</v>
      </c>
      <c r="K95" s="1679">
        <f>IFERROR(VLOOKUP(Financeiros[[#This Row],[Grupo Tarifário]],RefTabGrupoTarifa[],2,FALSE),0)</f>
        <v>0</v>
      </c>
      <c r="L95" s="1679">
        <f>IFERROR(VLOOKUP(Financeiros[[#This Row],[Grupo Tarifário]],RefTabGrupoTarifa[],3,FALSE),0)</f>
        <v>0</v>
      </c>
      <c r="M95" s="1679">
        <f>IFERROR(VLOOKUP(Financeiros[[#This Row],[Grupo Tarifário]],RefTabGrupoTarifa[],4,FALSE),0)</f>
        <v>0</v>
      </c>
    </row>
    <row r="96" spans="3:13" ht="16.5" hidden="1">
      <c r="C96" s="1625" t="s">
        <v>2403</v>
      </c>
      <c r="D96" s="1663"/>
      <c r="E96" s="1627">
        <f t="shared" ca="1" si="10"/>
        <v>0</v>
      </c>
      <c r="F96" s="1677"/>
      <c r="G96" s="1677"/>
      <c r="H96" s="1679">
        <f>IFERROR(VLOOKUP(Financeiros[[#This Row],[Tipo]],RefTabTipo[],2,FALSE),0)</f>
        <v>0</v>
      </c>
      <c r="I96" s="1640">
        <f>IFERROR(VLOOKUP(Financeiros[[#This Row],[Tipo]],RefTabTipo[],3,FALSE),0)</f>
        <v>0</v>
      </c>
      <c r="J96" s="1640">
        <f>IFERROR(VLOOKUP(Financeiros[[#This Row],[Tipo]],RefTabTipo[],4,FALSE),0)</f>
        <v>0</v>
      </c>
      <c r="K96" s="1679">
        <f>IFERROR(VLOOKUP(Financeiros[[#This Row],[Grupo Tarifário]],RefTabGrupoTarifa[],2,FALSE),0)</f>
        <v>0</v>
      </c>
      <c r="L96" s="1679">
        <f>IFERROR(VLOOKUP(Financeiros[[#This Row],[Grupo Tarifário]],RefTabGrupoTarifa[],3,FALSE),0)</f>
        <v>0</v>
      </c>
      <c r="M96" s="1679">
        <f>IFERROR(VLOOKUP(Financeiros[[#This Row],[Grupo Tarifário]],RefTabGrupoTarifa[],4,FALSE),0)</f>
        <v>0</v>
      </c>
    </row>
    <row r="97" spans="3:13" ht="16.5" hidden="1">
      <c r="C97" s="1625" t="s">
        <v>2404</v>
      </c>
      <c r="D97" s="1663"/>
      <c r="E97" s="1627">
        <f t="shared" ca="1" si="10"/>
        <v>0</v>
      </c>
      <c r="F97" s="1677"/>
      <c r="G97" s="1677"/>
      <c r="H97" s="1679">
        <f>IFERROR(VLOOKUP(Financeiros[[#This Row],[Tipo]],RefTabTipo[],2,FALSE),0)</f>
        <v>0</v>
      </c>
      <c r="I97" s="1640">
        <f>IFERROR(VLOOKUP(Financeiros[[#This Row],[Tipo]],RefTabTipo[],3,FALSE),0)</f>
        <v>0</v>
      </c>
      <c r="J97" s="1640">
        <f>IFERROR(VLOOKUP(Financeiros[[#This Row],[Tipo]],RefTabTipo[],4,FALSE),0)</f>
        <v>0</v>
      </c>
      <c r="K97" s="1679">
        <f>IFERROR(VLOOKUP(Financeiros[[#This Row],[Grupo Tarifário]],RefTabGrupoTarifa[],2,FALSE),0)</f>
        <v>0</v>
      </c>
      <c r="L97" s="1679">
        <f>IFERROR(VLOOKUP(Financeiros[[#This Row],[Grupo Tarifário]],RefTabGrupoTarifa[],3,FALSE),0)</f>
        <v>0</v>
      </c>
      <c r="M97" s="1679">
        <f>IFERROR(VLOOKUP(Financeiros[[#This Row],[Grupo Tarifário]],RefTabGrupoTarifa[],4,FALSE),0)</f>
        <v>0</v>
      </c>
    </row>
    <row r="98" spans="3:13" ht="16.5">
      <c r="C98" s="1625" t="s">
        <v>2406</v>
      </c>
      <c r="D98" s="1663">
        <f>Indexador!X49</f>
        <v>62622.378336678128</v>
      </c>
      <c r="E98" s="1627">
        <f t="shared" ca="1" si="10"/>
        <v>9.1755258609156664E-4</v>
      </c>
      <c r="F98" s="1677" t="s">
        <v>2398</v>
      </c>
      <c r="G98" s="1677" t="s">
        <v>2254</v>
      </c>
      <c r="H98" s="1679">
        <f>IFERROR(VLOOKUP(Financeiros[[#This Row],[Tipo]],RefTabTipo[],2,FALSE),0)</f>
        <v>22</v>
      </c>
      <c r="I98" s="1640">
        <f>IFERROR(VLOOKUP(Financeiros[[#This Row],[Tipo]],RefTabTipo[],3,FALSE),0)</f>
        <v>60</v>
      </c>
      <c r="J98" s="1640">
        <f>IFERROR(VLOOKUP(Financeiros[[#This Row],[Tipo]],RefTabTipo[],4,FALSE),0)</f>
        <v>102</v>
      </c>
      <c r="K98" s="1679">
        <f>IFERROR(VLOOKUP(Financeiros[[#This Row],[Grupo Tarifário]],RefTabGrupoTarifa[],2,FALSE),0)</f>
        <v>2</v>
      </c>
      <c r="L98" s="1679">
        <f>IFERROR(VLOOKUP(Financeiros[[#This Row],[Grupo Tarifário]],RefTabGrupoTarifa[],3,FALSE),0)</f>
        <v>30</v>
      </c>
      <c r="M98" s="1679">
        <f>IFERROR(VLOOKUP(Financeiros[[#This Row],[Grupo Tarifário]],RefTabGrupoTarifa[],4,FALSE),0)</f>
        <v>9</v>
      </c>
    </row>
    <row r="99" spans="3:13" ht="16.5" hidden="1">
      <c r="C99" s="1625"/>
      <c r="D99" s="1663"/>
      <c r="E99" s="1627">
        <f t="shared" ca="1" si="10"/>
        <v>0</v>
      </c>
      <c r="F99" s="1677"/>
      <c r="G99" s="1677"/>
      <c r="H99" s="1679">
        <f>IFERROR(VLOOKUP(Financeiros[[#This Row],[Tipo]],RefTabTipo[],2,FALSE),0)</f>
        <v>0</v>
      </c>
      <c r="I99" s="1640">
        <f>IFERROR(VLOOKUP(Financeiros[[#This Row],[Tipo]],RefTabTipo[],3,FALSE),0)</f>
        <v>0</v>
      </c>
      <c r="J99" s="1640">
        <f>IFERROR(VLOOKUP(Financeiros[[#This Row],[Tipo]],RefTabTipo[],4,FALSE),0)</f>
        <v>0</v>
      </c>
      <c r="K99" s="1679">
        <f>IFERROR(VLOOKUP(Financeiros[[#This Row],[Grupo Tarifário]],RefTabGrupoTarifa[],2,FALSE),0)</f>
        <v>0</v>
      </c>
      <c r="L99" s="1679">
        <f>IFERROR(VLOOKUP(Financeiros[[#This Row],[Grupo Tarifário]],RefTabGrupoTarifa[],3,FALSE),0)</f>
        <v>0</v>
      </c>
      <c r="M99" s="1679">
        <f>IFERROR(VLOOKUP(Financeiros[[#This Row],[Grupo Tarifário]],RefTabGrupoTarifa[],4,FALSE),0)</f>
        <v>0</v>
      </c>
    </row>
    <row r="100" spans="3:13" ht="16.5" hidden="1">
      <c r="C100" s="1625"/>
      <c r="D100" s="1663"/>
      <c r="E100" s="1627">
        <f t="shared" ca="1" si="10"/>
        <v>0</v>
      </c>
      <c r="F100" s="1677"/>
      <c r="G100" s="1677"/>
      <c r="H100" s="1679">
        <f>IFERROR(VLOOKUP(Financeiros[[#This Row],[Tipo]],RefTabTipo[],2,FALSE),0)</f>
        <v>0</v>
      </c>
      <c r="I100" s="1640">
        <f>IFERROR(VLOOKUP(Financeiros[[#This Row],[Tipo]],RefTabTipo[],3,FALSE),0)</f>
        <v>0</v>
      </c>
      <c r="J100" s="1640">
        <f>IFERROR(VLOOKUP(Financeiros[[#This Row],[Tipo]],RefTabTipo[],4,FALSE),0)</f>
        <v>0</v>
      </c>
      <c r="K100" s="1679">
        <f>IFERROR(VLOOKUP(Financeiros[[#This Row],[Grupo Tarifário]],RefTabGrupoTarifa[],2,FALSE),0)</f>
        <v>0</v>
      </c>
      <c r="L100" s="1679">
        <f>IFERROR(VLOOKUP(Financeiros[[#This Row],[Grupo Tarifário]],RefTabGrupoTarifa[],3,FALSE),0)</f>
        <v>0</v>
      </c>
      <c r="M100" s="1679">
        <f>IFERROR(VLOOKUP(Financeiros[[#This Row],[Grupo Tarifário]],RefTabGrupoTarifa[],4,FALSE),0)</f>
        <v>0</v>
      </c>
    </row>
  </sheetData>
  <phoneticPr fontId="113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E10 H46:M46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H30" sqref="H30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4" t="s">
        <v>2280</v>
      </c>
      <c r="B1" s="1230"/>
      <c r="C1" s="1230"/>
      <c r="D1" s="1230"/>
      <c r="E1" s="935"/>
      <c r="F1" s="935"/>
      <c r="G1" s="1133" t="s">
        <v>873</v>
      </c>
      <c r="H1" s="1134">
        <f ca="1">LnkTXTIRTEco</f>
        <v>0.15570000000000001</v>
      </c>
    </row>
    <row r="2" spans="1:8" ht="16.5">
      <c r="A2" s="136" t="str">
        <f>CAPA!C9</f>
        <v>Cegero</v>
      </c>
      <c r="B2" s="70"/>
      <c r="C2" s="70"/>
      <c r="D2" s="70"/>
      <c r="E2" s="70"/>
      <c r="F2" s="70"/>
      <c r="G2" s="120" t="s">
        <v>877</v>
      </c>
      <c r="H2" s="121">
        <f ca="1">LnkTXTIRTTotal</f>
        <v>0.16300000000000001</v>
      </c>
    </row>
    <row r="7" spans="1:8">
      <c r="A7" s="1830" t="s">
        <v>2045</v>
      </c>
      <c r="B7" s="1830"/>
      <c r="C7" s="1830"/>
      <c r="D7" s="1830"/>
      <c r="E7" s="1830"/>
      <c r="F7" s="1830"/>
      <c r="G7" s="1830"/>
      <c r="H7" s="1830"/>
    </row>
    <row r="9" spans="1:8">
      <c r="A9" s="9" t="s">
        <v>2279</v>
      </c>
    </row>
    <row r="12" spans="1:8">
      <c r="A12" s="688" t="s">
        <v>192</v>
      </c>
      <c r="B12" s="296" t="s">
        <v>2040</v>
      </c>
    </row>
    <row r="13" spans="1:8">
      <c r="A13" s="688" t="s">
        <v>952</v>
      </c>
      <c r="B13" s="1736"/>
    </row>
    <row r="14" spans="1:8">
      <c r="A14" s="688" t="s">
        <v>971</v>
      </c>
      <c r="B14" s="1736"/>
    </row>
    <row r="16" spans="1:8">
      <c r="A16" s="296" t="s">
        <v>192</v>
      </c>
      <c r="B16" s="296" t="s">
        <v>2046</v>
      </c>
      <c r="C16" s="296" t="s">
        <v>2041</v>
      </c>
      <c r="D16" s="296" t="s">
        <v>2042</v>
      </c>
      <c r="E16" s="296" t="s">
        <v>769</v>
      </c>
    </row>
    <row r="17" spans="1:8">
      <c r="A17" s="688" t="s">
        <v>769</v>
      </c>
      <c r="B17" s="1737">
        <f>B18+B19</f>
        <v>0</v>
      </c>
      <c r="C17" s="1737">
        <f>Indexador!R49</f>
        <v>0</v>
      </c>
      <c r="D17" s="1737">
        <f>C17*85%</f>
        <v>0</v>
      </c>
      <c r="E17" s="1737">
        <f>SUM(B17:D17)</f>
        <v>0</v>
      </c>
    </row>
    <row r="18" spans="1:8">
      <c r="A18" s="688" t="s">
        <v>952</v>
      </c>
      <c r="B18" s="1737">
        <f>Indexador!V49</f>
        <v>0</v>
      </c>
      <c r="C18" s="1737">
        <f>IFERROR($C$17*C41,0)</f>
        <v>0</v>
      </c>
      <c r="D18" s="1737">
        <f t="shared" ref="D18:D19" si="0">C18*85%</f>
        <v>0</v>
      </c>
      <c r="E18" s="1737">
        <f t="shared" ref="E18:E19" si="1">SUM(B18:D18)</f>
        <v>0</v>
      </c>
    </row>
    <row r="19" spans="1:8">
      <c r="A19" s="688" t="s">
        <v>971</v>
      </c>
      <c r="B19" s="1737">
        <f>Indexador!T49</f>
        <v>0</v>
      </c>
      <c r="C19" s="1737">
        <f>IFERROR($C$17*D41,0)</f>
        <v>0</v>
      </c>
      <c r="D19" s="1737">
        <f t="shared" si="0"/>
        <v>0</v>
      </c>
      <c r="E19" s="1737">
        <f t="shared" si="1"/>
        <v>0</v>
      </c>
    </row>
    <row r="24" spans="1:8">
      <c r="A24" s="1830" t="s">
        <v>2194</v>
      </c>
      <c r="B24" s="1830"/>
      <c r="C24" s="1830"/>
      <c r="D24" s="1830"/>
      <c r="E24" s="1830"/>
      <c r="F24" s="1830"/>
      <c r="G24" s="1830"/>
      <c r="H24" s="1830"/>
    </row>
    <row r="26" spans="1:8">
      <c r="E26" s="232"/>
      <c r="F26" s="232"/>
      <c r="G26" s="232"/>
      <c r="H26" s="232"/>
    </row>
    <row r="27" spans="1:8">
      <c r="B27" s="296" t="s">
        <v>2195</v>
      </c>
      <c r="C27" s="296" t="s">
        <v>2193</v>
      </c>
      <c r="D27" s="296" t="s">
        <v>2191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704661.99965000001</v>
      </c>
      <c r="D28" s="232">
        <f>SUMIF(FaturasT!$I:$I,'Tributos suprimento'!$B28,FaturasT!AB:AB)</f>
        <v>3005367.0408000001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802509.17629999993</v>
      </c>
      <c r="D29" s="232">
        <f>SUMIF(FaturasT!$I:$I,'Tributos suprimento'!$B29,FaturasT!AB:AB)</f>
        <v>3512400.9052899997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833088.38427999988</v>
      </c>
      <c r="D30" s="232"/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800292.02527999994</v>
      </c>
      <c r="D31" s="232"/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837602.09497999994</v>
      </c>
      <c r="D32" s="232"/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828598.71346999996</v>
      </c>
      <c r="D33" s="232"/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819737.00073999993</v>
      </c>
      <c r="D34" s="232"/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770600.81111000001</v>
      </c>
      <c r="D35" s="232"/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758885.66337999993</v>
      </c>
      <c r="D36" s="232"/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778579.70207</v>
      </c>
      <c r="D37" s="232"/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773456.8801699999</v>
      </c>
      <c r="D38" s="232"/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775206.66258999985</v>
      </c>
      <c r="D39" s="232"/>
    </row>
    <row r="40" spans="2:8">
      <c r="B40" s="17" t="s">
        <v>769</v>
      </c>
      <c r="C40" s="751">
        <f>SUM(C28:C39)</f>
        <v>9483219.1140200011</v>
      </c>
      <c r="D40" s="751">
        <f>SUM(D28:D39)</f>
        <v>6517767.9460899998</v>
      </c>
    </row>
    <row r="41" spans="2:8">
      <c r="B41" s="1734" t="s">
        <v>2192</v>
      </c>
      <c r="C41" s="1735">
        <f>C40/($C$40+$D$40)</f>
        <v>0.59266463240017186</v>
      </c>
      <c r="D41" s="1735">
        <f>D40/($C$40+$D$40)</f>
        <v>0.40733536759982808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workbookViewId="0">
      <selection activeCell="I33" sqref="I33"/>
    </sheetView>
  </sheetViews>
  <sheetFormatPr defaultColWidth="9.140625" defaultRowHeight="12.75"/>
  <cols>
    <col min="1" max="1" width="3.7109375" style="1526" customWidth="1"/>
    <col min="2" max="2" width="11.42578125" style="1526" bestFit="1" customWidth="1"/>
    <col min="3" max="3" width="19.28515625" style="1526" customWidth="1"/>
    <col min="4" max="4" width="17.7109375" style="1526" customWidth="1"/>
    <col min="5" max="5" width="13.7109375" style="1526" customWidth="1"/>
    <col min="6" max="8" width="14.7109375" style="1526" customWidth="1"/>
    <col min="9" max="9" width="16.42578125" style="1526" customWidth="1"/>
    <col min="10" max="10" width="19.5703125" style="1526" customWidth="1"/>
    <col min="11" max="18" width="15.7109375" style="1526" customWidth="1"/>
    <col min="19" max="40" width="9" style="1526" customWidth="1"/>
    <col min="41" max="16384" width="9.140625" style="1526"/>
  </cols>
  <sheetData>
    <row r="1" spans="2:24" ht="14.1" customHeight="1"/>
    <row r="2" spans="2:24" ht="14.1" customHeight="1"/>
    <row r="3" spans="2:24" ht="42" customHeight="1">
      <c r="B3" s="1527" t="s">
        <v>2130</v>
      </c>
      <c r="C3" s="1528"/>
      <c r="D3" s="1529" t="s">
        <v>2131</v>
      </c>
      <c r="E3" s="1530" t="s">
        <v>2132</v>
      </c>
      <c r="F3" s="1528"/>
      <c r="G3" s="1529" t="s">
        <v>2133</v>
      </c>
      <c r="H3" s="1529" t="s">
        <v>2134</v>
      </c>
      <c r="I3" s="1529" t="s">
        <v>2135</v>
      </c>
      <c r="J3" s="1529" t="s">
        <v>2136</v>
      </c>
      <c r="K3" s="1529" t="s">
        <v>2137</v>
      </c>
      <c r="L3" s="1529" t="s">
        <v>2138</v>
      </c>
      <c r="M3" s="1529" t="s">
        <v>2139</v>
      </c>
      <c r="N3" s="1529" t="s">
        <v>2140</v>
      </c>
      <c r="O3" s="1529" t="s">
        <v>2141</v>
      </c>
      <c r="P3" s="1529" t="s">
        <v>2142</v>
      </c>
      <c r="Q3" s="1529" t="s">
        <v>2143</v>
      </c>
      <c r="R3" s="1531" t="s">
        <v>2144</v>
      </c>
    </row>
    <row r="4" spans="2:24" ht="14.1" customHeight="1">
      <c r="B4" s="1532" t="s">
        <v>2145</v>
      </c>
      <c r="C4" s="1532"/>
      <c r="D4" s="1532"/>
      <c r="E4" s="1533" t="s">
        <v>114</v>
      </c>
      <c r="F4" s="1534"/>
      <c r="G4" s="1532">
        <v>0</v>
      </c>
      <c r="H4" s="1535">
        <f>D4+G4</f>
        <v>0</v>
      </c>
      <c r="I4" s="1536">
        <f>+D6</f>
        <v>0</v>
      </c>
      <c r="J4" s="1536">
        <f>+F27</f>
        <v>0</v>
      </c>
      <c r="K4" s="1537"/>
      <c r="L4" s="1538">
        <f>K4*VLOOKUP(SAS_RA0_DataFim,Índices!$B$6:$F$50000,5,0)/VLOOKUP(DATE(YEAR(SAS_RA0_DataFim)-2,MONTH(CAPA!C15),1),Índices!$B$6:$F$50000,5,0)</f>
        <v>0</v>
      </c>
      <c r="M4" s="1532"/>
      <c r="N4" s="1536">
        <f>M4*VLOOKUP(SAS_RA0_DataFim,Índices!$B$6:$F$50000,5,0)/VLOOKUP(DATE(YEAR(SAS_RA0_DataFim)-1,MONTH(SAS_RA0_DataFim),1),Índices!$B$6:$F$50000,5,0)</f>
        <v>0</v>
      </c>
      <c r="O4" s="1536">
        <f>G27</f>
        <v>0</v>
      </c>
      <c r="P4" s="1536">
        <f>J4+L4+N4-O4</f>
        <v>0</v>
      </c>
      <c r="Q4" s="1536">
        <f>IF(I4*12&gt;(D4+K4+M4-P4),D4+K4+M4-P4,I4*12)</f>
        <v>0</v>
      </c>
      <c r="R4" s="1539">
        <f>P4+Q4</f>
        <v>0</v>
      </c>
    </row>
    <row r="5" spans="2:24" ht="14.1" customHeight="1"/>
    <row r="6" spans="2:24" ht="14.1" customHeight="1">
      <c r="B6" s="1540" t="s">
        <v>2146</v>
      </c>
      <c r="C6" s="1541"/>
      <c r="D6" s="1542"/>
      <c r="N6" s="1543"/>
    </row>
    <row r="7" spans="2:24" ht="14.1" customHeight="1"/>
    <row r="8" spans="2:24" ht="42" customHeight="1">
      <c r="B8" s="1527" t="s">
        <v>34</v>
      </c>
      <c r="C8" s="1529" t="s">
        <v>2147</v>
      </c>
      <c r="D8" s="1529" t="s">
        <v>2148</v>
      </c>
      <c r="E8" s="1529" t="s">
        <v>2149</v>
      </c>
      <c r="F8" s="1529" t="s">
        <v>2150</v>
      </c>
      <c r="G8" s="1529" t="s">
        <v>2151</v>
      </c>
      <c r="H8" s="1529" t="s">
        <v>2152</v>
      </c>
    </row>
    <row r="9" spans="2:24" ht="14.1" customHeight="1">
      <c r="B9" s="1544">
        <v>44197</v>
      </c>
      <c r="C9" s="1545"/>
      <c r="D9" s="1546"/>
      <c r="E9" s="1547"/>
      <c r="F9" s="1548">
        <f>C9*VLOOKUP(SAS_RA0_DataFim,Índices!$B$6:$F$50000,5,0)/VLOOKUP(DATE(YEAR($B9),MONTH($B9)-1,1),Índices!$B$6:$F$50000,5,0)</f>
        <v>0</v>
      </c>
      <c r="G9" s="1548">
        <f>D9*VLOOKUP(SAS_RA0_DataFim,Índices!$B$6:$F$50000,5,0)/VLOOKUP(DATE(YEAR($B9),MONTH($B9)-1,1),Índices!$B$6:$F$50000,5,0)</f>
        <v>0</v>
      </c>
      <c r="H9" s="1548">
        <f>E9*VLOOKUP(SAS_RA0_DataFim,Índices!$B$6:$F$50000,5,0)/VLOOKUP(DATE(YEAR($B9),MONTH($B9)-1,1),Índices!$B$6:$F$50000,5,0)</f>
        <v>0</v>
      </c>
    </row>
    <row r="10" spans="2:24" ht="14.1" customHeight="1">
      <c r="B10" s="1544">
        <v>44228</v>
      </c>
      <c r="C10" s="1549"/>
      <c r="D10" s="1546"/>
      <c r="E10" s="1550"/>
      <c r="F10" s="1551">
        <f>C10*VLOOKUP(SAS_RA0_DataFim,Índices!$B$6:$F$50000,5,0)/VLOOKUP(DATE(YEAR($B10),MONTH($B10)-1,1),Índices!$B$6:$F$50000,5,0)</f>
        <v>0</v>
      </c>
      <c r="G10" s="1551">
        <f>D10*VLOOKUP(SAS_RA0_DataFim,Índices!$B$6:$F$50000,5,0)/VLOOKUP(DATE(YEAR($B10),MONTH($B10)-1,1),Índices!$B$6:$F$50000,5,0)</f>
        <v>0</v>
      </c>
      <c r="H10" s="1551">
        <f>E10*VLOOKUP(SAS_RA0_DataFim,Índices!$B$6:$F$50000,5,0)/VLOOKUP(DATE(YEAR($B10),MONTH($B10)-1,1),Índices!$B$6:$F$50000,5,0)</f>
        <v>0</v>
      </c>
      <c r="X10" s="1552"/>
    </row>
    <row r="11" spans="2:24" ht="14.1" customHeight="1">
      <c r="B11" s="1544">
        <v>44256</v>
      </c>
      <c r="C11" s="1549"/>
      <c r="D11" s="1546"/>
      <c r="E11" s="1550"/>
      <c r="F11" s="1551">
        <f>C11*VLOOKUP(SAS_RA0_DataFim,Índices!$B$6:$F$50000,5,0)/VLOOKUP(DATE(YEAR($B11),MONTH($B11)-1,1),Índices!$B$6:$F$50000,5,0)</f>
        <v>0</v>
      </c>
      <c r="G11" s="1551">
        <f>D11*VLOOKUP(SAS_RA0_DataFim,Índices!$B$6:$F$50000,5,0)/VLOOKUP(DATE(YEAR($B11),MONTH($B11)-1,1),Índices!$B$6:$F$50000,5,0)</f>
        <v>0</v>
      </c>
      <c r="H11" s="1551">
        <f>E11*VLOOKUP(SAS_RA0_DataFim,Índices!$B$6:$F$50000,5,0)/VLOOKUP(DATE(YEAR($B11),MONTH($B11)-1,1),Índices!$B$6:$F$50000,5,0)</f>
        <v>0</v>
      </c>
    </row>
    <row r="12" spans="2:24" ht="14.1" customHeight="1">
      <c r="B12" s="1544">
        <v>44287</v>
      </c>
      <c r="C12" s="1549"/>
      <c r="D12" s="1546"/>
      <c r="E12" s="1550"/>
      <c r="F12" s="1551">
        <f>C12*VLOOKUP(SAS_RA0_DataFim,Índices!$B$6:$F$50000,5,0)/VLOOKUP(DATE(YEAR($B12),MONTH($B12)-1,1),Índices!$B$6:$F$50000,5,0)</f>
        <v>0</v>
      </c>
      <c r="G12" s="1551">
        <f>D12*VLOOKUP(SAS_RA0_DataFim,Índices!$B$6:$F$50000,5,0)/VLOOKUP(DATE(YEAR($B12),MONTH($B12)-1,1),Índices!$B$6:$F$50000,5,0)</f>
        <v>0</v>
      </c>
      <c r="H12" s="1551">
        <f>E12*VLOOKUP(SAS_RA0_DataFim,Índices!$B$6:$F$50000,5,0)/VLOOKUP(DATE(YEAR($B12),MONTH($B12)-1,1),Índices!$B$6:$F$50000,5,0)</f>
        <v>0</v>
      </c>
    </row>
    <row r="13" spans="2:24" ht="14.1" customHeight="1">
      <c r="B13" s="1544">
        <v>44317</v>
      </c>
      <c r="C13" s="1550"/>
      <c r="D13" s="1553"/>
      <c r="E13" s="1550"/>
      <c r="F13" s="1551">
        <f>C13*VLOOKUP(SAS_RA0_DataFim,Índices!$B$6:$F$50000,5,0)/VLOOKUP(DATE(YEAR($B13),MONTH($B13)-1,1),Índices!$B$6:$F$50000,5,0)</f>
        <v>0</v>
      </c>
      <c r="G13" s="1551">
        <f>D13*VLOOKUP(SAS_RA0_DataFim,Índices!$B$6:$F$50000,5,0)/VLOOKUP(DATE(YEAR($B13),MONTH($B13)-1,1),Índices!$B$6:$F$50000,5,0)</f>
        <v>0</v>
      </c>
      <c r="H13" s="1551">
        <f>E13*VLOOKUP(SAS_RA0_DataFim,Índices!$B$6:$F$50000,5,0)/VLOOKUP(DATE(YEAR($B13),MONTH($B13)-1,1),Índices!$B$6:$F$50000,5,0)</f>
        <v>0</v>
      </c>
    </row>
    <row r="14" spans="2:24" ht="14.1" customHeight="1">
      <c r="B14" s="1544">
        <v>44348</v>
      </c>
      <c r="C14" s="1554"/>
      <c r="D14" s="1553"/>
      <c r="E14" s="1550"/>
      <c r="F14" s="1551">
        <f>C14*VLOOKUP(SAS_RA0_DataFim,Índices!$B$6:$F$50000,5,0)/VLOOKUP(DATE(YEAR($B14),MONTH($B14)-1,1),Índices!$B$6:$F$50000,5,0)</f>
        <v>0</v>
      </c>
      <c r="G14" s="1551">
        <f>D14*VLOOKUP(SAS_RA0_DataFim,Índices!$B$6:$F$50000,5,0)/VLOOKUP(DATE(YEAR($B14),MONTH($B14)-1,1),Índices!$B$6:$F$50000,5,0)</f>
        <v>0</v>
      </c>
      <c r="H14" s="1551">
        <f>E14*VLOOKUP(SAS_RA0_DataFim,Índices!$B$6:$F$50000,5,0)/VLOOKUP(DATE(YEAR($B14),MONTH($B14)-1,1),Índices!$B$6:$F$50000,5,0)</f>
        <v>0</v>
      </c>
    </row>
    <row r="15" spans="2:24" ht="14.1" customHeight="1">
      <c r="B15" s="1544">
        <v>44378</v>
      </c>
      <c r="C15" s="1554"/>
      <c r="D15" s="1553"/>
      <c r="E15" s="1550"/>
      <c r="F15" s="1551">
        <f>C15*VLOOKUP(SAS_RA0_DataFim,Índices!$B$6:$F$50000,5,0)/VLOOKUP(DATE(YEAR($B15),MONTH($B15)-1,1),Índices!$B$6:$F$50000,5,0)</f>
        <v>0</v>
      </c>
      <c r="G15" s="1551">
        <f>D15*VLOOKUP(SAS_RA0_DataFim,Índices!$B$6:$F$50000,5,0)/VLOOKUP(DATE(YEAR($B15),MONTH($B15)-1,1),Índices!$B$6:$F$50000,5,0)</f>
        <v>0</v>
      </c>
      <c r="H15" s="1551">
        <f>E15*VLOOKUP(SAS_RA0_DataFim,Índices!$B$6:$F$50000,5,0)/VLOOKUP(DATE(YEAR($B15),MONTH($B15)-1,1),Índices!$B$6:$F$50000,5,0)</f>
        <v>0</v>
      </c>
    </row>
    <row r="16" spans="2:24" ht="14.1" customHeight="1">
      <c r="B16" s="1544">
        <v>44409</v>
      </c>
      <c r="C16" s="1554"/>
      <c r="D16" s="1553"/>
      <c r="E16" s="1550"/>
      <c r="F16" s="1551">
        <f>C16*VLOOKUP(SAS_RA0_DataFim,Índices!$B$6:$F$50000,5,0)/VLOOKUP(DATE(YEAR($B16),MONTH($B16)-1,1),Índices!$B$6:$F$50000,5,0)</f>
        <v>0</v>
      </c>
      <c r="G16" s="1551">
        <f>D16*VLOOKUP(SAS_RA0_DataFim,Índices!$B$6:$F$50000,5,0)/VLOOKUP(DATE(YEAR($B16),MONTH($B16)-1,1),Índices!$B$6:$F$50000,5,0)</f>
        <v>0</v>
      </c>
      <c r="H16" s="1551">
        <f>E16*VLOOKUP(SAS_RA0_DataFim,Índices!$B$6:$F$50000,5,0)/VLOOKUP(DATE(YEAR($B16),MONTH($B16)-1,1),Índices!$B$6:$F$50000,5,0)</f>
        <v>0</v>
      </c>
    </row>
    <row r="17" spans="2:8" ht="14.1" customHeight="1">
      <c r="B17" s="1544">
        <v>44440</v>
      </c>
      <c r="C17" s="1554"/>
      <c r="D17" s="1553"/>
      <c r="E17" s="1550"/>
      <c r="F17" s="1551">
        <f>C17*VLOOKUP(SAS_RA0_DataFim,Índices!$B$6:$F$50000,5,0)/VLOOKUP(DATE(YEAR($B17),MONTH($B17)-1,1),Índices!$B$6:$F$50000,5,0)</f>
        <v>0</v>
      </c>
      <c r="G17" s="1551">
        <f>D17*VLOOKUP(SAS_RA0_DataFim,Índices!$B$6:$F$50000,5,0)/VLOOKUP(DATE(YEAR($B17),MONTH($B17)-1,1),Índices!$B$6:$F$50000,5,0)</f>
        <v>0</v>
      </c>
      <c r="H17" s="1551">
        <f>E17*VLOOKUP(SAS_RA0_DataFim,Índices!$B$6:$F$50000,5,0)/VLOOKUP(DATE(YEAR($B17),MONTH($B17)-1,1),Índices!$B$6:$F$50000,5,0)</f>
        <v>0</v>
      </c>
    </row>
    <row r="18" spans="2:8" ht="14.1" customHeight="1">
      <c r="B18" s="1544">
        <v>44470</v>
      </c>
      <c r="C18" s="1554"/>
      <c r="D18" s="1553"/>
      <c r="E18" s="1550"/>
      <c r="F18" s="1551">
        <f>C18*VLOOKUP(SAS_RA0_DataFim,Índices!$B$6:$F$50000,5,0)/VLOOKUP(DATE(YEAR($B18),MONTH($B18)-1,1),Índices!$B$6:$F$50000,5,0)</f>
        <v>0</v>
      </c>
      <c r="G18" s="1551">
        <f>D18*VLOOKUP(SAS_RA0_DataFim,Índices!$B$6:$F$50000,5,0)/VLOOKUP(DATE(YEAR($B18),MONTH($B18)-1,1),Índices!$B$6:$F$50000,5,0)</f>
        <v>0</v>
      </c>
      <c r="H18" s="1551">
        <f>E18*VLOOKUP(SAS_RA0_DataFim,Índices!$B$6:$F$50000,5,0)/VLOOKUP(DATE(YEAR($B18),MONTH($B18)-1,1),Índices!$B$6:$F$50000,5,0)</f>
        <v>0</v>
      </c>
    </row>
    <row r="19" spans="2:8" ht="14.1" customHeight="1">
      <c r="B19" s="1544">
        <v>44501</v>
      </c>
      <c r="C19" s="1554"/>
      <c r="D19" s="1553"/>
      <c r="E19" s="1550"/>
      <c r="F19" s="1551">
        <f>C19*VLOOKUP(SAS_RA0_DataFim,Índices!$B$6:$F$50000,5,0)/VLOOKUP(DATE(YEAR($B19),MONTH($B19)-1,1),Índices!$B$6:$F$50000,5,0)</f>
        <v>0</v>
      </c>
      <c r="G19" s="1551">
        <f>D19*VLOOKUP(SAS_RA0_DataFim,Índices!$B$6:$F$50000,5,0)/VLOOKUP(DATE(YEAR($B19),MONTH($B19)-1,1),Índices!$B$6:$F$50000,5,0)</f>
        <v>0</v>
      </c>
      <c r="H19" s="1551">
        <f>E19*VLOOKUP(SAS_RA0_DataFim,Índices!$B$6:$F$50000,5,0)/VLOOKUP(DATE(YEAR($B19),MONTH($B19)-1,1),Índices!$B$6:$F$50000,5,0)</f>
        <v>0</v>
      </c>
    </row>
    <row r="20" spans="2:8" ht="14.1" customHeight="1">
      <c r="B20" s="1544">
        <v>44531</v>
      </c>
      <c r="C20" s="1554"/>
      <c r="D20" s="1553"/>
      <c r="E20" s="1550"/>
      <c r="F20" s="1551">
        <f>C20*VLOOKUP(SAS_RA0_DataFim,Índices!$B$6:$F$50000,5,0)/VLOOKUP(DATE(YEAR($B20),MONTH($B20)-1,1),Índices!$B$6:$F$50000,5,0)</f>
        <v>0</v>
      </c>
      <c r="G20" s="1551">
        <f>D20*VLOOKUP(SAS_RA0_DataFim,Índices!$B$6:$F$50000,5,0)/VLOOKUP(DATE(YEAR($B20),MONTH($B20)-1,1),Índices!$B$6:$F$50000,5,0)</f>
        <v>0</v>
      </c>
      <c r="H20" s="1551">
        <f>E20*VLOOKUP(SAS_RA0_DataFim,Índices!$B$6:$F$50000,5,0)/VLOOKUP(DATE(YEAR($B20),MONTH($B20)-1,1),Índices!$B$6:$F$50000,5,0)</f>
        <v>0</v>
      </c>
    </row>
    <row r="21" spans="2:8" ht="14.1" customHeight="1">
      <c r="B21" s="1544">
        <v>44562</v>
      </c>
      <c r="C21" s="1554"/>
      <c r="D21" s="1553"/>
      <c r="E21" s="1550"/>
      <c r="F21" s="1551">
        <f>C21*VLOOKUP(SAS_RA0_DataFim,Índices!$B$6:$F$50000,5,0)/VLOOKUP(DATE(YEAR($B21),MONTH($B21)-1,1),Índices!$B$6:$F$50000,5,0)</f>
        <v>0</v>
      </c>
      <c r="G21" s="1551">
        <f>D21*VLOOKUP(SAS_RA0_DataFim,Índices!$B$6:$F$50000,5,0)/VLOOKUP(DATE(YEAR($B21),MONTH($B21)-1,1),Índices!$B$6:$F$50000,5,0)</f>
        <v>0</v>
      </c>
      <c r="H21" s="1551">
        <f>E21*VLOOKUP(SAS_RA0_DataFim,Índices!$B$6:$F$50000,5,0)/VLOOKUP(DATE(YEAR($B21),MONTH($B21)-1,1),Índices!$B$6:$F$50000,5,0)</f>
        <v>0</v>
      </c>
    </row>
    <row r="22" spans="2:8" ht="14.1" customHeight="1">
      <c r="B22" s="1544">
        <v>44593</v>
      </c>
      <c r="C22" s="1554"/>
      <c r="D22" s="1553"/>
      <c r="E22" s="1550"/>
      <c r="F22" s="1551">
        <f>C22*VLOOKUP(SAS_RA0_DataFim,Índices!$B$6:$F$50000,5,0)/VLOOKUP(DATE(YEAR($B22),MONTH($B22)-1,1),Índices!$B$6:$F$50000,5,0)</f>
        <v>0</v>
      </c>
      <c r="G22" s="1551">
        <f>D22*VLOOKUP(SAS_RA0_DataFim,Índices!$B$6:$F$50000,5,0)/VLOOKUP(DATE(YEAR($B22),MONTH($B22)-1,1),Índices!$B$6:$F$50000,5,0)</f>
        <v>0</v>
      </c>
      <c r="H22" s="1551">
        <f>E22*VLOOKUP(SAS_RA0_DataFim,Índices!$B$6:$F$50000,5,0)/VLOOKUP(DATE(YEAR($B22),MONTH($B22)-1,1),Índices!$B$6:$F$50000,5,0)</f>
        <v>0</v>
      </c>
    </row>
    <row r="23" spans="2:8" ht="14.1" customHeight="1">
      <c r="B23" s="1544">
        <v>44621</v>
      </c>
      <c r="C23" s="1554"/>
      <c r="D23" s="1553"/>
      <c r="E23" s="1550"/>
      <c r="F23" s="1551">
        <f>C23*VLOOKUP(SAS_RA0_DataFim,Índices!$B$6:$F$50000,5,0)/VLOOKUP(DATE(YEAR($B23),MONTH($B23)-1,1),Índices!$B$6:$F$50000,5,0)</f>
        <v>0</v>
      </c>
      <c r="G23" s="1551">
        <f>D23*VLOOKUP(SAS_RA0_DataFim,Índices!$B$6:$F$50000,5,0)/VLOOKUP(DATE(YEAR($B23),MONTH($B23)-1,1),Índices!$B$6:$F$50000,5,0)</f>
        <v>0</v>
      </c>
      <c r="H23" s="1551">
        <f>E23*VLOOKUP(SAS_RA0_DataFim,Índices!$B$6:$F$50000,5,0)/VLOOKUP(DATE(YEAR($B23),MONTH($B23)-1,1),Índices!$B$6:$F$50000,5,0)</f>
        <v>0</v>
      </c>
    </row>
    <row r="24" spans="2:8" ht="14.1" customHeight="1">
      <c r="B24" s="1544">
        <v>44652</v>
      </c>
      <c r="C24" s="1554"/>
      <c r="D24" s="1553"/>
      <c r="E24" s="1550"/>
      <c r="F24" s="1551">
        <f>C24*VLOOKUP(SAS_RA0_DataFim,Índices!$B$6:$F$50000,5,0)/VLOOKUP(DATE(YEAR($B24),MONTH($B24)-1,1),Índices!$B$6:$F$50000,5,0)</f>
        <v>0</v>
      </c>
      <c r="G24" s="1551">
        <f>D24*VLOOKUP(SAS_RA0_DataFim,Índices!$B$6:$F$50000,5,0)/VLOOKUP(DATE(YEAR($B24),MONTH($B24)-1,1),Índices!$B$6:$F$50000,5,0)</f>
        <v>0</v>
      </c>
      <c r="H24" s="1551">
        <f>E24*VLOOKUP(SAS_RA0_DataFim,Índices!$B$6:$F$50000,5,0)/VLOOKUP(DATE(YEAR($B24),MONTH($B24)-1,1),Índices!$B$6:$F$50000,5,0)</f>
        <v>0</v>
      </c>
    </row>
    <row r="25" spans="2:8" ht="14.1" customHeight="1">
      <c r="B25" s="1544">
        <v>44682</v>
      </c>
      <c r="C25" s="1554"/>
      <c r="D25" s="1553"/>
      <c r="E25" s="1550"/>
      <c r="F25" s="1551">
        <f>C25*VLOOKUP(SAS_RA0_DataFim,Índices!$B$6:$F$50000,5,0)/VLOOKUP(DATE(YEAR($B25),MONTH($B25)-1,1),Índices!$B$6:$F$50000,5,0)</f>
        <v>0</v>
      </c>
      <c r="G25" s="1551">
        <f>D25*VLOOKUP(SAS_RA0_DataFim,Índices!$B$6:$F$50000,5,0)/VLOOKUP(DATE(YEAR($B25),MONTH($B25)-1,1),Índices!$B$6:$F$50000,5,0)</f>
        <v>0</v>
      </c>
      <c r="H25" s="1551">
        <f>E25*VLOOKUP(SAS_RA0_DataFim,Índices!$B$6:$F$50000,5,0)/VLOOKUP(DATE(YEAR($B25),MONTH($B25)-1,1),Índices!$B$6:$F$50000,5,0)</f>
        <v>0</v>
      </c>
    </row>
    <row r="26" spans="2:8" ht="14.1" customHeight="1">
      <c r="B26" s="1544">
        <v>44713</v>
      </c>
      <c r="C26" s="1554"/>
      <c r="D26" s="1553"/>
      <c r="E26" s="1550"/>
      <c r="F26" s="1551">
        <f>C26*VLOOKUP(SAS_RA0_DataFim,Índices!$B$6:$F$50000,5,0)/VLOOKUP(DATE(YEAR($B26),MONTH($B26)-1,1),Índices!$B$6:$F$50000,5,0)</f>
        <v>0</v>
      </c>
      <c r="G26" s="1551">
        <f>D26*VLOOKUP(SAS_RA0_DataFim,Índices!$B$6:$F$50000,5,0)/VLOOKUP(DATE(YEAR($B26),MONTH($B26)-1,1),Índices!$B$6:$F$50000,5,0)</f>
        <v>0</v>
      </c>
      <c r="H26" s="1551">
        <f>E26*VLOOKUP(SAS_RA0_DataFim,Índices!$B$6:$F$50000,5,0)/VLOOKUP(DATE(YEAR($B26),MONTH($B26)-1,1),Índices!$B$6:$F$50000,5,0)</f>
        <v>0</v>
      </c>
    </row>
    <row r="27" spans="2:8" ht="14.1" customHeight="1">
      <c r="B27" s="1555" t="s">
        <v>760</v>
      </c>
      <c r="C27" s="1556">
        <f>SUM(C9:C26)</f>
        <v>0</v>
      </c>
      <c r="D27" s="1556">
        <f t="shared" ref="D27:E27" si="0">SUM(D9:D26)</f>
        <v>0</v>
      </c>
      <c r="E27" s="1556">
        <f t="shared" si="0"/>
        <v>0</v>
      </c>
      <c r="F27" s="1556">
        <f>SUM(F9:F26)</f>
        <v>0</v>
      </c>
      <c r="G27" s="1556">
        <f t="shared" ref="G27:H27" si="1">SUM(G9:G26)</f>
        <v>0</v>
      </c>
      <c r="H27" s="1556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B4" sqref="B4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2" t="s">
        <v>2127</v>
      </c>
    </row>
    <row r="3" spans="1:15">
      <c r="B3" t="s">
        <v>2396</v>
      </c>
    </row>
    <row r="4" spans="1:15">
      <c r="B4" s="1484" t="s">
        <v>2116</v>
      </c>
      <c r="C4" s="1486" t="s">
        <v>2117</v>
      </c>
      <c r="D4" s="1485" t="s">
        <v>2118</v>
      </c>
      <c r="E4" s="1490"/>
      <c r="F4" s="1490"/>
      <c r="G4" s="1490"/>
      <c r="N4" t="s">
        <v>34</v>
      </c>
      <c r="O4" t="s">
        <v>2119</v>
      </c>
    </row>
    <row r="5" spans="1:15">
      <c r="A5" s="799" t="s">
        <v>2073</v>
      </c>
      <c r="B5" s="848" t="s">
        <v>2125</v>
      </c>
      <c r="C5" s="1493">
        <f>IFERROR(VLOOKUP(A5,Escassez[#All],2,FALSE),0)</f>
        <v>0</v>
      </c>
      <c r="D5" s="1493">
        <f>C5/$C$8*$D$8</f>
        <v>0</v>
      </c>
      <c r="E5" s="1491"/>
      <c r="F5" s="1489"/>
      <c r="G5" s="1480"/>
      <c r="N5" s="8">
        <v>44690</v>
      </c>
      <c r="O5" s="232">
        <f>C8</f>
        <v>-2939406.34</v>
      </c>
    </row>
    <row r="6" spans="1:15">
      <c r="A6" s="1468" t="s">
        <v>2074</v>
      </c>
      <c r="B6" s="848" t="s">
        <v>2126</v>
      </c>
      <c r="C6" s="1493">
        <f>IFERROR(VLOOKUP(A6,Escassez[#All],2,FALSE),0)</f>
        <v>-823958.04</v>
      </c>
      <c r="D6" s="1493">
        <f>C6/$C$8*$D$8</f>
        <v>-866418.63761915977</v>
      </c>
      <c r="E6" s="1491"/>
      <c r="F6" s="1489"/>
      <c r="G6" s="1480"/>
      <c r="N6" s="8">
        <f>N5+1</f>
        <v>44691</v>
      </c>
      <c r="O6" s="232">
        <f>O5*VLOOKUP(N6,Índices!$K$6:$N$3249,4,FALSE)/VLOOKUP(N5,Índices!$K$6:$N$3249,4,FALSE)</f>
        <v>-2940796.061923488</v>
      </c>
    </row>
    <row r="7" spans="1:15">
      <c r="A7" s="1468" t="s">
        <v>2075</v>
      </c>
      <c r="B7" s="848" t="s">
        <v>105</v>
      </c>
      <c r="C7" s="1493">
        <f>IFERROR(VLOOKUP(A7,Escassez[#All],2,FALSE),0)</f>
        <v>-2115448.2999999998</v>
      </c>
      <c r="D7" s="1493">
        <f>C7/$C$8*$D$8</f>
        <v>-2224462.587973251</v>
      </c>
      <c r="E7" s="1491"/>
      <c r="F7" s="1489"/>
      <c r="G7" s="1480"/>
      <c r="N7" s="8">
        <f t="shared" ref="N7:N70" si="0">N6+1</f>
        <v>44692</v>
      </c>
      <c r="O7" s="232">
        <f>O6*VLOOKUP(N7,Índices!$K$6:$N$3249,4,FALSE)/VLOOKUP(N6,Índices!$K$6:$N$3249,4,FALSE)</f>
        <v>-2942186.4408936044</v>
      </c>
    </row>
    <row r="8" spans="1:15">
      <c r="B8" s="1487"/>
      <c r="C8" s="1494">
        <f>SUM(C5:C7)</f>
        <v>-2939406.34</v>
      </c>
      <c r="D8" s="1494">
        <f>VLOOKUP(DataRevRea,'Financeiros Mitigação'!N4:O241,2,FALSE)</f>
        <v>-3090881.2255924107</v>
      </c>
      <c r="E8" s="848"/>
      <c r="F8" s="1481"/>
      <c r="G8" s="1481"/>
      <c r="N8" s="8">
        <f t="shared" si="0"/>
        <v>44693</v>
      </c>
      <c r="O8" s="232">
        <f>O7*VLOOKUP(N8,Índices!$K$6:$N$3249,4,FALSE)/VLOOKUP(N7,Índices!$K$6:$N$3249,4,FALSE)</f>
        <v>-2943577.477220994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-2944969.1712164488</v>
      </c>
    </row>
    <row r="10" spans="1:15">
      <c r="B10" s="1499"/>
      <c r="C10" s="1499"/>
      <c r="D10" s="1499"/>
      <c r="E10" s="1499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-2944969.1712164488</v>
      </c>
    </row>
    <row r="11" spans="1:15">
      <c r="N11" s="8">
        <f>L10+1</f>
        <v>44696</v>
      </c>
      <c r="O11" s="232">
        <f>O10*VLOOKUP(N11,Índices!$K$6:$N$3249,4,FALSE)/VLOOKUP(N10,Índices!$K$6:$N$3249,4,FALSE)</f>
        <v>-2944969.1712164488</v>
      </c>
    </row>
    <row r="12" spans="1:15">
      <c r="B12" s="1495" t="s">
        <v>1306</v>
      </c>
      <c r="C12" s="1488"/>
      <c r="D12" s="1496">
        <v>-3671.71</v>
      </c>
      <c r="E12" s="1478"/>
      <c r="F12" s="1478"/>
      <c r="G12" s="1478"/>
      <c r="H12" s="1478"/>
      <c r="I12" s="1478"/>
      <c r="J12" s="1478"/>
      <c r="K12" s="1478"/>
      <c r="L12" s="1478"/>
      <c r="N12" s="8">
        <f t="shared" si="0"/>
        <v>44697</v>
      </c>
      <c r="O12" s="232">
        <f>O11*VLOOKUP(N12,Índices!$K$6:$N$3249,4,FALSE)/VLOOKUP(N11,Índices!$K$6:$N$3249,4,FALSE)</f>
        <v>-2946361.5231909077</v>
      </c>
    </row>
    <row r="13" spans="1:15">
      <c r="B13" s="1497"/>
      <c r="C13" s="1479"/>
      <c r="D13" s="1479"/>
      <c r="E13" s="1479"/>
      <c r="F13" s="1479"/>
      <c r="G13" s="1479"/>
      <c r="H13" s="1479"/>
      <c r="I13" s="1479"/>
      <c r="J13" s="1479"/>
      <c r="K13" s="1479"/>
      <c r="L13" s="1479"/>
      <c r="N13" s="8">
        <f t="shared" si="0"/>
        <v>44698</v>
      </c>
      <c r="O13" s="232">
        <f>O12*VLOOKUP(N13,Índices!$K$6:$N$3249,4,FALSE)/VLOOKUP(N12,Índices!$K$6:$N$3249,4,FALSE)</f>
        <v>-2947754.5334554566</v>
      </c>
    </row>
    <row r="14" spans="1:15">
      <c r="B14" s="1498"/>
      <c r="C14" s="1499"/>
      <c r="D14" s="1499"/>
      <c r="E14" s="1500"/>
      <c r="F14" s="1501"/>
      <c r="G14" s="1480"/>
      <c r="H14" s="1480"/>
      <c r="I14" s="1480"/>
      <c r="J14" s="1480"/>
      <c r="K14" s="1480"/>
      <c r="L14" s="1480"/>
      <c r="N14" s="8">
        <f t="shared" si="0"/>
        <v>44699</v>
      </c>
      <c r="O14" s="232">
        <f>O13*VLOOKUP(N14,Índices!$K$6:$N$3249,4,FALSE)/VLOOKUP(N13,Índices!$K$6:$N$3249,4,FALSE)</f>
        <v>-2949148.2023213287</v>
      </c>
    </row>
    <row r="15" spans="1:15">
      <c r="B15" s="1498"/>
      <c r="C15" s="1499"/>
      <c r="D15" s="1499"/>
      <c r="E15" s="1500"/>
      <c r="F15" s="1501"/>
      <c r="G15" s="1480"/>
      <c r="H15" s="1480"/>
      <c r="I15" s="1480"/>
      <c r="J15" s="1480"/>
      <c r="K15" s="1480"/>
      <c r="L15" s="1480"/>
      <c r="N15" s="8">
        <f t="shared" si="0"/>
        <v>44700</v>
      </c>
      <c r="O15" s="232">
        <f>O14*VLOOKUP(N15,Índices!$K$6:$N$3249,4,FALSE)/VLOOKUP(N14,Índices!$K$6:$N$3249,4,FALSE)</f>
        <v>-2950542.5300999037</v>
      </c>
    </row>
    <row r="16" spans="1:15">
      <c r="B16" s="1498"/>
      <c r="C16" s="1499"/>
      <c r="D16" s="1499"/>
      <c r="E16" s="1500"/>
      <c r="F16" s="1501"/>
      <c r="G16" s="1480"/>
      <c r="H16" s="1480"/>
      <c r="I16" s="1480"/>
      <c r="J16" s="1480"/>
      <c r="K16" s="1480"/>
      <c r="L16" s="1480"/>
      <c r="N16" s="8">
        <f t="shared" si="0"/>
        <v>44701</v>
      </c>
      <c r="O16" s="232">
        <f>O15*VLOOKUP(N16,Índices!$K$6:$N$3249,4,FALSE)/VLOOKUP(N15,Índices!$K$6:$N$3249,4,FALSE)</f>
        <v>-2951937.517102709</v>
      </c>
    </row>
    <row r="17" spans="2:15">
      <c r="B17" s="1498"/>
      <c r="C17" s="1499"/>
      <c r="D17" s="1499"/>
      <c r="E17" s="1500"/>
      <c r="F17" s="1501"/>
      <c r="G17" s="1480"/>
      <c r="H17" s="1480"/>
      <c r="I17" s="1480"/>
      <c r="J17" s="1480"/>
      <c r="K17" s="1480"/>
      <c r="L17" s="1480"/>
      <c r="N17" s="8">
        <f t="shared" si="0"/>
        <v>44702</v>
      </c>
      <c r="O17" s="232">
        <f>O16*VLOOKUP(N17,Índices!$K$6:$N$3249,4,FALSE)/VLOOKUP(N16,Índices!$K$6:$N$3249,4,FALSE)</f>
        <v>-2951937.517102709</v>
      </c>
    </row>
    <row r="18" spans="2:15">
      <c r="B18" s="1498"/>
      <c r="C18" s="1499"/>
      <c r="D18" s="1499"/>
      <c r="E18" s="1500"/>
      <c r="F18" s="1501"/>
      <c r="G18" s="1480"/>
      <c r="H18" s="1480"/>
      <c r="I18" s="1480"/>
      <c r="J18" s="1480"/>
      <c r="K18" s="1480"/>
      <c r="L18" s="1480"/>
      <c r="N18" s="8">
        <f t="shared" si="0"/>
        <v>44703</v>
      </c>
      <c r="O18" s="232">
        <f>O17*VLOOKUP(N18,Índices!$K$6:$N$3249,4,FALSE)/VLOOKUP(N17,Índices!$K$6:$N$3249,4,FALSE)</f>
        <v>-2951937.517102709</v>
      </c>
    </row>
    <row r="19" spans="2:15">
      <c r="B19" s="1498"/>
      <c r="C19" s="1499"/>
      <c r="D19" s="1499"/>
      <c r="E19" s="1499"/>
      <c r="F19" s="1501"/>
      <c r="G19" s="1480"/>
      <c r="H19" s="1480"/>
      <c r="I19" s="1480"/>
      <c r="J19" s="1480"/>
      <c r="K19" s="1480"/>
      <c r="L19" s="1480"/>
      <c r="N19" s="8">
        <f t="shared" si="0"/>
        <v>44704</v>
      </c>
      <c r="O19" s="232">
        <f>O18*VLOOKUP(N19,Índices!$K$6:$N$3249,4,FALSE)/VLOOKUP(N18,Índices!$K$6:$N$3249,4,FALSE)</f>
        <v>-2953333.1636414197</v>
      </c>
    </row>
    <row r="20" spans="2:15">
      <c r="B20" s="1498"/>
      <c r="C20" s="1499"/>
      <c r="D20" s="1499"/>
      <c r="E20" s="1499"/>
      <c r="F20" s="1501"/>
      <c r="G20" s="1480"/>
      <c r="H20" s="1480"/>
      <c r="I20" s="1480"/>
      <c r="J20" s="1480"/>
      <c r="K20" s="1480"/>
      <c r="L20" s="1480"/>
      <c r="N20" s="8">
        <f t="shared" si="0"/>
        <v>44705</v>
      </c>
      <c r="O20" s="232">
        <f>O19*VLOOKUP(N20,Índices!$K$6:$N$3249,4,FALSE)/VLOOKUP(N19,Índices!$K$6:$N$3249,4,FALSE)</f>
        <v>-2954729.4700278575</v>
      </c>
    </row>
    <row r="21" spans="2:15">
      <c r="B21" s="1498"/>
      <c r="C21" s="1499"/>
      <c r="D21" s="1499"/>
      <c r="E21" s="1499"/>
      <c r="F21" s="1501"/>
      <c r="G21" s="1480"/>
      <c r="H21" s="1480"/>
      <c r="I21" s="1480"/>
      <c r="J21" s="1480"/>
      <c r="K21" s="1480"/>
      <c r="L21" s="1480"/>
      <c r="N21" s="8">
        <f t="shared" si="0"/>
        <v>44706</v>
      </c>
      <c r="O21" s="232">
        <f>O20*VLOOKUP(N21,Índices!$K$6:$N$3249,4,FALSE)/VLOOKUP(N20,Índices!$K$6:$N$3249,4,FALSE)</f>
        <v>-2956126.4365739916</v>
      </c>
    </row>
    <row r="22" spans="2:15">
      <c r="B22" s="1498"/>
      <c r="C22" s="1499"/>
      <c r="D22" s="1499"/>
      <c r="E22" s="1499"/>
      <c r="F22" s="1501"/>
      <c r="G22" s="1480"/>
      <c r="H22" s="1480"/>
      <c r="I22" s="1480"/>
      <c r="J22" s="1480"/>
      <c r="K22" s="1480"/>
      <c r="L22" s="1480"/>
      <c r="N22" s="8">
        <f t="shared" si="0"/>
        <v>44707</v>
      </c>
      <c r="O22" s="232">
        <f>O21*VLOOKUP(N22,Índices!$K$6:$N$3249,4,FALSE)/VLOOKUP(N21,Índices!$K$6:$N$3249,4,FALSE)</f>
        <v>-2957524.0635919394</v>
      </c>
    </row>
    <row r="23" spans="2:15">
      <c r="B23" s="1498"/>
      <c r="C23" s="1499"/>
      <c r="D23" s="1499"/>
      <c r="E23" s="1499"/>
      <c r="F23" s="1501"/>
      <c r="G23" s="1480"/>
      <c r="H23" s="1480"/>
      <c r="I23" s="1480"/>
      <c r="J23" s="1480"/>
      <c r="K23" s="1480"/>
      <c r="L23" s="1480"/>
      <c r="N23" s="8">
        <f t="shared" si="0"/>
        <v>44708</v>
      </c>
      <c r="O23" s="232">
        <f>O22*VLOOKUP(N23,Índices!$K$6:$N$3249,4,FALSE)/VLOOKUP(N22,Índices!$K$6:$N$3249,4,FALSE)</f>
        <v>-2958922.3513939646</v>
      </c>
    </row>
    <row r="24" spans="2:15">
      <c r="B24" s="1498"/>
      <c r="C24" s="1499"/>
      <c r="D24" s="1499"/>
      <c r="E24" s="1499"/>
      <c r="F24" s="1501"/>
      <c r="G24" s="1480"/>
      <c r="H24" s="1480"/>
      <c r="I24" s="1480"/>
      <c r="J24" s="1480"/>
      <c r="K24" s="1480"/>
      <c r="L24" s="1480"/>
      <c r="N24" s="8">
        <f t="shared" si="0"/>
        <v>44709</v>
      </c>
      <c r="O24" s="232">
        <f>O23*VLOOKUP(N24,Índices!$K$6:$N$3249,4,FALSE)/VLOOKUP(N23,Índices!$K$6:$N$3249,4,FALSE)</f>
        <v>-2958922.3513939646</v>
      </c>
    </row>
    <row r="25" spans="2:15">
      <c r="B25" s="1502"/>
      <c r="C25" s="1499"/>
      <c r="D25" s="1499"/>
      <c r="E25" s="1503"/>
      <c r="F25" s="1501"/>
      <c r="G25" s="1480"/>
      <c r="H25" s="1480"/>
      <c r="I25" s="1480"/>
      <c r="J25" s="1480"/>
      <c r="K25" s="1480"/>
      <c r="L25" s="1480"/>
      <c r="N25" s="8">
        <f t="shared" si="0"/>
        <v>44710</v>
      </c>
      <c r="O25" s="232">
        <f>O24*VLOOKUP(N25,Índices!$K$6:$N$3249,4,FALSE)/VLOOKUP(N24,Índices!$K$6:$N$3249,4,FALSE)</f>
        <v>-2958922.3513939646</v>
      </c>
    </row>
    <row r="26" spans="2:15">
      <c r="B26" s="1504"/>
      <c r="C26" s="848"/>
      <c r="D26" s="848"/>
      <c r="E26" s="848"/>
      <c r="F26" s="1481"/>
      <c r="G26" s="1481"/>
      <c r="H26" s="1481"/>
      <c r="I26" s="1481"/>
      <c r="J26" s="1481"/>
      <c r="K26" s="1481"/>
      <c r="L26" s="1481"/>
      <c r="N26" s="8">
        <f t="shared" si="0"/>
        <v>44711</v>
      </c>
      <c r="O26" s="232">
        <f>O25*VLOOKUP(N26,Índices!$K$6:$N$3249,4,FALSE)/VLOOKUP(N25,Índices!$K$6:$N$3249,4,FALSE)</f>
        <v>-2960321.3002924798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-2961720.9106000448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-2963121.1826293673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-2964522.1166933021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-2965923.7131048534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-2965923.7131048534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-2965923.7131048534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-2967325.9721771721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-2968728.8942235573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-2970132.4795574569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-2971536.7284924667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-2972941.6413423303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-2972941.6413423303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-2972941.6413423303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-2974347.2184209405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-2975753.460042337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-2977160.3665207098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-2977160.3665207098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-2978620.2766496409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-2978620.2766496409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-2978620.2766496409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-2980080.9026747015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-2981542.2449469459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-2983004.3038176009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-2984467.0796380644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-2985930.5727599068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-2985930.5727599068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-2985930.5727599068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-2987394.7835348714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-2988859.7123148735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-2990325.3594520013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-2991791.725298516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-2993258.810206851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-2993258.810206851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-2993258.810206851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-2994726.6145296125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-2996195.1386195794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-2997664.3828297048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-2999134.3475131132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-3000605.0330231031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-3000605.0330231031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-3000605.0330231031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-3002076.4397131465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-3003548.5679368889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-3005021.4180481485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-3006494.9904009169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-3007969.2853493597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-3007969.2853493602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-3007969.2853493602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-3009444.3032478173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-3010920.0444508013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-3012396.509312999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-3013873.6981892711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-3015351.6114346525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-3015351.6114346525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-3015351.6114346525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-3016830.2494043517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-3018309.6124537522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-3019789.7009384111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-3021270.5152140604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-3022752.0556366062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-3022752.0556366062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-3022752.0556366062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-3024234.3225621292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-3025717.3163468842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-3027201.0373473014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-3028738.4922101488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-3030276.7279155725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-3030276.7279155725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-3030276.7279155725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-3031815.7448601462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-3033355.543440646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-3034896.1240540487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-3036437.4870975334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-3037979.6329684807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-3037979.6329684807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-3037979.6329684807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-3039522.5620644726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-3041066.2747832937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-3042610.7715229308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-3044156.0526815718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-3045702.1186576076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-3045702.1186576076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-3045702.1186576076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-3047248.9698496317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-3048796.6066564387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-3050345.0294770272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-3051894.2387105981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-3053444.2347565545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-3053444.2347565545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-3053444.2347565545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-3054995.0180145027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-3056546.5888842517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-3058098.9477658141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-3059652.0950594055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-3061206.0311654448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-3061206.0311654452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-3061206.0311654452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-3062760.7564845537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-3064316.2714175573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-3064316.2714175573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-3065872.5763654849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-3067429.6717295693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-3067429.6717295693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-3067429.6717295693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-3068987.5579112475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-3070546.2353121596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-3072105.7043341496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-3073665.965379267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-3075227.018849764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-3075227.018849764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-3075227.018849764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-3076788.8651480973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-3078351.5046769287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-3079914.9378391239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-3081479.1650377535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-3083044.1866760929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-3083044.1866760929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-3083044.1866760929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-3084610.0031576222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-3086176.6148860264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-3087744.0222651944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-3089312.2256992226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-3090881.2255924107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-3090881.2255924107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-3090881.2255924107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-3092451.0223492649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-3094021.6163744959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-3095593.0080730203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-3097165.1978499605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-3098738.1861106446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-3098738.1861106446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-3098738.1861106446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-3100311.9732606066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-3101886.5597055866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-3101886.5597055866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-3103461.9458515299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-3105038.1321045887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-3105038.1321045887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-3105038.1321045887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-3106615.1188711221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-3108192.9065576945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-3109771.4955710769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-3111350.8863182473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-3112931.0792063908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-3112931.0792063908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-3112931.0792063908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-3114512.074642898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-3116093.8730353676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-3117676.4747916046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-3119259.8803196219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-3120844.0900276382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-3120844.0900276382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-3120844.0900276382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-3122429.1043240819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-3124014.9236175856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-3124014.9236175851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-3125601.5483169919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-3127188.9788313513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-3127188.9788313513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-3127188.9788313513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-3128777.2155699204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-3130366.258942164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-3131956.1093577556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-3133546.7672265763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-3135138.2329587154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-3135138.2329587154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-3135138.2329587154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-3136730.5069644703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-3136730.5069644703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-3138323.5896543474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-3139917.481439061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-3141512.1827295343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-3141512.1827295343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-3141512.1827295343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-3143107.6939368988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-3144704.0154724955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-3146301.1477478738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-3147899.091174792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-3149497.8461652179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-3149497.8461652179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-3149497.8461652179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-3151097.4131313288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-3152697.79248551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-3154298.9846403576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-3155900.9900086764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-3157503.8090034821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-3157503.8090034821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-3157503.8090034821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-3159107.4420379987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-3160711.8895256608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-3162317.1518801134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-3163923.2295152103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-3165530.1228450164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-3165530.1228450164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-3165530.1228450164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-3167137.832283807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-3168746.3582460675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-3170355.7011464937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-3171965.8613999919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-3173576.8394216797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-3173576.8394216797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-3173576.8394216797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-3175188.6356268856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-3176801.2504311483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-3178414.6842502174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-3180028.9375000545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-3181644.0105968318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-3181644.0105968318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-3181644.0105968318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-3183259.9039569334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-3184876.6179969553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-3186494.1531337039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-3188112.509784197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-3189731.6883656662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-3189731.6883656662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I9" sqref="I9"/>
    </sheetView>
  </sheetViews>
  <sheetFormatPr defaultColWidth="9.140625" defaultRowHeight="15" customHeight="1"/>
  <cols>
    <col min="1" max="1" width="4.42578125" style="857" customWidth="1"/>
    <col min="2" max="2" width="27.28515625" style="857" customWidth="1"/>
    <col min="3" max="5" width="17.7109375" style="858" customWidth="1"/>
    <col min="6" max="7" width="17.7109375" style="857" customWidth="1"/>
    <col min="8" max="8" width="46.42578125" style="857" customWidth="1"/>
    <col min="9" max="9" width="14.7109375" style="857" customWidth="1"/>
    <col min="10" max="13" width="12.7109375" style="857" customWidth="1"/>
    <col min="14" max="17" width="9.140625" style="857"/>
    <col min="18" max="18" width="17" style="857" customWidth="1"/>
    <col min="19" max="19" width="14.28515625" style="857" customWidth="1"/>
    <col min="20" max="20" width="15.42578125" style="857" customWidth="1"/>
    <col min="21" max="21" width="13.85546875" style="857" customWidth="1"/>
    <col min="22" max="22" width="17.140625" style="857" customWidth="1"/>
    <col min="23" max="23" width="13" style="857" customWidth="1"/>
    <col min="24" max="24" width="14.140625" style="857" customWidth="1"/>
    <col min="25" max="25" width="17.7109375" style="857" customWidth="1"/>
    <col min="26" max="26" width="17" style="857" customWidth="1"/>
    <col min="27" max="27" width="14" style="857" customWidth="1"/>
    <col min="28" max="28" width="14.85546875" style="857" customWidth="1"/>
    <col min="29" max="16384" width="9.140625" style="857"/>
  </cols>
  <sheetData>
    <row r="1" spans="1:18" ht="14.45" customHeight="1"/>
    <row r="2" spans="1:18" ht="14.45" customHeight="1">
      <c r="B2" s="859" t="s">
        <v>1308</v>
      </c>
      <c r="C2" s="860"/>
      <c r="D2" s="860"/>
      <c r="E2" s="860"/>
      <c r="F2" s="861"/>
      <c r="G2" s="861"/>
      <c r="H2" s="862" t="s">
        <v>13</v>
      </c>
      <c r="I2" s="863">
        <f>Resultado!$D$6</f>
        <v>0</v>
      </c>
      <c r="J2" s="864"/>
      <c r="K2" s="864"/>
    </row>
    <row r="3" spans="1:18" ht="14.45" customHeight="1">
      <c r="B3" s="865"/>
      <c r="C3" s="866"/>
      <c r="D3" s="866"/>
      <c r="E3" s="866"/>
      <c r="H3" s="867" t="s">
        <v>14</v>
      </c>
      <c r="I3" s="868">
        <f>Resultado!$D$8</f>
        <v>0</v>
      </c>
      <c r="J3" s="864"/>
      <c r="K3" s="864"/>
    </row>
    <row r="4" spans="1:18" ht="14.45" customHeight="1">
      <c r="B4" s="864"/>
      <c r="C4" s="866"/>
      <c r="D4" s="866"/>
      <c r="E4" s="866"/>
      <c r="F4" s="869"/>
      <c r="G4" s="864"/>
      <c r="H4" s="864"/>
      <c r="I4" s="864"/>
      <c r="J4" s="864"/>
      <c r="K4" s="864"/>
    </row>
    <row r="5" spans="1:18" ht="15" customHeight="1">
      <c r="B5" s="864"/>
      <c r="C5" s="870"/>
      <c r="D5" s="866"/>
      <c r="E5" s="866"/>
      <c r="F5" s="869"/>
      <c r="G5" s="864"/>
      <c r="H5" s="864"/>
      <c r="I5" s="864"/>
      <c r="J5" s="864"/>
      <c r="K5" s="864"/>
      <c r="R5" s="1320" t="s">
        <v>874</v>
      </c>
    </row>
    <row r="6" spans="1:18" s="874" customFormat="1" ht="15" customHeight="1">
      <c r="A6" s="871"/>
      <c r="B6" s="872"/>
      <c r="C6" s="873"/>
      <c r="D6" s="873"/>
      <c r="E6" s="873"/>
      <c r="F6" s="872"/>
      <c r="G6" s="872"/>
      <c r="H6" s="872"/>
      <c r="I6" s="872"/>
      <c r="J6" s="872"/>
      <c r="K6" s="872"/>
      <c r="R6" s="892" t="e">
        <f>DATE(YEAR(R8),MONTH(R8)-1,1)</f>
        <v>#NUM!</v>
      </c>
    </row>
    <row r="7" spans="1:18" s="874" customFormat="1" ht="15" customHeight="1">
      <c r="A7" s="871"/>
      <c r="B7" s="875" t="s">
        <v>2129</v>
      </c>
      <c r="C7" s="873"/>
      <c r="D7" s="876"/>
      <c r="E7" s="876"/>
      <c r="F7" s="877"/>
      <c r="G7" s="872"/>
      <c r="H7" s="872"/>
      <c r="I7" s="872"/>
      <c r="J7" s="872"/>
      <c r="K7" s="872"/>
      <c r="R7" s="1320" t="s">
        <v>874</v>
      </c>
    </row>
    <row r="8" spans="1:18" ht="27.95" customHeight="1">
      <c r="B8" s="878" t="s">
        <v>778</v>
      </c>
      <c r="C8" s="878" t="s">
        <v>1309</v>
      </c>
      <c r="D8" s="878" t="s">
        <v>1310</v>
      </c>
      <c r="E8" s="1517"/>
      <c r="F8" s="864"/>
      <c r="G8" s="864"/>
      <c r="H8" s="864"/>
      <c r="I8" s="879"/>
      <c r="R8" s="892" t="e">
        <f>DATE(YEAR(R10),MONTH(R10)-1,1)</f>
        <v>#NUM!</v>
      </c>
    </row>
    <row r="9" spans="1:18" ht="14.45" customHeight="1">
      <c r="B9" s="1321" t="s">
        <v>1311</v>
      </c>
      <c r="C9" s="1322"/>
      <c r="D9" s="1322"/>
      <c r="E9" s="1524"/>
      <c r="F9" s="864"/>
      <c r="G9" s="436"/>
      <c r="H9" s="1323" t="s">
        <v>1312</v>
      </c>
      <c r="I9" s="1567">
        <v>-19032.4136</v>
      </c>
      <c r="R9" s="1320" t="s">
        <v>874</v>
      </c>
    </row>
    <row r="10" spans="1:18" ht="14.45" customHeight="1">
      <c r="B10" s="880" t="s">
        <v>41</v>
      </c>
      <c r="C10" s="881"/>
      <c r="D10" s="881"/>
      <c r="E10" s="1524"/>
      <c r="F10" s="864"/>
      <c r="G10" s="436"/>
      <c r="H10" s="882" t="s">
        <v>1313</v>
      </c>
      <c r="I10" s="883">
        <f>Indexador!F173</f>
        <v>0</v>
      </c>
      <c r="R10" s="892" t="e">
        <f>DATE(YEAR(R12),MONTH(R12)-1,1)</f>
        <v>#NUM!</v>
      </c>
    </row>
    <row r="11" spans="1:18" ht="14.45" customHeight="1">
      <c r="B11" s="880" t="s">
        <v>1314</v>
      </c>
      <c r="C11" s="881"/>
      <c r="D11" s="881"/>
      <c r="E11" s="1524"/>
      <c r="F11" s="864"/>
      <c r="G11" s="864"/>
      <c r="H11" s="882" t="s">
        <v>1315</v>
      </c>
      <c r="I11" s="1566"/>
      <c r="R11" s="1320" t="s">
        <v>874</v>
      </c>
    </row>
    <row r="12" spans="1:18" ht="14.45" customHeight="1">
      <c r="B12" s="880" t="s">
        <v>635</v>
      </c>
      <c r="C12" s="881"/>
      <c r="D12" s="881"/>
      <c r="E12" s="1524"/>
      <c r="F12" s="864"/>
      <c r="G12" s="436"/>
      <c r="H12" s="882" t="s">
        <v>1316</v>
      </c>
      <c r="I12" s="1566"/>
      <c r="R12" s="892" t="e">
        <f>DATE(YEAR(R14),MONTH(R14)-1,1)</f>
        <v>#NUM!</v>
      </c>
    </row>
    <row r="13" spans="1:18" ht="14.45" customHeight="1">
      <c r="B13" s="880" t="s">
        <v>1317</v>
      </c>
      <c r="C13" s="881">
        <v>-484061.42129999999</v>
      </c>
      <c r="D13" s="881">
        <v>-463559.3689</v>
      </c>
      <c r="E13" s="1524"/>
      <c r="F13" s="864"/>
      <c r="G13" s="436"/>
      <c r="H13" s="882" t="s">
        <v>1318</v>
      </c>
      <c r="I13" s="1324"/>
      <c r="R13" s="1320" t="s">
        <v>874</v>
      </c>
    </row>
    <row r="14" spans="1:18" ht="14.45" customHeight="1">
      <c r="B14" s="880" t="s">
        <v>112</v>
      </c>
      <c r="C14" s="881"/>
      <c r="D14" s="881"/>
      <c r="E14" s="1524"/>
      <c r="F14" s="864"/>
      <c r="G14" s="436"/>
      <c r="H14" s="1323" t="s">
        <v>1319</v>
      </c>
      <c r="I14" s="1568">
        <v>2559632.42802141</v>
      </c>
      <c r="J14" s="864"/>
      <c r="K14" s="864"/>
      <c r="R14" s="892" t="e">
        <f>DATE(YEAR(R16),MONTH(R16)-1,1)</f>
        <v>#NUM!</v>
      </c>
    </row>
    <row r="15" spans="1:18" ht="14.45" customHeight="1">
      <c r="B15" s="880" t="s">
        <v>1320</v>
      </c>
      <c r="C15" s="881"/>
      <c r="D15" s="881"/>
      <c r="E15" s="1524"/>
      <c r="F15" s="864"/>
      <c r="G15" s="436"/>
      <c r="H15" s="1325" t="s">
        <v>1321</v>
      </c>
      <c r="I15" s="1326">
        <f>-Indexador!$N$49</f>
        <v>-2719246.1550966688</v>
      </c>
      <c r="J15" s="864"/>
      <c r="K15" s="864"/>
      <c r="R15" s="1320" t="s">
        <v>874</v>
      </c>
    </row>
    <row r="16" spans="1:18" ht="14.45" customHeight="1">
      <c r="B16" s="880" t="s">
        <v>109</v>
      </c>
      <c r="C16" s="881"/>
      <c r="D16" s="881"/>
      <c r="E16" s="1524"/>
      <c r="F16" s="865"/>
      <c r="G16" s="436"/>
      <c r="H16" s="864"/>
      <c r="I16" s="879"/>
      <c r="J16" s="864"/>
      <c r="K16" s="864"/>
      <c r="R16" s="892" t="e">
        <f>DATE(YEAR(R18),MONTH(R18)-1,1)</f>
        <v>#NUM!</v>
      </c>
    </row>
    <row r="17" spans="1:18" ht="14.45" customHeight="1">
      <c r="B17" s="880" t="s">
        <v>46</v>
      </c>
      <c r="C17" s="881">
        <v>1536701.4765000001</v>
      </c>
      <c r="D17" s="881">
        <v>1620612.8811000001</v>
      </c>
      <c r="E17" s="1524"/>
      <c r="F17" s="864"/>
      <c r="G17" s="436"/>
      <c r="H17" s="864"/>
      <c r="I17" s="864"/>
      <c r="J17" s="864"/>
      <c r="K17" s="864"/>
      <c r="R17" s="1320" t="s">
        <v>874</v>
      </c>
    </row>
    <row r="18" spans="1:18" ht="14.45" customHeight="1">
      <c r="B18" s="884" t="s">
        <v>769</v>
      </c>
      <c r="C18" s="885">
        <f>SUM(C9:C17)</f>
        <v>1052640.0552000001</v>
      </c>
      <c r="D18" s="885">
        <f t="shared" ref="D18" si="0">SUM(D9:D17)</f>
        <v>1157053.5122000002</v>
      </c>
      <c r="E18" s="1525"/>
      <c r="F18" s="864"/>
      <c r="G18" s="864"/>
      <c r="H18" s="864"/>
      <c r="I18" s="864"/>
      <c r="J18" s="864"/>
      <c r="K18" s="864"/>
      <c r="R18" s="892" t="e">
        <f>DATE(YEAR(R20),MONTH(R20)-1,1)</f>
        <v>#NUM!</v>
      </c>
    </row>
    <row r="19" spans="1:18" ht="14.45" hidden="1" customHeight="1">
      <c r="B19" s="864"/>
      <c r="C19" s="866"/>
      <c r="D19" s="866"/>
      <c r="E19" s="866"/>
      <c r="F19" s="864"/>
      <c r="G19" s="864"/>
      <c r="R19" s="1320" t="s">
        <v>874</v>
      </c>
    </row>
    <row r="20" spans="1:18" ht="14.45" customHeight="1">
      <c r="B20" s="864"/>
      <c r="C20" s="866"/>
      <c r="D20" s="866"/>
      <c r="E20" s="866"/>
      <c r="F20" s="864"/>
      <c r="G20" s="864"/>
      <c r="R20" s="892" t="e">
        <f>DATE(YEAR(R22),MONTH(R22)-1,1)</f>
        <v>#NUM!</v>
      </c>
    </row>
    <row r="21" spans="1:18" s="874" customFormat="1" ht="14.45" customHeight="1">
      <c r="A21" s="1509"/>
      <c r="B21" s="1510"/>
      <c r="C21" s="1511"/>
      <c r="D21" s="1511"/>
      <c r="E21" s="1511"/>
      <c r="F21" s="1510"/>
      <c r="G21" s="1510"/>
      <c r="H21" s="1512"/>
      <c r="R21" s="1320" t="s">
        <v>874</v>
      </c>
    </row>
    <row r="22" spans="1:18" ht="14.45" customHeight="1">
      <c r="A22" s="1513"/>
      <c r="B22" s="1514"/>
      <c r="C22" s="1515"/>
      <c r="D22" s="1515"/>
      <c r="E22" s="1515"/>
      <c r="F22" s="1516"/>
      <c r="G22" s="1516"/>
      <c r="H22" s="1513"/>
      <c r="R22" s="892" t="e">
        <f>DATE(YEAR(R24),MONTH(R24)-1,1)</f>
        <v>#NUM!</v>
      </c>
    </row>
    <row r="23" spans="1:18" ht="42" customHeight="1">
      <c r="A23" s="1513"/>
      <c r="B23" s="1517"/>
      <c r="C23" s="1517"/>
      <c r="D23" s="1517"/>
      <c r="E23" s="1517"/>
      <c r="F23" s="1517"/>
      <c r="G23" s="1517"/>
      <c r="H23" s="1513"/>
      <c r="R23" s="1320" t="s">
        <v>874</v>
      </c>
    </row>
    <row r="24" spans="1:18" ht="14.45" customHeight="1">
      <c r="A24" s="1513"/>
      <c r="B24" s="880"/>
      <c r="C24" s="887"/>
      <c r="D24" s="1505"/>
      <c r="E24" s="887"/>
      <c r="F24" s="888"/>
      <c r="G24" s="888"/>
      <c r="H24" s="1518"/>
      <c r="I24" s="886"/>
      <c r="J24" s="886"/>
      <c r="K24" s="894"/>
      <c r="R24" s="892" t="e">
        <f>DATE(YEAR(R26),MONTH(R26)-1,1)</f>
        <v>#NUM!</v>
      </c>
    </row>
    <row r="25" spans="1:18" ht="14.45" customHeight="1">
      <c r="A25" s="1513"/>
      <c r="B25" s="880"/>
      <c r="C25" s="887"/>
      <c r="D25" s="1506"/>
      <c r="E25" s="887"/>
      <c r="F25" s="888"/>
      <c r="G25" s="895"/>
      <c r="H25" s="1518"/>
      <c r="I25" s="886"/>
      <c r="J25" s="886"/>
      <c r="K25" s="879"/>
      <c r="R25" s="1320" t="s">
        <v>874</v>
      </c>
    </row>
    <row r="26" spans="1:18" ht="14.45" customHeight="1">
      <c r="A26" s="1513"/>
      <c r="B26" s="880"/>
      <c r="C26" s="887"/>
      <c r="D26" s="1506"/>
      <c r="E26" s="887"/>
      <c r="F26" s="888"/>
      <c r="G26" s="895"/>
      <c r="H26" s="1518"/>
      <c r="I26" s="886"/>
      <c r="J26" s="886"/>
      <c r="K26" s="879"/>
      <c r="R26" s="892" t="e">
        <f>DATE(YEAR(R28),MONTH(R28)-1,1)</f>
        <v>#NUM!</v>
      </c>
    </row>
    <row r="27" spans="1:18" ht="14.45" customHeight="1">
      <c r="A27" s="1513"/>
      <c r="B27" s="880"/>
      <c r="C27" s="887"/>
      <c r="D27" s="1506"/>
      <c r="E27" s="887"/>
      <c r="F27" s="888"/>
      <c r="G27" s="895"/>
      <c r="H27" s="1518"/>
      <c r="I27" s="888"/>
      <c r="J27" s="888"/>
      <c r="K27" s="879"/>
      <c r="R27" s="1320" t="s">
        <v>874</v>
      </c>
    </row>
    <row r="28" spans="1:18" ht="14.45" customHeight="1">
      <c r="A28" s="1513"/>
      <c r="B28" s="880"/>
      <c r="C28" s="887"/>
      <c r="D28" s="1506"/>
      <c r="E28" s="887"/>
      <c r="F28" s="888"/>
      <c r="G28" s="895"/>
      <c r="H28" s="1518"/>
      <c r="I28" s="888"/>
      <c r="J28" s="888"/>
      <c r="K28" s="879"/>
      <c r="R28" s="892">
        <f>B65</f>
        <v>0</v>
      </c>
    </row>
    <row r="29" spans="1:18" ht="14.45" customHeight="1">
      <c r="A29" s="1513"/>
      <c r="B29" s="880"/>
      <c r="C29" s="887"/>
      <c r="D29" s="1506"/>
      <c r="E29" s="887"/>
      <c r="F29" s="888"/>
      <c r="G29" s="895"/>
      <c r="H29" s="1518"/>
      <c r="I29" s="888"/>
      <c r="J29" s="888"/>
      <c r="K29" s="879"/>
    </row>
    <row r="30" spans="1:18" ht="14.45" customHeight="1">
      <c r="A30" s="1513"/>
      <c r="B30" s="880"/>
      <c r="C30" s="887"/>
      <c r="D30" s="1506"/>
      <c r="E30" s="887"/>
      <c r="F30" s="888"/>
      <c r="G30" s="895"/>
      <c r="H30" s="1516"/>
      <c r="I30" s="888"/>
      <c r="J30" s="888"/>
      <c r="K30" s="879"/>
    </row>
    <row r="31" spans="1:18" ht="14.45" customHeight="1">
      <c r="A31" s="1513"/>
      <c r="B31" s="880"/>
      <c r="C31" s="887"/>
      <c r="D31" s="1506"/>
      <c r="E31" s="887"/>
      <c r="F31" s="888"/>
      <c r="G31" s="895"/>
      <c r="H31" s="1513"/>
      <c r="I31" s="888"/>
      <c r="J31" s="888"/>
      <c r="K31" s="864"/>
    </row>
    <row r="32" spans="1:18" ht="14.45" customHeight="1">
      <c r="A32" s="1513"/>
      <c r="B32" s="880"/>
      <c r="C32" s="887"/>
      <c r="D32" s="1506"/>
      <c r="E32" s="887"/>
      <c r="F32" s="888"/>
      <c r="G32" s="895"/>
      <c r="H32" s="1513"/>
      <c r="I32" s="888"/>
      <c r="J32" s="888"/>
      <c r="K32" s="864"/>
    </row>
    <row r="33" spans="1:11" ht="14.45" customHeight="1">
      <c r="A33" s="1513"/>
      <c r="B33" s="1519"/>
      <c r="C33" s="1520"/>
      <c r="D33" s="1520"/>
      <c r="E33" s="1520"/>
      <c r="F33" s="1521"/>
      <c r="G33" s="1521"/>
      <c r="H33" s="1513"/>
      <c r="I33" s="893"/>
      <c r="J33" s="893"/>
      <c r="K33" s="864"/>
    </row>
    <row r="34" spans="1:11" ht="14.45" customHeight="1">
      <c r="A34" s="1513"/>
      <c r="B34" s="1516"/>
      <c r="C34" s="1522"/>
      <c r="D34" s="1515"/>
      <c r="E34" s="1515"/>
      <c r="F34" s="1516"/>
      <c r="G34" s="1516"/>
      <c r="H34" s="1513"/>
      <c r="K34" s="864"/>
    </row>
    <row r="35" spans="1:11" ht="14.45" customHeight="1">
      <c r="A35" s="1513"/>
      <c r="B35" s="1516"/>
      <c r="C35" s="1515"/>
      <c r="D35" s="1515"/>
      <c r="E35" s="1515"/>
      <c r="F35" s="436"/>
      <c r="G35" s="1516"/>
      <c r="H35" s="1513"/>
      <c r="K35" s="864"/>
    </row>
    <row r="36" spans="1:11" ht="14.45" customHeight="1">
      <c r="A36" s="1513"/>
      <c r="B36" s="1514"/>
      <c r="C36" s="1522"/>
      <c r="D36" s="1515"/>
      <c r="E36" s="1515"/>
      <c r="F36" s="1516"/>
      <c r="G36" s="1523"/>
      <c r="H36" s="1513"/>
      <c r="K36" s="864"/>
    </row>
    <row r="37" spans="1:11" ht="43.5" customHeight="1">
      <c r="A37" s="1513"/>
      <c r="B37" s="1517"/>
      <c r="C37" s="1517"/>
      <c r="D37" s="1517"/>
      <c r="E37" s="889"/>
      <c r="F37" s="436"/>
      <c r="G37" s="1516"/>
      <c r="H37" s="1516"/>
      <c r="I37" s="864"/>
      <c r="J37" s="864"/>
      <c r="K37" s="864"/>
    </row>
    <row r="38" spans="1:11" ht="14.45" customHeight="1">
      <c r="A38" s="1513"/>
      <c r="B38" s="880"/>
      <c r="C38" s="1515"/>
      <c r="D38" s="889"/>
      <c r="E38" s="889"/>
      <c r="F38" s="436"/>
      <c r="G38" s="1516"/>
      <c r="H38" s="1516"/>
      <c r="I38" s="864"/>
      <c r="J38" s="864"/>
      <c r="K38" s="864"/>
    </row>
    <row r="39" spans="1:11" ht="14.45" customHeight="1">
      <c r="A39" s="1513"/>
      <c r="B39" s="880"/>
      <c r="C39" s="1515"/>
      <c r="D39" s="1507"/>
      <c r="E39" s="889"/>
      <c r="F39" s="436"/>
      <c r="G39" s="436"/>
      <c r="H39" s="1516"/>
      <c r="I39" s="864"/>
      <c r="J39" s="864"/>
      <c r="K39" s="864"/>
    </row>
    <row r="40" spans="1:11" ht="14.45" customHeight="1">
      <c r="A40" s="1513"/>
      <c r="B40" s="880"/>
      <c r="C40" s="889"/>
      <c r="D40" s="1507"/>
      <c r="E40" s="889"/>
      <c r="F40" s="436"/>
      <c r="G40" s="1516"/>
      <c r="H40" s="1516"/>
      <c r="I40" s="864"/>
      <c r="J40" s="864"/>
      <c r="K40" s="864"/>
    </row>
    <row r="41" spans="1:11" ht="14.45" customHeight="1">
      <c r="A41" s="1513"/>
      <c r="B41" s="880"/>
      <c r="C41" s="889"/>
      <c r="D41" s="1507"/>
      <c r="E41" s="889"/>
      <c r="F41" s="436"/>
      <c r="G41" s="1516"/>
      <c r="H41" s="1516"/>
      <c r="I41" s="864"/>
      <c r="J41" s="864"/>
      <c r="K41" s="864"/>
    </row>
    <row r="42" spans="1:11" ht="14.45" customHeight="1">
      <c r="A42" s="1513"/>
      <c r="B42" s="880"/>
      <c r="C42" s="1508"/>
      <c r="D42" s="1507"/>
      <c r="E42" s="889"/>
      <c r="F42" s="436"/>
      <c r="G42" s="1516"/>
      <c r="H42" s="1516"/>
      <c r="I42" s="864"/>
      <c r="J42" s="864"/>
      <c r="K42" s="864"/>
    </row>
    <row r="43" spans="1:11" ht="14.45" customHeight="1">
      <c r="A43" s="1513"/>
      <c r="B43" s="880"/>
      <c r="C43" s="889"/>
      <c r="D43" s="889"/>
      <c r="E43" s="889"/>
      <c r="F43" s="436"/>
      <c r="G43" s="1516"/>
      <c r="H43" s="1516"/>
      <c r="I43" s="864"/>
      <c r="J43" s="864"/>
      <c r="K43" s="864"/>
    </row>
    <row r="44" spans="1:11" ht="14.45" customHeight="1">
      <c r="A44" s="1513"/>
      <c r="B44" s="880"/>
      <c r="C44" s="889"/>
      <c r="D44" s="889"/>
      <c r="E44" s="889"/>
      <c r="F44" s="436"/>
      <c r="G44" s="1516"/>
      <c r="H44" s="1516"/>
      <c r="I44" s="864"/>
      <c r="J44" s="864"/>
      <c r="K44" s="864"/>
    </row>
    <row r="45" spans="1:11" ht="14.45" customHeight="1">
      <c r="A45" s="1513"/>
      <c r="B45" s="880"/>
      <c r="C45" s="889"/>
      <c r="D45" s="889"/>
      <c r="E45" s="889"/>
      <c r="F45" s="436"/>
      <c r="G45" s="1516"/>
      <c r="H45" s="1516"/>
      <c r="I45" s="864"/>
      <c r="J45" s="864"/>
      <c r="K45" s="864"/>
    </row>
    <row r="46" spans="1:11" ht="14.45" customHeight="1">
      <c r="A46" s="1513"/>
      <c r="B46" s="880"/>
      <c r="C46" s="889"/>
      <c r="D46" s="889"/>
      <c r="E46" s="889"/>
      <c r="F46" s="436"/>
      <c r="G46" s="1516"/>
      <c r="H46" s="1516"/>
      <c r="I46" s="864"/>
      <c r="J46" s="864"/>
      <c r="K46" s="864"/>
    </row>
    <row r="47" spans="1:11" ht="14.45" customHeight="1">
      <c r="B47" s="436"/>
      <c r="C47" s="889"/>
      <c r="D47" s="889"/>
      <c r="E47" s="889"/>
      <c r="F47" s="436"/>
      <c r="G47" s="864"/>
      <c r="H47" s="864"/>
      <c r="I47" s="864"/>
      <c r="J47" s="864"/>
      <c r="K47" s="864"/>
    </row>
    <row r="48" spans="1:11" ht="14.45" customHeight="1">
      <c r="B48" s="65"/>
      <c r="C48" s="890"/>
      <c r="D48" s="890"/>
      <c r="E48" s="890"/>
      <c r="F48" s="65"/>
    </row>
    <row r="49" spans="2:30" ht="14.45" customHeight="1">
      <c r="B49" s="65"/>
      <c r="C49" s="890"/>
      <c r="D49" s="890"/>
      <c r="E49" s="890"/>
      <c r="F49" s="65"/>
    </row>
    <row r="50" spans="2:30" ht="14.45" customHeight="1"/>
    <row r="52" spans="2:30" ht="15" customHeight="1">
      <c r="B52" s="848"/>
      <c r="C52" s="848"/>
      <c r="D52" s="848"/>
      <c r="E52" s="848"/>
      <c r="F52" s="848"/>
      <c r="G52" s="848"/>
      <c r="H52" s="848"/>
      <c r="I52" s="848"/>
      <c r="J52" s="848"/>
      <c r="K52" s="891"/>
      <c r="L52" s="891"/>
      <c r="M52" s="891"/>
      <c r="N52" s="891"/>
      <c r="O52" s="891"/>
      <c r="P52" s="891"/>
      <c r="Q52" s="891"/>
      <c r="R52" s="891"/>
      <c r="S52" s="891"/>
      <c r="T52" s="891"/>
      <c r="U52" s="891"/>
      <c r="V52" s="891"/>
      <c r="W52" s="891"/>
      <c r="X52" s="891"/>
      <c r="Y52" s="891"/>
      <c r="Z52" s="891"/>
      <c r="AA52" s="891"/>
      <c r="AB52" s="891"/>
      <c r="AC52" s="1513"/>
      <c r="AD52" s="1513"/>
    </row>
    <row r="53" spans="2:30" ht="15" customHeight="1">
      <c r="B53" s="1570"/>
      <c r="C53" s="1570"/>
      <c r="D53" s="1570"/>
      <c r="E53" s="1570"/>
      <c r="F53" s="1570"/>
      <c r="G53" s="1570"/>
      <c r="H53" s="1570"/>
      <c r="I53" s="1570"/>
      <c r="J53" s="1570"/>
      <c r="K53" s="1570"/>
      <c r="L53" s="1570"/>
      <c r="M53" s="1570"/>
      <c r="N53" s="1570"/>
      <c r="O53" s="1570"/>
      <c r="P53" s="1570"/>
      <c r="Q53" s="1570"/>
      <c r="R53" s="1570"/>
      <c r="S53" s="1570"/>
      <c r="T53" s="1570"/>
      <c r="U53" s="1570"/>
      <c r="V53" s="1570"/>
      <c r="W53" s="1570"/>
      <c r="X53" s="1570"/>
      <c r="Y53" s="1570"/>
      <c r="Z53" s="1570"/>
      <c r="AA53" s="1570"/>
      <c r="AB53" s="1570"/>
      <c r="AC53" s="1513"/>
      <c r="AD53" s="1513"/>
    </row>
    <row r="54" spans="2:30" ht="15" customHeight="1">
      <c r="B54" s="1571"/>
      <c r="C54" s="1569"/>
      <c r="D54" s="888"/>
      <c r="E54" s="888"/>
      <c r="F54" s="888"/>
      <c r="G54" s="888"/>
      <c r="H54" s="888"/>
      <c r="I54" s="888"/>
      <c r="J54" s="888"/>
      <c r="K54" s="888"/>
      <c r="L54" s="888"/>
      <c r="M54" s="888"/>
      <c r="N54" s="888"/>
      <c r="O54" s="888"/>
      <c r="P54" s="888"/>
      <c r="Q54" s="888"/>
      <c r="R54" s="1572"/>
      <c r="S54" s="888"/>
      <c r="T54" s="888"/>
      <c r="U54" s="888"/>
      <c r="V54" s="888"/>
      <c r="W54" s="888"/>
      <c r="X54" s="888"/>
      <c r="Y54" s="888"/>
      <c r="Z54" s="888"/>
      <c r="AA54" s="888"/>
      <c r="AB54" s="888"/>
      <c r="AC54" s="1513"/>
      <c r="AD54" s="1513"/>
    </row>
    <row r="55" spans="2:30" ht="15" customHeight="1">
      <c r="B55" s="1571"/>
      <c r="C55" s="1569"/>
      <c r="D55" s="888"/>
      <c r="E55" s="888"/>
      <c r="F55" s="888"/>
      <c r="G55" s="888"/>
      <c r="H55" s="888"/>
      <c r="I55" s="888"/>
      <c r="J55" s="888"/>
      <c r="K55" s="888"/>
      <c r="L55" s="888"/>
      <c r="M55" s="888"/>
      <c r="N55" s="888"/>
      <c r="O55" s="888"/>
      <c r="P55" s="888"/>
      <c r="Q55" s="888"/>
      <c r="R55" s="1572"/>
      <c r="S55" s="888"/>
      <c r="T55" s="888"/>
      <c r="U55" s="888"/>
      <c r="V55" s="888"/>
      <c r="W55" s="888"/>
      <c r="X55" s="888"/>
      <c r="Y55" s="888"/>
      <c r="Z55" s="888"/>
      <c r="AA55" s="888"/>
      <c r="AB55" s="888"/>
      <c r="AC55" s="1513"/>
      <c r="AD55" s="1513"/>
    </row>
    <row r="56" spans="2:30" ht="15" customHeight="1">
      <c r="B56" s="1571"/>
      <c r="C56" s="1569"/>
      <c r="D56" s="888"/>
      <c r="E56" s="888"/>
      <c r="F56" s="888"/>
      <c r="G56" s="888"/>
      <c r="H56" s="888"/>
      <c r="I56" s="888"/>
      <c r="J56" s="888"/>
      <c r="K56" s="888"/>
      <c r="L56" s="888"/>
      <c r="M56" s="888"/>
      <c r="N56" s="888"/>
      <c r="O56" s="888"/>
      <c r="P56" s="888"/>
      <c r="Q56" s="888"/>
      <c r="R56" s="1572"/>
      <c r="S56" s="888"/>
      <c r="T56" s="888"/>
      <c r="U56" s="888"/>
      <c r="V56" s="888"/>
      <c r="W56" s="888"/>
      <c r="X56" s="888"/>
      <c r="Y56" s="888"/>
      <c r="Z56" s="888"/>
      <c r="AA56" s="888"/>
      <c r="AB56" s="888"/>
      <c r="AC56" s="1513"/>
      <c r="AD56" s="1513"/>
    </row>
    <row r="57" spans="2:30" ht="15" customHeight="1">
      <c r="B57" s="1571"/>
      <c r="C57" s="1569"/>
      <c r="D57" s="888"/>
      <c r="E57" s="888"/>
      <c r="F57" s="888"/>
      <c r="G57" s="888"/>
      <c r="H57" s="888"/>
      <c r="I57" s="888"/>
      <c r="J57" s="888"/>
      <c r="K57" s="888"/>
      <c r="L57" s="888"/>
      <c r="M57" s="888"/>
      <c r="N57" s="888"/>
      <c r="O57" s="888"/>
      <c r="P57" s="888"/>
      <c r="Q57" s="888"/>
      <c r="R57" s="1572"/>
      <c r="S57" s="888"/>
      <c r="T57" s="888"/>
      <c r="U57" s="888"/>
      <c r="V57" s="888"/>
      <c r="W57" s="888"/>
      <c r="X57" s="888"/>
      <c r="Y57" s="888"/>
      <c r="Z57" s="888"/>
      <c r="AA57" s="888"/>
      <c r="AB57" s="888"/>
      <c r="AC57" s="1513"/>
      <c r="AD57" s="1513"/>
    </row>
    <row r="58" spans="2:30" ht="15" customHeight="1">
      <c r="B58" s="1571"/>
      <c r="C58" s="1569"/>
      <c r="D58" s="888"/>
      <c r="E58" s="888"/>
      <c r="F58" s="888"/>
      <c r="G58" s="888"/>
      <c r="H58" s="888"/>
      <c r="I58" s="888"/>
      <c r="J58" s="888"/>
      <c r="K58" s="888"/>
      <c r="L58" s="888"/>
      <c r="M58" s="888"/>
      <c r="N58" s="888"/>
      <c r="O58" s="888"/>
      <c r="P58" s="888"/>
      <c r="Q58" s="888"/>
      <c r="R58" s="1572"/>
      <c r="S58" s="888"/>
      <c r="T58" s="888"/>
      <c r="U58" s="888"/>
      <c r="V58" s="888"/>
      <c r="W58" s="888"/>
      <c r="X58" s="888"/>
      <c r="Y58" s="888"/>
      <c r="Z58" s="888"/>
      <c r="AA58" s="888"/>
      <c r="AB58" s="888"/>
      <c r="AC58" s="1513"/>
      <c r="AD58" s="1513"/>
    </row>
    <row r="59" spans="2:30" ht="15" customHeight="1">
      <c r="B59" s="1571"/>
      <c r="C59" s="1569"/>
      <c r="D59" s="888"/>
      <c r="E59" s="888"/>
      <c r="F59" s="888"/>
      <c r="G59" s="888"/>
      <c r="H59" s="888"/>
      <c r="I59" s="888"/>
      <c r="J59" s="888"/>
      <c r="K59" s="888"/>
      <c r="L59" s="888"/>
      <c r="M59" s="888"/>
      <c r="N59" s="888"/>
      <c r="O59" s="888"/>
      <c r="P59" s="888"/>
      <c r="Q59" s="888"/>
      <c r="R59" s="1572"/>
      <c r="S59" s="888"/>
      <c r="T59" s="888"/>
      <c r="U59" s="888"/>
      <c r="V59" s="888"/>
      <c r="W59" s="888"/>
      <c r="X59" s="888"/>
      <c r="Y59" s="888"/>
      <c r="Z59" s="888"/>
      <c r="AA59" s="888"/>
      <c r="AB59" s="888"/>
      <c r="AC59" s="1513"/>
      <c r="AD59" s="1513"/>
    </row>
    <row r="60" spans="2:30" ht="15" customHeight="1">
      <c r="B60" s="1571"/>
      <c r="C60" s="1569"/>
      <c r="D60" s="888"/>
      <c r="E60" s="888"/>
      <c r="F60" s="888"/>
      <c r="G60" s="888"/>
      <c r="H60" s="888"/>
      <c r="I60" s="888"/>
      <c r="J60" s="888"/>
      <c r="K60" s="888"/>
      <c r="L60" s="888"/>
      <c r="M60" s="888"/>
      <c r="N60" s="888"/>
      <c r="O60" s="888"/>
      <c r="P60" s="888"/>
      <c r="Q60" s="888"/>
      <c r="R60" s="1572"/>
      <c r="S60" s="888"/>
      <c r="T60" s="888"/>
      <c r="U60" s="888"/>
      <c r="V60" s="888"/>
      <c r="W60" s="888"/>
      <c r="X60" s="888"/>
      <c r="Y60" s="888"/>
      <c r="Z60" s="888"/>
      <c r="AA60" s="888"/>
      <c r="AB60" s="888"/>
      <c r="AC60" s="1513"/>
      <c r="AD60" s="1513"/>
    </row>
    <row r="61" spans="2:30" ht="15" customHeight="1">
      <c r="B61" s="1571"/>
      <c r="C61" s="1569"/>
      <c r="D61" s="888"/>
      <c r="E61" s="888"/>
      <c r="F61" s="888"/>
      <c r="G61" s="888"/>
      <c r="H61" s="888"/>
      <c r="I61" s="888"/>
      <c r="J61" s="888"/>
      <c r="K61" s="888"/>
      <c r="L61" s="888"/>
      <c r="M61" s="888"/>
      <c r="N61" s="888"/>
      <c r="O61" s="888"/>
      <c r="P61" s="888"/>
      <c r="Q61" s="888"/>
      <c r="R61" s="1572"/>
      <c r="S61" s="888"/>
      <c r="T61" s="888"/>
      <c r="U61" s="888"/>
      <c r="V61" s="888"/>
      <c r="W61" s="888"/>
      <c r="X61" s="888"/>
      <c r="Y61" s="888"/>
      <c r="Z61" s="888"/>
      <c r="AA61" s="888"/>
      <c r="AB61" s="888"/>
      <c r="AC61" s="1513"/>
      <c r="AD61" s="1513"/>
    </row>
    <row r="62" spans="2:30" ht="15" customHeight="1">
      <c r="B62" s="1571"/>
      <c r="C62" s="1569"/>
      <c r="D62" s="888"/>
      <c r="E62" s="888"/>
      <c r="F62" s="888"/>
      <c r="G62" s="888"/>
      <c r="H62" s="888"/>
      <c r="I62" s="888"/>
      <c r="J62" s="888"/>
      <c r="K62" s="888"/>
      <c r="L62" s="888"/>
      <c r="M62" s="888"/>
      <c r="N62" s="888"/>
      <c r="O62" s="888"/>
      <c r="P62" s="888"/>
      <c r="Q62" s="888"/>
      <c r="R62" s="1572"/>
      <c r="S62" s="888"/>
      <c r="T62" s="888"/>
      <c r="U62" s="888"/>
      <c r="V62" s="888"/>
      <c r="W62" s="888"/>
      <c r="X62" s="888"/>
      <c r="Y62" s="888"/>
      <c r="Z62" s="888"/>
      <c r="AA62" s="888"/>
      <c r="AB62" s="888"/>
      <c r="AC62" s="1513"/>
      <c r="AD62" s="1513"/>
    </row>
    <row r="63" spans="2:30" ht="15" customHeight="1">
      <c r="B63" s="1571"/>
      <c r="C63" s="1569"/>
      <c r="D63" s="888"/>
      <c r="E63" s="888"/>
      <c r="F63" s="888"/>
      <c r="G63" s="888"/>
      <c r="H63" s="888"/>
      <c r="I63" s="888"/>
      <c r="J63" s="888"/>
      <c r="K63" s="888"/>
      <c r="L63" s="888"/>
      <c r="M63" s="888"/>
      <c r="N63" s="888"/>
      <c r="O63" s="888"/>
      <c r="P63" s="888"/>
      <c r="Q63" s="888"/>
      <c r="R63" s="1572"/>
      <c r="S63" s="888"/>
      <c r="T63" s="888"/>
      <c r="U63" s="888"/>
      <c r="V63" s="888"/>
      <c r="W63" s="888"/>
      <c r="X63" s="888"/>
      <c r="Y63" s="888"/>
      <c r="Z63" s="888"/>
      <c r="AA63" s="888"/>
      <c r="AB63" s="888"/>
      <c r="AC63" s="1513"/>
      <c r="AD63" s="1513"/>
    </row>
    <row r="64" spans="2:30" ht="15" customHeight="1">
      <c r="B64" s="1571"/>
      <c r="C64" s="1569"/>
      <c r="D64" s="888"/>
      <c r="E64" s="888"/>
      <c r="F64" s="888"/>
      <c r="G64" s="888"/>
      <c r="H64" s="888"/>
      <c r="I64" s="888"/>
      <c r="J64" s="888"/>
      <c r="K64" s="888"/>
      <c r="L64" s="888"/>
      <c r="M64" s="888"/>
      <c r="N64" s="888"/>
      <c r="O64" s="888"/>
      <c r="P64" s="888"/>
      <c r="Q64" s="888"/>
      <c r="R64" s="1572"/>
      <c r="S64" s="888"/>
      <c r="T64" s="888"/>
      <c r="U64" s="888"/>
      <c r="V64" s="888"/>
      <c r="W64" s="888"/>
      <c r="X64" s="888"/>
      <c r="Y64" s="888"/>
      <c r="Z64" s="888"/>
      <c r="AA64" s="888"/>
      <c r="AB64" s="888"/>
      <c r="AC64" s="1513"/>
      <c r="AD64" s="1513"/>
    </row>
    <row r="65" spans="2:30" ht="15" customHeight="1">
      <c r="B65" s="1571"/>
      <c r="C65" s="1569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1572"/>
      <c r="S65" s="888"/>
      <c r="T65" s="888"/>
      <c r="U65" s="888"/>
      <c r="V65" s="888"/>
      <c r="W65" s="888"/>
      <c r="X65" s="888"/>
      <c r="Y65" s="888"/>
      <c r="Z65" s="888"/>
      <c r="AA65" s="888"/>
      <c r="AB65" s="888"/>
      <c r="AC65" s="1513"/>
      <c r="AD65" s="1513"/>
    </row>
    <row r="66" spans="2:30" ht="15" customHeight="1">
      <c r="B66" s="1461"/>
      <c r="C66" s="1573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1513"/>
      <c r="AD66" s="1513"/>
    </row>
    <row r="67" spans="2:30" ht="15" customHeight="1">
      <c r="B67" s="1574"/>
      <c r="C67" s="1574"/>
      <c r="D67" s="1521"/>
      <c r="E67" s="1521"/>
      <c r="F67" s="1521"/>
      <c r="G67" s="1521"/>
      <c r="H67" s="1521"/>
      <c r="I67" s="1521"/>
      <c r="J67" s="1521"/>
      <c r="K67" s="1521"/>
      <c r="L67" s="1521"/>
      <c r="M67" s="1521"/>
      <c r="N67" s="1521"/>
      <c r="O67" s="1521"/>
      <c r="P67" s="1521"/>
      <c r="Q67" s="1521"/>
      <c r="R67" s="1521"/>
      <c r="S67" s="1521"/>
      <c r="T67" s="1521"/>
      <c r="U67" s="1521"/>
      <c r="V67" s="1521"/>
      <c r="W67" s="1521"/>
      <c r="X67" s="1521"/>
      <c r="Y67" s="1521"/>
      <c r="Z67" s="1521"/>
      <c r="AA67" s="1521"/>
      <c r="AB67" s="1521"/>
      <c r="AC67" s="1513"/>
      <c r="AD67" s="1513"/>
    </row>
    <row r="68" spans="2:30" ht="15" customHeight="1">
      <c r="B68" s="1513"/>
      <c r="C68" s="1575"/>
      <c r="D68" s="1575"/>
      <c r="E68" s="1575"/>
      <c r="F68" s="1513"/>
      <c r="G68" s="1513"/>
      <c r="H68" s="1513"/>
      <c r="I68" s="1513"/>
      <c r="J68" s="1513"/>
      <c r="K68" s="1513"/>
      <c r="L68" s="1513"/>
      <c r="M68" s="1513"/>
      <c r="N68" s="1513"/>
      <c r="O68" s="1513"/>
      <c r="P68" s="1513"/>
      <c r="Q68" s="1513"/>
      <c r="R68" s="1513"/>
      <c r="S68" s="1513"/>
      <c r="T68" s="1513"/>
      <c r="U68" s="1513"/>
      <c r="V68" s="1513"/>
      <c r="W68" s="1513"/>
      <c r="X68" s="1513"/>
      <c r="Y68" s="1513"/>
      <c r="Z68" s="1513"/>
      <c r="AA68" s="1513"/>
      <c r="AB68" s="1513"/>
      <c r="AC68" s="1513"/>
      <c r="AD68" s="1513"/>
    </row>
    <row r="69" spans="2:30" ht="15" customHeight="1">
      <c r="B69" s="1513"/>
      <c r="C69" s="1575"/>
      <c r="D69" s="1575"/>
      <c r="E69" s="1575"/>
      <c r="F69" s="1513"/>
      <c r="G69" s="1513"/>
      <c r="H69" s="1513"/>
      <c r="I69" s="1513"/>
      <c r="J69" s="1513"/>
      <c r="K69" s="1513"/>
      <c r="L69" s="1513"/>
      <c r="M69" s="1513"/>
      <c r="N69" s="1513"/>
      <c r="O69" s="1513"/>
      <c r="P69" s="1513"/>
      <c r="Q69" s="1513"/>
      <c r="R69" s="1513"/>
      <c r="S69" s="1513"/>
      <c r="T69" s="1513"/>
      <c r="U69" s="1513"/>
      <c r="V69" s="1513"/>
      <c r="W69" s="1513"/>
      <c r="X69" s="1513"/>
      <c r="Y69" s="1513"/>
      <c r="Z69" s="1513"/>
      <c r="AA69" s="1513"/>
      <c r="AB69" s="1513"/>
      <c r="AC69" s="1513"/>
      <c r="AD69" s="1513"/>
    </row>
    <row r="71" spans="2:30" ht="15" customHeight="1">
      <c r="H71" s="896"/>
      <c r="J71" s="896"/>
    </row>
    <row r="72" spans="2:30" ht="15" customHeight="1">
      <c r="H72" s="896"/>
      <c r="J72" s="896"/>
    </row>
    <row r="73" spans="2:30" ht="15" customHeight="1">
      <c r="H73" s="896"/>
      <c r="J73" s="896"/>
    </row>
    <row r="74" spans="2:30" ht="15" customHeight="1">
      <c r="H74" s="896"/>
      <c r="J74" s="896"/>
    </row>
    <row r="75" spans="2:30" ht="15" customHeight="1">
      <c r="H75" s="896"/>
      <c r="J75" s="896"/>
    </row>
    <row r="76" spans="2:30" ht="15" customHeight="1">
      <c r="H76" s="896"/>
      <c r="J76" s="896"/>
    </row>
    <row r="77" spans="2:30" ht="15" customHeight="1">
      <c r="H77" s="896"/>
      <c r="J77" s="896"/>
    </row>
    <row r="78" spans="2:30" ht="15" customHeight="1">
      <c r="H78" s="896"/>
      <c r="J78" s="896"/>
    </row>
    <row r="79" spans="2:30" ht="15" customHeight="1">
      <c r="H79" s="896"/>
      <c r="J79" s="896"/>
    </row>
    <row r="80" spans="2:30" ht="15" customHeight="1">
      <c r="H80" s="896"/>
      <c r="J80" s="896"/>
    </row>
    <row r="81" spans="8:10" ht="15" customHeight="1">
      <c r="H81" s="896"/>
      <c r="J81" s="896"/>
    </row>
    <row r="82" spans="8:10" ht="15" customHeight="1">
      <c r="H82" s="896"/>
      <c r="J82" s="896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3" workbookViewId="0">
      <selection activeCell="B25" sqref="B25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1324</v>
      </c>
      <c r="B3" s="65"/>
      <c r="C3" s="65"/>
      <c r="D3" s="65"/>
      <c r="E3" s="65"/>
      <c r="F3" s="665"/>
      <c r="G3" s="353"/>
      <c r="H3" s="353"/>
      <c r="I3" s="667" t="s">
        <v>1325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8" t="s">
        <v>22</v>
      </c>
      <c r="B4" s="1329"/>
      <c r="C4" s="669" t="s">
        <v>850</v>
      </c>
      <c r="D4" s="669" t="s">
        <v>1326</v>
      </c>
      <c r="E4" s="669" t="s">
        <v>1327</v>
      </c>
      <c r="F4" s="669" t="s">
        <v>8</v>
      </c>
      <c r="G4" s="670" t="s">
        <v>1328</v>
      </c>
      <c r="H4" s="353"/>
      <c r="I4" s="1328" t="s">
        <v>22</v>
      </c>
      <c r="J4" s="1328"/>
      <c r="K4" s="1328"/>
      <c r="L4" s="669" t="s">
        <v>1327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30" t="s">
        <v>697</v>
      </c>
      <c r="B5" s="1331"/>
      <c r="C5" s="1332">
        <f>SUMPRODUCT(C16:Q16,$C$22:$Q$22)</f>
        <v>0</v>
      </c>
      <c r="D5" s="674">
        <f>SUMPRODUCT(C28:Q28,$C$34:$Q$34)</f>
        <v>0</v>
      </c>
      <c r="E5" s="1333">
        <f>C5-D5</f>
        <v>0</v>
      </c>
      <c r="F5" s="1334">
        <f>Resultado!M9</f>
        <v>0</v>
      </c>
      <c r="G5" s="671">
        <f>F5+E5</f>
        <v>0</v>
      </c>
      <c r="H5" s="353"/>
      <c r="I5" s="1330" t="s">
        <v>697</v>
      </c>
      <c r="J5" s="1330"/>
      <c r="K5" s="1330"/>
      <c r="L5" s="1334">
        <f t="shared" ref="L5:N10" si="0">E5/12</f>
        <v>0</v>
      </c>
      <c r="M5" s="1334">
        <f t="shared" si="0"/>
        <v>0</v>
      </c>
      <c r="N5" s="1332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2"/>
      <c r="C6" s="673">
        <f t="shared" ref="C6:C10" si="1">SUMPRODUCT(C17:Q17,$C$22:$Q$22)</f>
        <v>5913.7794080403428</v>
      </c>
      <c r="D6" s="674">
        <f t="shared" ref="D6:D10" si="2">SUMPRODUCT(C29:Q29,$C$34:$Q$34)</f>
        <v>5908.1376850519646</v>
      </c>
      <c r="E6" s="692">
        <f t="shared" ref="E6:E10" si="3">C6-D6</f>
        <v>5.6417229883782056</v>
      </c>
      <c r="F6" s="674">
        <f>Resultado!M10</f>
        <v>8698.8023954871333</v>
      </c>
      <c r="G6" s="671">
        <f t="shared" ref="G6:G10" si="4">F6+E6</f>
        <v>8704.4441184755124</v>
      </c>
      <c r="H6" s="353"/>
      <c r="I6" s="65" t="s">
        <v>699</v>
      </c>
      <c r="J6" s="65"/>
      <c r="K6" s="65"/>
      <c r="L6" s="674">
        <f t="shared" si="0"/>
        <v>0.47014358236485049</v>
      </c>
      <c r="M6" s="674">
        <f t="shared" si="0"/>
        <v>724.90019962392773</v>
      </c>
      <c r="N6" s="673">
        <f t="shared" si="0"/>
        <v>725.37034320629266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2"/>
      <c r="C7" s="673">
        <f t="shared" si="1"/>
        <v>0</v>
      </c>
      <c r="D7" s="674">
        <f t="shared" si="2"/>
        <v>0</v>
      </c>
      <c r="E7" s="692">
        <f t="shared" si="3"/>
        <v>0</v>
      </c>
      <c r="F7" s="674">
        <f>-Financeiros!D34+Resultado!M11</f>
        <v>0</v>
      </c>
      <c r="G7" s="671">
        <f t="shared" si="4"/>
        <v>0</v>
      </c>
      <c r="H7" s="353"/>
      <c r="I7" s="65" t="s">
        <v>701</v>
      </c>
      <c r="J7" s="65"/>
      <c r="K7" s="65"/>
      <c r="L7" s="674">
        <f t="shared" si="0"/>
        <v>0</v>
      </c>
      <c r="M7" s="674">
        <f t="shared" si="0"/>
        <v>0</v>
      </c>
      <c r="N7" s="673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2"/>
      <c r="C8" s="673">
        <f t="shared" si="1"/>
        <v>12367.728323731124</v>
      </c>
      <c r="D8" s="674">
        <f t="shared" si="2"/>
        <v>12142.366958832208</v>
      </c>
      <c r="E8" s="692">
        <f t="shared" si="3"/>
        <v>225.36136489891578</v>
      </c>
      <c r="F8" s="674">
        <f>Resultado!M12</f>
        <v>6985.9619976930207</v>
      </c>
      <c r="G8" s="671">
        <f t="shared" si="4"/>
        <v>7211.3233625919365</v>
      </c>
      <c r="H8" s="353"/>
      <c r="I8" s="65" t="s">
        <v>702</v>
      </c>
      <c r="J8" s="65"/>
      <c r="K8" s="65"/>
      <c r="L8" s="674">
        <f t="shared" si="0"/>
        <v>18.780113741576315</v>
      </c>
      <c r="M8" s="674">
        <f t="shared" si="0"/>
        <v>582.16349980775169</v>
      </c>
      <c r="N8" s="673">
        <f t="shared" si="0"/>
        <v>600.94361354932801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2"/>
      <c r="C9" s="673">
        <f t="shared" si="1"/>
        <v>430945.15169236314</v>
      </c>
      <c r="D9" s="674">
        <f t="shared" si="2"/>
        <v>456711.51753090241</v>
      </c>
      <c r="E9" s="692">
        <f>C9-D9</f>
        <v>-25766.365838539263</v>
      </c>
      <c r="F9" s="674">
        <f>Resultado!M13</f>
        <v>242421.32455578877</v>
      </c>
      <c r="G9" s="671">
        <f t="shared" si="4"/>
        <v>216654.95871724951</v>
      </c>
      <c r="H9" s="353"/>
      <c r="I9" s="65" t="s">
        <v>705</v>
      </c>
      <c r="J9" s="65"/>
      <c r="K9" s="65"/>
      <c r="L9" s="674">
        <f t="shared" si="0"/>
        <v>-2147.1971532116054</v>
      </c>
      <c r="M9" s="674">
        <f t="shared" si="0"/>
        <v>20201.777046315732</v>
      </c>
      <c r="N9" s="673">
        <f t="shared" si="0"/>
        <v>18054.579893104124</v>
      </c>
      <c r="P9" s="353"/>
      <c r="Q9" s="353"/>
      <c r="R9" s="9"/>
      <c r="S9" s="9"/>
      <c r="T9" s="9"/>
      <c r="U9" s="9"/>
      <c r="V9" s="9"/>
    </row>
    <row r="10" spans="1:22">
      <c r="A10" s="1068" t="s">
        <v>707</v>
      </c>
      <c r="B10" s="675"/>
      <c r="C10" s="673">
        <f t="shared" si="1"/>
        <v>210642.02418353234</v>
      </c>
      <c r="D10" s="674">
        <f t="shared" si="2"/>
        <v>177129.41551746189</v>
      </c>
      <c r="E10" s="1335">
        <f t="shared" si="3"/>
        <v>33512.608666070446</v>
      </c>
      <c r="F10" s="1336">
        <f>Resultado!M14</f>
        <v>228931.55504500304</v>
      </c>
      <c r="G10" s="671">
        <f t="shared" si="4"/>
        <v>262444.16371107346</v>
      </c>
      <c r="H10" s="353"/>
      <c r="I10" s="1068" t="s">
        <v>707</v>
      </c>
      <c r="J10" s="1068"/>
      <c r="K10" s="1068"/>
      <c r="L10" s="1336">
        <f t="shared" si="0"/>
        <v>2792.717388839204</v>
      </c>
      <c r="M10" s="1336">
        <f t="shared" si="0"/>
        <v>19077.629587083586</v>
      </c>
      <c r="N10" s="676">
        <f t="shared" si="0"/>
        <v>21870.346975922788</v>
      </c>
      <c r="P10" s="353"/>
      <c r="Q10" s="353"/>
      <c r="R10" s="9"/>
      <c r="S10" s="9"/>
      <c r="T10" s="9"/>
      <c r="U10" s="9"/>
      <c r="V10" s="9"/>
    </row>
    <row r="11" spans="1:22">
      <c r="A11" s="1337" t="s">
        <v>769</v>
      </c>
      <c r="B11" s="1337"/>
      <c r="C11" s="1338">
        <f>SUM(C5:C10)</f>
        <v>659868.68360766699</v>
      </c>
      <c r="D11" s="1338">
        <f>SUM(D5:D10)</f>
        <v>651891.4376922485</v>
      </c>
      <c r="E11" s="1338">
        <f t="shared" ref="E11" si="5">SUM(E5:E10)</f>
        <v>7977.2459154184762</v>
      </c>
      <c r="F11" s="1338">
        <f>SUM(F5:F10)</f>
        <v>487037.64399397199</v>
      </c>
      <c r="G11" s="1339">
        <f>SUM(G5:G10)</f>
        <v>495014.88990939042</v>
      </c>
      <c r="H11" s="353"/>
      <c r="I11" s="1337" t="s">
        <v>769</v>
      </c>
      <c r="J11" s="1337"/>
      <c r="K11" s="1337"/>
      <c r="L11" s="1338">
        <f>SUM(L5:L10)</f>
        <v>664.77049295153984</v>
      </c>
      <c r="M11" s="1338">
        <f>SUM(M5:M10)</f>
        <v>40586.470332830999</v>
      </c>
      <c r="N11" s="1339">
        <f>SUM(N5:N10)</f>
        <v>41251.24082578253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1329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31" t="s">
        <v>22</v>
      </c>
      <c r="B14" s="1832" t="s">
        <v>1330</v>
      </c>
      <c r="C14" s="353"/>
      <c r="D14" s="353"/>
      <c r="E14" s="353"/>
      <c r="F14" s="677" t="s">
        <v>874</v>
      </c>
      <c r="G14" s="677" t="s">
        <v>874</v>
      </c>
      <c r="H14" s="677" t="s">
        <v>874</v>
      </c>
      <c r="I14" s="677" t="s">
        <v>874</v>
      </c>
      <c r="J14" s="677" t="s">
        <v>874</v>
      </c>
      <c r="K14" s="677" t="s">
        <v>874</v>
      </c>
      <c r="L14" s="677" t="s">
        <v>874</v>
      </c>
      <c r="M14" s="677" t="s">
        <v>874</v>
      </c>
      <c r="N14" s="677" t="s">
        <v>874</v>
      </c>
      <c r="O14" s="677" t="s">
        <v>874</v>
      </c>
      <c r="P14" s="677" t="s">
        <v>874</v>
      </c>
      <c r="Q14" s="677" t="s">
        <v>874</v>
      </c>
      <c r="R14" s="9"/>
      <c r="S14" s="9"/>
      <c r="T14" s="9"/>
      <c r="U14" s="9"/>
      <c r="V14" s="9"/>
    </row>
    <row r="15" spans="1:22">
      <c r="A15" s="1831"/>
      <c r="B15" s="1832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1331</v>
      </c>
      <c r="B16" s="681" t="s">
        <v>926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0</v>
      </c>
      <c r="G16" s="682">
        <f t="shared" si="8"/>
        <v>0</v>
      </c>
      <c r="H16" s="682">
        <f t="shared" si="8"/>
        <v>0</v>
      </c>
      <c r="I16" s="682">
        <f t="shared" si="8"/>
        <v>0</v>
      </c>
      <c r="J16" s="682">
        <f t="shared" si="8"/>
        <v>0</v>
      </c>
      <c r="K16" s="682">
        <f t="shared" si="8"/>
        <v>0</v>
      </c>
      <c r="L16" s="682">
        <f t="shared" si="8"/>
        <v>0</v>
      </c>
      <c r="M16" s="682">
        <f t="shared" si="8"/>
        <v>0</v>
      </c>
      <c r="N16" s="682">
        <f t="shared" si="8"/>
        <v>0</v>
      </c>
      <c r="O16" s="682">
        <f t="shared" si="8"/>
        <v>0</v>
      </c>
      <c r="P16" s="682">
        <f t="shared" si="8"/>
        <v>0</v>
      </c>
      <c r="Q16" s="682">
        <f t="shared" si="8"/>
        <v>0</v>
      </c>
      <c r="R16" s="9"/>
      <c r="S16" s="9"/>
      <c r="T16" s="9"/>
      <c r="U16" s="9"/>
      <c r="V16" s="9"/>
    </row>
    <row r="17" spans="1:22">
      <c r="A17" s="680" t="s">
        <v>1332</v>
      </c>
      <c r="B17" s="681" t="s">
        <v>927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471.70000000000005</v>
      </c>
      <c r="G17" s="682">
        <f t="shared" si="8"/>
        <v>471.70000000000005</v>
      </c>
      <c r="H17" s="682">
        <f t="shared" si="8"/>
        <v>471.70000000000005</v>
      </c>
      <c r="I17" s="682">
        <f t="shared" si="8"/>
        <v>471.70000000000005</v>
      </c>
      <c r="J17" s="682">
        <f t="shared" si="8"/>
        <v>471.70000000000005</v>
      </c>
      <c r="K17" s="682">
        <f t="shared" si="8"/>
        <v>471.70000000000005</v>
      </c>
      <c r="L17" s="682">
        <f t="shared" si="8"/>
        <v>471.70000000000005</v>
      </c>
      <c r="M17" s="682">
        <f t="shared" si="8"/>
        <v>471.70000000000005</v>
      </c>
      <c r="N17" s="682">
        <f t="shared" si="8"/>
        <v>471.70000000000005</v>
      </c>
      <c r="O17" s="682">
        <f t="shared" si="8"/>
        <v>471.70000000000005</v>
      </c>
      <c r="P17" s="682">
        <f t="shared" si="8"/>
        <v>471.70000000000005</v>
      </c>
      <c r="Q17" s="682">
        <f t="shared" si="8"/>
        <v>471.70000000000005</v>
      </c>
      <c r="R17" s="9"/>
      <c r="S17" s="9"/>
      <c r="T17" s="9"/>
      <c r="U17" s="9"/>
      <c r="V17" s="9"/>
    </row>
    <row r="18" spans="1:22">
      <c r="A18" s="680" t="s">
        <v>1333</v>
      </c>
      <c r="B18" s="681" t="s">
        <v>928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0</v>
      </c>
      <c r="G18" s="682">
        <f t="shared" si="8"/>
        <v>0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1334</v>
      </c>
      <c r="B19" s="681" t="s">
        <v>929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805.95038460000058</v>
      </c>
      <c r="G19" s="682">
        <f t="shared" si="8"/>
        <v>826.03829039999869</v>
      </c>
      <c r="H19" s="682">
        <f t="shared" si="8"/>
        <v>1030.089123</v>
      </c>
      <c r="I19" s="682">
        <f t="shared" si="8"/>
        <v>1045.4808353999997</v>
      </c>
      <c r="J19" s="682">
        <f t="shared" si="8"/>
        <v>1027.8516696000002</v>
      </c>
      <c r="K19" s="682">
        <f t="shared" si="8"/>
        <v>1290.7647377999992</v>
      </c>
      <c r="L19" s="682">
        <f t="shared" si="8"/>
        <v>1280.4626172000021</v>
      </c>
      <c r="M19" s="682">
        <f t="shared" si="8"/>
        <v>988.83146579999834</v>
      </c>
      <c r="N19" s="682">
        <f t="shared" si="8"/>
        <v>952.41752639999959</v>
      </c>
      <c r="O19" s="682">
        <f t="shared" si="8"/>
        <v>909.43875120000018</v>
      </c>
      <c r="P19" s="682">
        <f t="shared" si="8"/>
        <v>787.78029599999991</v>
      </c>
      <c r="Q19" s="682">
        <f t="shared" si="8"/>
        <v>881.11406639999984</v>
      </c>
      <c r="R19" s="9"/>
      <c r="S19" s="9"/>
      <c r="T19" s="9"/>
      <c r="U19" s="9"/>
      <c r="V19" s="9"/>
    </row>
    <row r="20" spans="1:22">
      <c r="A20" s="680" t="s">
        <v>1335</v>
      </c>
      <c r="B20" s="681" t="s">
        <v>930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31608.817790399989</v>
      </c>
      <c r="G20" s="682">
        <f t="shared" si="8"/>
        <v>32966.745619999987</v>
      </c>
      <c r="H20" s="682">
        <f t="shared" si="8"/>
        <v>38775.641834399998</v>
      </c>
      <c r="I20" s="682">
        <f t="shared" si="8"/>
        <v>41504.628781599997</v>
      </c>
      <c r="J20" s="682">
        <f t="shared" si="8"/>
        <v>43187.657807599986</v>
      </c>
      <c r="K20" s="682">
        <f t="shared" si="8"/>
        <v>36999.309957599988</v>
      </c>
      <c r="L20" s="682">
        <f t="shared" si="8"/>
        <v>37556.862302799993</v>
      </c>
      <c r="M20" s="682">
        <f t="shared" si="8"/>
        <v>31382.789369999995</v>
      </c>
      <c r="N20" s="682">
        <f t="shared" si="8"/>
        <v>29221.003544799991</v>
      </c>
      <c r="O20" s="682">
        <f t="shared" si="8"/>
        <v>29520.742250399995</v>
      </c>
      <c r="P20" s="682">
        <f t="shared" si="8"/>
        <v>28961.520825199987</v>
      </c>
      <c r="Q20" s="682">
        <f t="shared" si="8"/>
        <v>29264.674967199986</v>
      </c>
      <c r="R20" s="9"/>
      <c r="S20" s="9"/>
      <c r="T20" s="9"/>
      <c r="U20" s="9"/>
      <c r="V20" s="9"/>
    </row>
    <row r="21" spans="1:22">
      <c r="A21" s="680" t="s">
        <v>1336</v>
      </c>
      <c r="B21" s="681" t="s">
        <v>931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14651.279849999997</v>
      </c>
      <c r="G21" s="682">
        <f t="shared" si="8"/>
        <v>13722.945017999999</v>
      </c>
      <c r="H21" s="682">
        <f t="shared" si="8"/>
        <v>16147.609019999996</v>
      </c>
      <c r="I21" s="682">
        <f t="shared" si="8"/>
        <v>17654.028786000006</v>
      </c>
      <c r="J21" s="682">
        <f t="shared" si="8"/>
        <v>19928.661558000003</v>
      </c>
      <c r="K21" s="682">
        <f t="shared" si="8"/>
        <v>20568.883319999994</v>
      </c>
      <c r="L21" s="682">
        <f t="shared" si="8"/>
        <v>22896.624491999995</v>
      </c>
      <c r="M21" s="682">
        <f t="shared" si="8"/>
        <v>22170.367122000003</v>
      </c>
      <c r="N21" s="682">
        <f t="shared" si="8"/>
        <v>14982.941807999998</v>
      </c>
      <c r="O21" s="682">
        <f t="shared" si="8"/>
        <v>15572.179505999999</v>
      </c>
      <c r="P21" s="682">
        <f>DSUM(MercadoBase,$B21,P$14:P$15)</f>
        <v>10970.336646</v>
      </c>
      <c r="Q21" s="682">
        <f t="shared" si="8"/>
        <v>11959.480595999998</v>
      </c>
      <c r="R21" s="9"/>
      <c r="S21" s="9"/>
      <c r="T21" s="9"/>
      <c r="U21" s="9"/>
      <c r="V21" s="9"/>
    </row>
    <row r="22" spans="1:22">
      <c r="A22" s="1340" t="s">
        <v>1337</v>
      </c>
      <c r="B22" s="1341" t="s">
        <v>1194</v>
      </c>
      <c r="C22" s="1342">
        <f>VLOOKUP($Q$15,Índices!$B:$F,2,FALSE)/VLOOKUP(EDATE(C15,-1),Índices!$B:$F,2,FALSE)</f>
        <v>1.1082167683385875</v>
      </c>
      <c r="D22" s="1342">
        <f>VLOOKUP($Q$15,Índices!$B:$F,2,FALSE)/VLOOKUP(EDATE(D15,-1),Índices!$B:$F,2,FALSE)</f>
        <v>1.1015781797155986</v>
      </c>
      <c r="E22" s="1342">
        <f>VLOOKUP($Q$15,Índices!$B:$F,2,FALSE)/VLOOKUP(EDATE(E15,-1),Índices!$B:$F,2,FALSE)</f>
        <v>1.0930813258985603</v>
      </c>
      <c r="F22" s="1342">
        <f>VLOOKUP($Q$15,Índices!$B:$F,2,FALSE)/VLOOKUP(EDATE(F15,-1),Índices!$B:$F,2,FALSE)</f>
        <v>1.0858745154816776</v>
      </c>
      <c r="G22" s="1342">
        <f>VLOOKUP($Q$15,Índices!$B:$F,2,FALSE)/VLOOKUP(EDATE(G15,-1),Índices!$B:$F,2,FALSE)</f>
        <v>1.0928625709205468</v>
      </c>
      <c r="H22" s="1342">
        <f>VLOOKUP($Q$15,Índices!$B:$F,2,FALSE)/VLOOKUP(EDATE(H15,-1),Índices!$B:$F,2,FALSE)</f>
        <v>1.0858814807891262</v>
      </c>
      <c r="I22" s="1342">
        <f>VLOOKUP($Q$15,Índices!$B:$F,2,FALSE)/VLOOKUP(EDATE(I15,-1),Índices!$B:$F,2,FALSE)</f>
        <v>1.0856825071943401</v>
      </c>
      <c r="J22" s="1342">
        <f>VLOOKUP($Q$15,Índices!$B:$F,2,FALSE)/VLOOKUP(EDATE(J15,-1),Índices!$B:$F,2,FALSE)</f>
        <v>1.0763096418852884</v>
      </c>
      <c r="K22" s="1342">
        <f>VLOOKUP($Q$15,Índices!$B:$F,2,FALSE)/VLOOKUP(EDATE(K15,-1),Índices!$B:$F,2,FALSE)</f>
        <v>1.0570963934847399</v>
      </c>
      <c r="L22" s="1342">
        <f>VLOOKUP($Q$15,Índices!$B:$F,2,FALSE)/VLOOKUP(EDATE(L15,-1),Índices!$B:$F,2,FALSE)</f>
        <v>1.0380694251480009</v>
      </c>
      <c r="M22" s="1342">
        <f>VLOOKUP($Q$15,Índices!$B:$F,2,FALSE)/VLOOKUP(EDATE(M15,-1),Índices!$B:$F,2,FALSE)</f>
        <v>1.0203079339221537</v>
      </c>
      <c r="N22" s="1342">
        <f>VLOOKUP($Q$15,Índices!$B:$F,2,FALSE)/VLOOKUP(EDATE(N15,-1),Índices!$B:$F,2,FALSE)</f>
        <v>1.0061088003233121</v>
      </c>
      <c r="O22" s="1342">
        <f>VLOOKUP($Q$15,Índices!$B:$F,2,FALSE)/VLOOKUP(EDATE(O15,-1),Índices!$B:$F,2,FALSE)</f>
        <v>1.0008877041571751</v>
      </c>
      <c r="P22" s="1342">
        <f>VLOOKUP($Q$15,Índices!$B:$F,2,FALSE)/VLOOKUP(EDATE(P15,-1),Índices!$B:$F,2,FALSE)</f>
        <v>0.99506416252827723</v>
      </c>
      <c r="Q22" s="1342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3" t="s">
        <v>1338</v>
      </c>
      <c r="B23" s="1344"/>
      <c r="C23" s="1345">
        <f t="shared" ref="C23:Q23" si="10">SUM(C16:C21)*C22</f>
        <v>0</v>
      </c>
      <c r="D23" s="1345">
        <f t="shared" si="10"/>
        <v>0</v>
      </c>
      <c r="E23" s="1345">
        <f t="shared" si="10"/>
        <v>0</v>
      </c>
      <c r="F23" s="1346">
        <f>SUM(F16:F21)*F22</f>
        <v>51620.029103736932</v>
      </c>
      <c r="G23" s="1346">
        <f t="shared" si="10"/>
        <v>52443.664950558225</v>
      </c>
      <c r="H23" s="1346">
        <f t="shared" si="10"/>
        <v>61270.905964244746</v>
      </c>
      <c r="I23" s="1346">
        <f t="shared" si="10"/>
        <v>65874.696363487674</v>
      </c>
      <c r="J23" s="1346">
        <f t="shared" si="10"/>
        <v>69546.685014002083</v>
      </c>
      <c r="K23" s="1346">
        <f t="shared" si="10"/>
        <v>62718.224611155798</v>
      </c>
      <c r="L23" s="1346">
        <f t="shared" si="10"/>
        <v>64573.78272607291</v>
      </c>
      <c r="M23" s="1346">
        <f t="shared" si="10"/>
        <v>56130.902297660978</v>
      </c>
      <c r="N23" s="1346">
        <f t="shared" si="10"/>
        <v>45906.795604468549</v>
      </c>
      <c r="O23" s="1346">
        <f t="shared" si="10"/>
        <v>46515.315724313397</v>
      </c>
      <c r="P23" s="1346">
        <f t="shared" si="10"/>
        <v>40988.024018738259</v>
      </c>
      <c r="Q23" s="1346">
        <f t="shared" si="10"/>
        <v>42279.657229227363</v>
      </c>
      <c r="R23" s="9"/>
      <c r="S23" s="9"/>
      <c r="T23" s="9"/>
      <c r="U23" s="9"/>
      <c r="V23" s="9"/>
    </row>
    <row r="24" spans="1:22">
      <c r="A24" s="9"/>
      <c r="B24" s="9"/>
      <c r="C24" s="9" t="s">
        <v>1339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1340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31" t="s">
        <v>22</v>
      </c>
      <c r="B26" s="1832" t="s">
        <v>1330</v>
      </c>
      <c r="C26" s="677" t="s">
        <v>874</v>
      </c>
      <c r="D26" s="677" t="s">
        <v>874</v>
      </c>
      <c r="E26" s="677" t="s">
        <v>874</v>
      </c>
      <c r="F26" s="677" t="s">
        <v>874</v>
      </c>
      <c r="G26" s="677" t="s">
        <v>874</v>
      </c>
      <c r="H26" s="677" t="s">
        <v>874</v>
      </c>
      <c r="I26" s="677" t="s">
        <v>874</v>
      </c>
      <c r="J26" s="677" t="s">
        <v>874</v>
      </c>
      <c r="K26" s="677" t="s">
        <v>874</v>
      </c>
      <c r="L26" s="677" t="s">
        <v>874</v>
      </c>
      <c r="M26" s="677" t="s">
        <v>874</v>
      </c>
      <c r="N26" s="677" t="s">
        <v>874</v>
      </c>
      <c r="O26" s="677" t="s">
        <v>874</v>
      </c>
      <c r="P26" s="677" t="s">
        <v>874</v>
      </c>
      <c r="Q26" s="677" t="s">
        <v>874</v>
      </c>
      <c r="R26" s="9"/>
      <c r="S26" s="9"/>
      <c r="T26" s="9"/>
      <c r="U26" s="9"/>
      <c r="V26" s="9"/>
    </row>
    <row r="27" spans="1:22">
      <c r="A27" s="1831"/>
      <c r="B27" s="1832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1331</v>
      </c>
      <c r="B28" s="681" t="s">
        <v>697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0</v>
      </c>
      <c r="G28" s="682">
        <f>VLOOKUP($B28,BD!$B$61:$C$66,2,FALSE)</f>
        <v>0</v>
      </c>
      <c r="H28" s="682">
        <f>VLOOKUP($B28,BD!$B$61:$C$66,2,FALSE)</f>
        <v>0</v>
      </c>
      <c r="I28" s="682">
        <f>VLOOKUP($B28,BD!$B$61:$C$66,2,FALSE)</f>
        <v>0</v>
      </c>
      <c r="J28" s="682">
        <f>VLOOKUP($B28,BD!$B$61:$C$66,2,FALSE)</f>
        <v>0</v>
      </c>
      <c r="K28" s="682">
        <f>VLOOKUP($B28,BD!$B$61:$C$66,2,FALSE)</f>
        <v>0</v>
      </c>
      <c r="L28" s="682">
        <f>VLOOKUP($B28,BD!$B$61:$C$66,2,FALSE)</f>
        <v>0</v>
      </c>
      <c r="M28" s="682">
        <f>VLOOKUP($B28,BD!$B$61:$C$66,2,FALSE)</f>
        <v>0</v>
      </c>
      <c r="N28" s="682">
        <f>VLOOKUP($B28,BD!$B$61:$C$66,2,FALSE)</f>
        <v>0</v>
      </c>
      <c r="O28" s="682">
        <f>VLOOKUP($B28,BD!$B$61:$C$66,2,FALSE)</f>
        <v>0</v>
      </c>
      <c r="P28" s="682">
        <f>VLOOKUP($B28,BD!$B$61:$C$66,2,FALSE)</f>
        <v>0</v>
      </c>
      <c r="Q28" s="682">
        <f>VLOOKUP($B28,BD!$B$61:$C$66,2,FALSE)</f>
        <v>0</v>
      </c>
      <c r="S28" s="9"/>
      <c r="T28" s="9"/>
      <c r="U28" s="9"/>
      <c r="V28" s="9"/>
    </row>
    <row r="29" spans="1:22">
      <c r="A29" s="680" t="s">
        <v>1332</v>
      </c>
      <c r="B29" s="681" t="s">
        <v>699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471.25</v>
      </c>
      <c r="G29" s="682">
        <f>VLOOKUP($B29,BD!$B$61:$C$66,2,FALSE)</f>
        <v>471.25</v>
      </c>
      <c r="H29" s="682">
        <f>VLOOKUP($B29,BD!$B$61:$C$66,2,FALSE)</f>
        <v>471.25</v>
      </c>
      <c r="I29" s="682">
        <f>VLOOKUP($B29,BD!$B$61:$C$66,2,FALSE)</f>
        <v>471.25</v>
      </c>
      <c r="J29" s="682">
        <f>VLOOKUP($B29,BD!$B$61:$C$66,2,FALSE)</f>
        <v>471.25</v>
      </c>
      <c r="K29" s="682">
        <f>VLOOKUP($B29,BD!$B$61:$C$66,2,FALSE)</f>
        <v>471.25</v>
      </c>
      <c r="L29" s="682">
        <f>VLOOKUP($B29,BD!$B$61:$C$66,2,FALSE)</f>
        <v>471.25</v>
      </c>
      <c r="M29" s="682">
        <f>VLOOKUP($B29,BD!$B$61:$C$66,2,FALSE)</f>
        <v>471.25</v>
      </c>
      <c r="N29" s="682">
        <f>VLOOKUP($B29,BD!$B$61:$C$66,2,FALSE)</f>
        <v>471.25</v>
      </c>
      <c r="O29" s="682">
        <f>VLOOKUP($B29,BD!$B$61:$C$66,2,FALSE)</f>
        <v>471.25</v>
      </c>
      <c r="P29" s="682">
        <f>VLOOKUP($B29,BD!$B$61:$C$66,2,FALSE)</f>
        <v>471.25</v>
      </c>
      <c r="Q29" s="682">
        <f>VLOOKUP($B29,BD!$B$61:$C$66,2,FALSE)</f>
        <v>471.25</v>
      </c>
      <c r="S29" s="9"/>
      <c r="T29" s="9"/>
      <c r="U29" s="9"/>
      <c r="V29" s="9"/>
    </row>
    <row r="30" spans="1:22">
      <c r="A30" s="680" t="s">
        <v>1333</v>
      </c>
      <c r="B30" s="681" t="s">
        <v>701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0</v>
      </c>
      <c r="G30" s="682">
        <f>VLOOKUP($B30,BD!$B$61:$C$66,2,FALSE)</f>
        <v>0</v>
      </c>
      <c r="H30" s="682">
        <f>VLOOKUP($B30,BD!$B$61:$C$66,2,FALSE)</f>
        <v>0</v>
      </c>
      <c r="I30" s="682">
        <f>VLOOKUP($B30,BD!$B$61:$C$66,2,FALSE)</f>
        <v>0</v>
      </c>
      <c r="J30" s="682">
        <f>VLOOKUP($B30,BD!$B$61:$C$66,2,FALSE)</f>
        <v>0</v>
      </c>
      <c r="K30" s="682">
        <f>VLOOKUP($B30,BD!$B$61:$C$66,2,FALSE)</f>
        <v>0</v>
      </c>
      <c r="L30" s="682">
        <f>VLOOKUP($B30,BD!$B$61:$C$66,2,FALSE)</f>
        <v>0</v>
      </c>
      <c r="M30" s="682">
        <f>VLOOKUP($B30,BD!$B$61:$C$66,2,FALSE)</f>
        <v>0</v>
      </c>
      <c r="N30" s="682">
        <f>VLOOKUP($B30,BD!$B$61:$C$66,2,FALSE)</f>
        <v>0</v>
      </c>
      <c r="O30" s="682">
        <f>VLOOKUP($B30,BD!$B$61:$C$66,2,FALSE)</f>
        <v>0</v>
      </c>
      <c r="P30" s="682">
        <f>VLOOKUP($B30,BD!$B$61:$C$66,2,FALSE)</f>
        <v>0</v>
      </c>
      <c r="Q30" s="682">
        <f>VLOOKUP($B30,BD!$B$61:$C$66,2,FALSE)</f>
        <v>0</v>
      </c>
      <c r="S30" s="9"/>
      <c r="T30" s="9"/>
      <c r="U30" s="9"/>
      <c r="V30" s="9"/>
    </row>
    <row r="31" spans="1:22">
      <c r="A31" s="680" t="s">
        <v>1334</v>
      </c>
      <c r="B31" s="681" t="s">
        <v>702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968.51</v>
      </c>
      <c r="G31" s="682">
        <f>VLOOKUP($B31,BD!$B$61:$C$66,2,FALSE)</f>
        <v>968.51</v>
      </c>
      <c r="H31" s="682">
        <f>VLOOKUP($B31,BD!$B$61:$C$66,2,FALSE)</f>
        <v>968.51</v>
      </c>
      <c r="I31" s="682">
        <f>VLOOKUP($B31,BD!$B$61:$C$66,2,FALSE)</f>
        <v>968.51</v>
      </c>
      <c r="J31" s="682">
        <f>VLOOKUP($B31,BD!$B$61:$C$66,2,FALSE)</f>
        <v>968.51</v>
      </c>
      <c r="K31" s="682">
        <f>VLOOKUP($B31,BD!$B$61:$C$66,2,FALSE)</f>
        <v>968.51</v>
      </c>
      <c r="L31" s="682">
        <f>VLOOKUP($B31,BD!$B$61:$C$66,2,FALSE)</f>
        <v>968.51</v>
      </c>
      <c r="M31" s="682">
        <f>VLOOKUP($B31,BD!$B$61:$C$66,2,FALSE)</f>
        <v>968.51</v>
      </c>
      <c r="N31" s="682">
        <f>VLOOKUP($B31,BD!$B$61:$C$66,2,FALSE)</f>
        <v>968.51</v>
      </c>
      <c r="O31" s="682">
        <f>VLOOKUP($B31,BD!$B$61:$C$66,2,FALSE)</f>
        <v>968.51</v>
      </c>
      <c r="P31" s="682">
        <f>VLOOKUP($B31,BD!$B$61:$C$66,2,FALSE)</f>
        <v>968.51</v>
      </c>
      <c r="Q31" s="682">
        <f>VLOOKUP($B31,BD!$B$61:$C$66,2,FALSE)</f>
        <v>968.51</v>
      </c>
      <c r="S31" s="9"/>
      <c r="T31" s="9"/>
      <c r="U31" s="9"/>
      <c r="V31" s="9"/>
    </row>
    <row r="32" spans="1:22">
      <c r="A32" s="680" t="s">
        <v>1335</v>
      </c>
      <c r="B32" s="681" t="s">
        <v>705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36428.620000000003</v>
      </c>
      <c r="G32" s="682">
        <f>VLOOKUP($B32,BD!$B$61:$C$66,2,FALSE)</f>
        <v>36428.620000000003</v>
      </c>
      <c r="H32" s="682">
        <f>VLOOKUP($B32,BD!$B$61:$C$66,2,FALSE)</f>
        <v>36428.620000000003</v>
      </c>
      <c r="I32" s="682">
        <f>VLOOKUP($B32,BD!$B$61:$C$66,2,FALSE)</f>
        <v>36428.620000000003</v>
      </c>
      <c r="J32" s="682">
        <f>VLOOKUP($B32,BD!$B$61:$C$66,2,FALSE)</f>
        <v>36428.620000000003</v>
      </c>
      <c r="K32" s="682">
        <f>VLOOKUP($B32,BD!$B$61:$C$66,2,FALSE)</f>
        <v>36428.620000000003</v>
      </c>
      <c r="L32" s="682">
        <f>VLOOKUP($B32,BD!$B$61:$C$66,2,FALSE)</f>
        <v>36428.620000000003</v>
      </c>
      <c r="M32" s="682">
        <f>VLOOKUP($B32,BD!$B$61:$C$66,2,FALSE)</f>
        <v>36428.620000000003</v>
      </c>
      <c r="N32" s="682">
        <f>VLOOKUP($B32,BD!$B$61:$C$66,2,FALSE)</f>
        <v>36428.620000000003</v>
      </c>
      <c r="O32" s="682">
        <f>VLOOKUP($B32,BD!$B$61:$C$66,2,FALSE)</f>
        <v>36428.620000000003</v>
      </c>
      <c r="P32" s="682">
        <f>VLOOKUP($B32,BD!$B$61:$C$66,2,FALSE)</f>
        <v>36428.620000000003</v>
      </c>
      <c r="Q32" s="682">
        <f>VLOOKUP($B32,BD!$B$61:$C$66,2,FALSE)</f>
        <v>36428.620000000003</v>
      </c>
      <c r="S32" s="9"/>
      <c r="T32" s="9"/>
      <c r="U32" s="9"/>
      <c r="V32" s="9"/>
    </row>
    <row r="33" spans="1:22">
      <c r="A33" s="683" t="s">
        <v>1336</v>
      </c>
      <c r="B33" s="681" t="s">
        <v>707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14128.35</v>
      </c>
      <c r="G33" s="682">
        <f>VLOOKUP($B33,BD!$B$61:$C$66,2,FALSE)</f>
        <v>14128.35</v>
      </c>
      <c r="H33" s="682">
        <f>VLOOKUP($B33,BD!$B$61:$C$66,2,FALSE)</f>
        <v>14128.35</v>
      </c>
      <c r="I33" s="682">
        <f>VLOOKUP($B33,BD!$B$61:$C$66,2,FALSE)</f>
        <v>14128.35</v>
      </c>
      <c r="J33" s="682">
        <f>VLOOKUP($B33,BD!$B$61:$C$66,2,FALSE)</f>
        <v>14128.35</v>
      </c>
      <c r="K33" s="682">
        <f>VLOOKUP($B33,BD!$B$61:$C$66,2,FALSE)</f>
        <v>14128.35</v>
      </c>
      <c r="L33" s="682">
        <f>VLOOKUP($B33,BD!$B$61:$C$66,2,FALSE)</f>
        <v>14128.35</v>
      </c>
      <c r="M33" s="682">
        <f>VLOOKUP($B33,BD!$B$61:$C$66,2,FALSE)</f>
        <v>14128.35</v>
      </c>
      <c r="N33" s="682">
        <f>VLOOKUP($B33,BD!$B$61:$C$66,2,FALSE)</f>
        <v>14128.35</v>
      </c>
      <c r="O33" s="682">
        <f>VLOOKUP($B33,BD!$B$61:$C$66,2,FALSE)</f>
        <v>14128.35</v>
      </c>
      <c r="P33" s="682">
        <f>VLOOKUP($B33,BD!$B$61:$C$66,2,FALSE)</f>
        <v>14128.35</v>
      </c>
      <c r="Q33" s="682">
        <f>VLOOKUP($B33,BD!$B$61:$C$66,2,FALSE)</f>
        <v>14128.35</v>
      </c>
      <c r="S33" s="9"/>
      <c r="T33" s="9"/>
      <c r="U33" s="9"/>
      <c r="V33" s="9"/>
    </row>
    <row r="34" spans="1:22">
      <c r="A34" s="1340" t="s">
        <v>1337</v>
      </c>
      <c r="B34" s="1341" t="s">
        <v>1194</v>
      </c>
      <c r="C34" s="1347">
        <f t="shared" ref="C34:Q34" si="12">C22</f>
        <v>1.1082167683385875</v>
      </c>
      <c r="D34" s="1347">
        <f t="shared" si="12"/>
        <v>1.1015781797155986</v>
      </c>
      <c r="E34" s="1347">
        <f t="shared" si="12"/>
        <v>1.0930813258985603</v>
      </c>
      <c r="F34" s="1342">
        <f t="shared" si="12"/>
        <v>1.0858745154816776</v>
      </c>
      <c r="G34" s="1342">
        <f t="shared" si="12"/>
        <v>1.0928625709205468</v>
      </c>
      <c r="H34" s="1342">
        <f t="shared" si="12"/>
        <v>1.0858814807891262</v>
      </c>
      <c r="I34" s="1342">
        <f t="shared" si="12"/>
        <v>1.0856825071943401</v>
      </c>
      <c r="J34" s="1342">
        <f t="shared" si="12"/>
        <v>1.0763096418852884</v>
      </c>
      <c r="K34" s="1342">
        <f t="shared" si="12"/>
        <v>1.0570963934847399</v>
      </c>
      <c r="L34" s="1342">
        <f t="shared" si="12"/>
        <v>1.0380694251480009</v>
      </c>
      <c r="M34" s="1342">
        <f t="shared" si="12"/>
        <v>1.0203079339221537</v>
      </c>
      <c r="N34" s="1342">
        <f t="shared" si="12"/>
        <v>1.0061088003233121</v>
      </c>
      <c r="O34" s="1342">
        <f t="shared" si="12"/>
        <v>1.0008877041571751</v>
      </c>
      <c r="P34" s="1342">
        <f t="shared" si="12"/>
        <v>0.99506416252827723</v>
      </c>
      <c r="Q34" s="1342">
        <f t="shared" si="12"/>
        <v>0.99301706056210437</v>
      </c>
      <c r="S34" s="9"/>
      <c r="T34" s="9"/>
      <c r="U34" s="9"/>
      <c r="V34" s="9"/>
    </row>
    <row r="35" spans="1:22">
      <c r="A35" s="1343" t="s">
        <v>1338</v>
      </c>
      <c r="B35" s="1344"/>
      <c r="C35" s="1345">
        <f>SUM(C28:C33)*C34</f>
        <v>0</v>
      </c>
      <c r="D35" s="1345">
        <f t="shared" ref="D35:Q35" si="13">SUM(D28:D33)*D34</f>
        <v>0</v>
      </c>
      <c r="E35" s="1345">
        <f t="shared" si="13"/>
        <v>0</v>
      </c>
      <c r="F35" s="1346">
        <f t="shared" si="13"/>
        <v>56461.923995381614</v>
      </c>
      <c r="G35" s="1346">
        <f t="shared" si="13"/>
        <v>56825.280027261528</v>
      </c>
      <c r="H35" s="1346">
        <f t="shared" si="13"/>
        <v>56462.286168592385</v>
      </c>
      <c r="I35" s="1346">
        <f t="shared" si="13"/>
        <v>56451.940192307164</v>
      </c>
      <c r="J35" s="1346">
        <f t="shared" si="13"/>
        <v>55964.581845506036</v>
      </c>
      <c r="K35" s="1346">
        <f t="shared" si="13"/>
        <v>54965.555755999783</v>
      </c>
      <c r="L35" s="1346">
        <f t="shared" si="13"/>
        <v>53976.215620675815</v>
      </c>
      <c r="M35" s="1346">
        <f t="shared" si="13"/>
        <v>53052.676157008071</v>
      </c>
      <c r="N35" s="1346">
        <f t="shared" si="13"/>
        <v>52314.367641035176</v>
      </c>
      <c r="O35" s="1346">
        <f t="shared" si="13"/>
        <v>52042.887713380514</v>
      </c>
      <c r="P35" s="1346">
        <f t="shared" si="13"/>
        <v>51740.082591658953</v>
      </c>
      <c r="Q35" s="1346">
        <f t="shared" si="13"/>
        <v>51633.63998344139</v>
      </c>
      <c r="R35" s="9"/>
      <c r="S35" s="9"/>
      <c r="T35" s="9"/>
      <c r="U35" s="9"/>
      <c r="V35" s="9"/>
    </row>
    <row r="36" spans="1:22">
      <c r="A36" s="1348"/>
      <c r="B36" s="1330"/>
      <c r="C36" s="1348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1341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1" t="s">
        <v>22</v>
      </c>
      <c r="B38" s="1832" t="s">
        <v>1330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31"/>
      <c r="B39" s="1833"/>
      <c r="C39" s="1349">
        <f>C27</f>
        <v>44348</v>
      </c>
      <c r="D39" s="1349">
        <f t="shared" ref="D39:E39" si="14">D27</f>
        <v>44378</v>
      </c>
      <c r="E39" s="1349">
        <f t="shared" si="14"/>
        <v>44409</v>
      </c>
      <c r="G39" s="840"/>
      <c r="H39" s="840"/>
      <c r="I39" s="840"/>
      <c r="J39" s="840"/>
      <c r="K39" s="840"/>
      <c r="L39" s="843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1331</v>
      </c>
      <c r="B40" s="684"/>
      <c r="C40" s="685"/>
      <c r="D40" s="686"/>
      <c r="E40" s="686"/>
      <c r="F40" s="65"/>
      <c r="G40" s="844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1332</v>
      </c>
      <c r="B41" s="684"/>
      <c r="C41" s="685"/>
      <c r="D41" s="686"/>
      <c r="E41" s="686"/>
      <c r="F41" s="65"/>
      <c r="G41" s="844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1333</v>
      </c>
      <c r="B42" s="684"/>
      <c r="C42" s="685"/>
      <c r="D42" s="686"/>
      <c r="E42" s="686"/>
      <c r="F42" s="65"/>
      <c r="G42" s="844"/>
      <c r="H42" s="682"/>
      <c r="I42" s="682"/>
      <c r="J42" s="682"/>
      <c r="K42" s="682"/>
      <c r="L42" s="845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1334</v>
      </c>
      <c r="B43" s="684"/>
      <c r="C43" s="685"/>
      <c r="D43" s="686"/>
      <c r="E43" s="686"/>
      <c r="F43" s="65"/>
      <c r="G43" s="844"/>
      <c r="H43" s="682"/>
      <c r="I43" s="682"/>
      <c r="J43" s="682"/>
      <c r="K43" s="682"/>
      <c r="L43" s="845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1335</v>
      </c>
      <c r="B44" s="684"/>
      <c r="C44" s="685"/>
      <c r="D44" s="686"/>
      <c r="E44" s="686"/>
      <c r="F44" s="65"/>
      <c r="G44" s="844"/>
      <c r="H44" s="682"/>
      <c r="I44" s="682"/>
      <c r="J44" s="682"/>
      <c r="K44" s="682"/>
      <c r="L44" s="845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1336</v>
      </c>
      <c r="B45" s="684"/>
      <c r="C45" s="687"/>
      <c r="D45" s="842"/>
      <c r="E45" s="842"/>
      <c r="F45" s="65"/>
      <c r="G45" s="844"/>
      <c r="H45" s="682"/>
      <c r="I45" s="682"/>
      <c r="J45" s="682"/>
      <c r="K45" s="682"/>
      <c r="L45" s="845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6"/>
      <c r="L46" s="847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50" t="s">
        <v>8</v>
      </c>
      <c r="B49" s="1351"/>
      <c r="C49" s="1350"/>
      <c r="D49" s="9"/>
    </row>
    <row r="50" spans="1:10">
      <c r="A50" s="1351" t="s">
        <v>2</v>
      </c>
      <c r="B50" s="1351"/>
      <c r="C50" s="1327"/>
    </row>
    <row r="51" spans="1:10">
      <c r="A51" s="1351" t="s">
        <v>3</v>
      </c>
      <c r="B51" s="1351"/>
      <c r="C51" s="1327"/>
      <c r="D51" s="232"/>
    </row>
    <row r="52" spans="1:10">
      <c r="A52" s="1351" t="s">
        <v>4</v>
      </c>
      <c r="B52" s="1351"/>
      <c r="C52" s="1327"/>
      <c r="D52" s="232"/>
    </row>
    <row r="53" spans="1:10">
      <c r="A53" s="1351" t="s">
        <v>5</v>
      </c>
      <c r="B53" s="1351"/>
      <c r="C53" s="1327"/>
      <c r="D53" s="232"/>
    </row>
    <row r="54" spans="1:10">
      <c r="A54" s="1351" t="s">
        <v>6</v>
      </c>
      <c r="B54" s="1351"/>
      <c r="C54" s="1327"/>
      <c r="D54" s="232"/>
      <c r="H54" s="1352"/>
      <c r="I54" s="1353"/>
      <c r="J54" s="1354"/>
    </row>
    <row r="55" spans="1:10">
      <c r="A55" s="1351" t="s">
        <v>7</v>
      </c>
      <c r="B55" s="1351"/>
      <c r="C55" s="1327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O1" zoomScale="85" zoomScaleNormal="85" workbookViewId="0">
      <pane ySplit="3" topLeftCell="A18" activePane="bottomLeft" state="frozen"/>
      <selection activeCell="D36" sqref="D36"/>
      <selection pane="bottomLeft" activeCell="AA54" sqref="AA54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7" width="29.28515625" style="68" bestFit="1" customWidth="1"/>
    <col min="8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4" t="s">
        <v>1342</v>
      </c>
      <c r="C1" s="258"/>
      <c r="D1" s="258"/>
      <c r="E1" s="204"/>
      <c r="F1" s="1355"/>
      <c r="G1" s="1133" t="s">
        <v>873</v>
      </c>
      <c r="H1" s="1134">
        <f ca="1">LnkTXTIRTEco</f>
        <v>0.15570000000000001</v>
      </c>
    </row>
    <row r="2" spans="2:26" ht="14.25">
      <c r="B2" s="136" t="str">
        <f>CAPA!C9</f>
        <v>Cegero</v>
      </c>
      <c r="C2" s="1356"/>
      <c r="D2" s="1356"/>
      <c r="E2" s="1356"/>
      <c r="F2" s="1357"/>
      <c r="G2" s="120" t="s">
        <v>877</v>
      </c>
      <c r="H2" s="121">
        <f ca="1">LnkTXTIRTTotal</f>
        <v>0.16300000000000001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34"/>
      <c r="P4" s="1834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8" t="s">
        <v>1343</v>
      </c>
      <c r="M6" s="1359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1344</v>
      </c>
      <c r="D9" s="289" t="s">
        <v>1345</v>
      </c>
      <c r="L9" s="212" t="s">
        <v>1346</v>
      </c>
      <c r="M9" s="213">
        <v>4</v>
      </c>
      <c r="O9" s="267"/>
      <c r="P9" s="287"/>
      <c r="Z9" s="68"/>
    </row>
    <row r="10" spans="2:26" ht="14.25">
      <c r="L10" s="212" t="s">
        <v>1347</v>
      </c>
      <c r="M10" s="214">
        <f>CAPA!K16</f>
        <v>8.5874515481677571E-2</v>
      </c>
      <c r="O10" s="267"/>
      <c r="P10" s="287"/>
      <c r="Z10" s="68"/>
    </row>
    <row r="11" spans="2:26" ht="14.25">
      <c r="B11" s="1837" t="s">
        <v>1348</v>
      </c>
      <c r="C11" s="1838"/>
      <c r="D11" s="1360" t="s">
        <v>1349</v>
      </c>
      <c r="E11" s="1361" t="s">
        <v>1350</v>
      </c>
      <c r="F11" s="1362" t="s">
        <v>1351</v>
      </c>
      <c r="G11" s="1361" t="s">
        <v>2380</v>
      </c>
      <c r="H11" s="1361"/>
      <c r="I11" s="1361"/>
      <c r="J11" s="1361"/>
      <c r="L11" s="212" t="s">
        <v>1352</v>
      </c>
      <c r="M11" s="214">
        <f>CAPA!K17</f>
        <v>8.727291292620043E-2</v>
      </c>
      <c r="O11" s="267"/>
      <c r="P11" s="287"/>
      <c r="Z11" s="68"/>
    </row>
    <row r="12" spans="2:26" ht="14.25">
      <c r="B12" s="1843" t="s">
        <v>1353</v>
      </c>
      <c r="C12" s="1838"/>
      <c r="D12" s="1363" t="s">
        <v>1346</v>
      </c>
      <c r="E12" s="1363" t="s">
        <v>772</v>
      </c>
      <c r="F12" s="1363" t="s">
        <v>772</v>
      </c>
      <c r="G12" s="1363" t="s">
        <v>772</v>
      </c>
      <c r="H12" s="1363" t="s">
        <v>772</v>
      </c>
      <c r="I12" s="1363" t="s">
        <v>772</v>
      </c>
      <c r="J12" s="1363" t="s">
        <v>772</v>
      </c>
      <c r="L12" s="1364" t="s">
        <v>1354</v>
      </c>
      <c r="M12" s="1365">
        <v>41275</v>
      </c>
      <c r="O12" s="267"/>
      <c r="P12" s="287"/>
      <c r="Z12" s="68"/>
    </row>
    <row r="13" spans="2:26" ht="14.25">
      <c r="B13" s="1844" t="s">
        <v>1355</v>
      </c>
      <c r="C13" s="1845"/>
      <c r="D13" s="1366">
        <v>43617</v>
      </c>
      <c r="E13" s="1366">
        <v>43617</v>
      </c>
      <c r="F13" s="1366">
        <v>43617</v>
      </c>
      <c r="G13" s="1366">
        <v>44774</v>
      </c>
      <c r="H13" s="1366">
        <f t="shared" ref="H13:J14" si="0">G13</f>
        <v>44774</v>
      </c>
      <c r="I13" s="1366">
        <f t="shared" si="0"/>
        <v>44774</v>
      </c>
      <c r="J13" s="1366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35" t="s">
        <v>1356</v>
      </c>
      <c r="C14" s="1836"/>
      <c r="D14" s="1366">
        <v>42887</v>
      </c>
      <c r="E14" s="1366">
        <v>43252</v>
      </c>
      <c r="F14" s="1366">
        <v>43252</v>
      </c>
      <c r="G14" s="1366">
        <v>44409</v>
      </c>
      <c r="H14" s="1366">
        <f t="shared" si="0"/>
        <v>44409</v>
      </c>
      <c r="I14" s="1366">
        <f t="shared" si="0"/>
        <v>44409</v>
      </c>
      <c r="J14" s="1366">
        <f t="shared" si="0"/>
        <v>44409</v>
      </c>
      <c r="L14" s="1367"/>
      <c r="M14" s="1368">
        <v>41334</v>
      </c>
      <c r="O14" s="267"/>
      <c r="P14" s="287"/>
      <c r="Z14" s="68"/>
    </row>
    <row r="15" spans="2:26" ht="14.25">
      <c r="B15" s="1835" t="s">
        <v>1357</v>
      </c>
      <c r="C15" s="1836"/>
      <c r="D15" s="1369">
        <f>VLOOKUP(D13,Índices!$B$6:$F$500,VLOOKUP(D12,$L$7:$M$9,2,FALSE)+1,FALSE)/VLOOKUP(D14,Índices!$B$6:$F$500,VLOOKUP(D12,$L$7:$M$9,2,FALSE)+1,FALSE)</f>
        <v>1.1414978440075982</v>
      </c>
      <c r="E15" s="1369">
        <f>VLOOKUP(E13,Índices!$B$6:$F$500,VLOOKUP(E12,$L$7:$M$9,2,FALSE)+1,FALSE)/VLOOKUP(E14,Índices!$B$6:$F$500,VLOOKUP(E12,$L$7:$M$9,2,FALSE)+1,FALSE)</f>
        <v>1.0336626715248016</v>
      </c>
      <c r="F15" s="1369">
        <f>VLOOKUP(F13,Índices!$B$6:$F$500,VLOOKUP(F12,$L$7:$M$9,2,FALSE)+1,FALSE)/VLOOKUP(F14,Índices!$B$6:$F$500,VLOOKUP(F12,$L$7:$M$9,2,FALSE)+1,FALSE)</f>
        <v>1.0336626715248016</v>
      </c>
      <c r="G15" s="1369">
        <f>VLOOKUP(G13,Índices!$B$6:$F$500,VLOOKUP(G12,$L$7:$M$9,2,FALSE)+1,FALSE)/VLOOKUP(G14,Índices!$B$6:$F$500,VLOOKUP(G12,$L$7:$M$9,2,FALSE)+1,FALSE)</f>
        <v>1.0872729129262004</v>
      </c>
      <c r="H15" s="1369">
        <f>VLOOKUP(H13,Índices!$B$6:$F$500,VLOOKUP(H12,$L$7:$M$9,2,FALSE)+1,FALSE)/VLOOKUP(H14,Índices!$B$6:$F$500,VLOOKUP(H12,$L$7:$M$9,2,FALSE)+1,FALSE)</f>
        <v>1.0872729129262004</v>
      </c>
      <c r="I15" s="1369">
        <f>VLOOKUP(I13,Índices!$B$6:$F$500,VLOOKUP(I12,$L$7:$M$9,2,FALSE)+1,FALSE)/VLOOKUP(I14,Índices!$B$6:$F$500,VLOOKUP(I12,$L$7:$M$9,2,FALSE)+1,FALSE)</f>
        <v>1.0872729129262004</v>
      </c>
      <c r="J15" s="1369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35" t="s">
        <v>1358</v>
      </c>
      <c r="C16" s="1836"/>
      <c r="D16" s="1370"/>
      <c r="E16" s="1370"/>
      <c r="F16" s="1370"/>
      <c r="G16" s="1370">
        <v>-2000000</v>
      </c>
      <c r="H16" s="1370"/>
      <c r="I16" s="1370"/>
      <c r="J16" s="1370"/>
      <c r="O16" s="267"/>
      <c r="P16" s="287"/>
      <c r="Z16" s="68"/>
    </row>
    <row r="17" spans="1:26" ht="14.25">
      <c r="B17" s="1841" t="s">
        <v>1359</v>
      </c>
      <c r="C17" s="1842"/>
      <c r="D17" s="1371">
        <f t="shared" ref="D17:E17" si="1">D16*D15</f>
        <v>0</v>
      </c>
      <c r="E17" s="1371">
        <f t="shared" si="1"/>
        <v>0</v>
      </c>
      <c r="F17" s="1371">
        <f>F16*F15</f>
        <v>0</v>
      </c>
      <c r="G17" s="1371">
        <f>G16*G15</f>
        <v>-2174545.8258524011</v>
      </c>
      <c r="H17" s="1371">
        <f>H16*H15</f>
        <v>0</v>
      </c>
      <c r="I17" s="1371">
        <f>I16*I15</f>
        <v>0</v>
      </c>
      <c r="J17" s="1371">
        <f>J16*J15</f>
        <v>0</v>
      </c>
      <c r="O17" s="267"/>
      <c r="P17" s="92"/>
      <c r="Z17" s="68"/>
    </row>
    <row r="18" spans="1:26" ht="14.25">
      <c r="E18" s="290" t="s">
        <v>1360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1361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1362</v>
      </c>
      <c r="E20" s="291" t="s">
        <v>1363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72" t="s">
        <v>1348</v>
      </c>
      <c r="C22" s="1839" t="s">
        <v>2276</v>
      </c>
      <c r="D22" s="1840"/>
      <c r="E22" s="1852" t="s">
        <v>1364</v>
      </c>
      <c r="F22" s="1853"/>
      <c r="G22" s="1852" t="str">
        <f>Financeiros!C25</f>
        <v>Ajuste CUST RB Fronteira + PIS Cofins RB Fronteira</v>
      </c>
      <c r="H22" s="1853"/>
      <c r="I22" s="1854" t="s">
        <v>1176</v>
      </c>
      <c r="J22" s="1855"/>
      <c r="K22" s="1846" t="s">
        <v>1365</v>
      </c>
      <c r="L22" s="1847"/>
      <c r="M22" s="1848" t="s">
        <v>2153</v>
      </c>
      <c r="N22" s="1849"/>
      <c r="O22" s="1850" t="s">
        <v>1366</v>
      </c>
      <c r="P22" s="1851"/>
      <c r="Q22" s="1850" t="s">
        <v>192</v>
      </c>
      <c r="R22" s="1851"/>
      <c r="S22" s="1850" t="s">
        <v>2043</v>
      </c>
      <c r="T22" s="1851"/>
      <c r="U22" s="1850" t="s">
        <v>2044</v>
      </c>
      <c r="V22" s="1851"/>
      <c r="W22" s="1850" t="s">
        <v>2044</v>
      </c>
      <c r="X22" s="1851"/>
      <c r="Z22" s="68"/>
    </row>
    <row r="23" spans="1:26" ht="14.25">
      <c r="B23" s="1373" t="s">
        <v>925</v>
      </c>
      <c r="C23" s="1374" t="s">
        <v>1367</v>
      </c>
      <c r="D23" s="1375" t="s">
        <v>772</v>
      </c>
      <c r="E23" s="1374" t="s">
        <v>1367</v>
      </c>
      <c r="F23" s="1375" t="s">
        <v>772</v>
      </c>
      <c r="G23" s="1374" t="s">
        <v>1367</v>
      </c>
      <c r="H23" s="1375" t="s">
        <v>772</v>
      </c>
      <c r="I23" s="1374" t="s">
        <v>1367</v>
      </c>
      <c r="J23" s="1375" t="s">
        <v>772</v>
      </c>
      <c r="K23" s="1374" t="s">
        <v>1367</v>
      </c>
      <c r="L23" s="1375" t="s">
        <v>1346</v>
      </c>
      <c r="M23" s="1376" t="s">
        <v>1367</v>
      </c>
      <c r="N23" s="1377" t="s">
        <v>1346</v>
      </c>
      <c r="O23" s="1376" t="s">
        <v>1367</v>
      </c>
      <c r="P23" s="1377" t="s">
        <v>772</v>
      </c>
      <c r="Q23" s="1376" t="s">
        <v>1367</v>
      </c>
      <c r="R23" s="1377" t="s">
        <v>772</v>
      </c>
      <c r="S23" s="1376" t="s">
        <v>1367</v>
      </c>
      <c r="T23" s="1377" t="s">
        <v>772</v>
      </c>
      <c r="U23" s="1376" t="s">
        <v>1367</v>
      </c>
      <c r="V23" s="1377" t="s">
        <v>772</v>
      </c>
      <c r="W23" s="1376" t="s">
        <v>1367</v>
      </c>
      <c r="X23" s="1377" t="s">
        <v>772</v>
      </c>
      <c r="Z23" s="68"/>
    </row>
    <row r="24" spans="1:26" ht="14.25">
      <c r="B24" s="1378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W24" s="224"/>
      <c r="X24" s="99">
        <f>VLOOKUP($B$48,Índices!$B$6:$F$500,VLOOKUP(X$23,$L$7:$M$9,2,FALSE)+1,FALSE)/VLOOKUP(DATE(YEAR($B24),MONTH($B24)-1,1),Índices!$B$6:$F$500,VLOOKUP(X$23,$L$7:$M$9,2,FALSE)+1,FALSE)*W24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W25" s="224"/>
      <c r="X25" s="99">
        <f>VLOOKUP($B$48,Índices!$B$6:$F$500,VLOOKUP(X$23,$L$7:$M$9,2,FALSE)+1,FALSE)/VLOOKUP(DATE(YEAR($B25),MONTH($B25)-1,1),Índices!$B$6:$F$500,VLOOKUP(X$23,$L$7:$M$9,2,FALSE)+1,FALSE)*W25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W26" s="224"/>
      <c r="X26" s="99">
        <f>VLOOKUP($B$48,Índices!$B$6:$F$500,VLOOKUP(X$23,$L$7:$M$9,2,FALSE)+1,FALSE)/VLOOKUP(DATE(YEAR($B26),MONTH($B26)-1,1),Índices!$B$6:$F$500,VLOOKUP(X$23,$L$7:$M$9,2,FALSE)+1,FALSE)*W26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W27" s="224"/>
      <c r="X27" s="99">
        <f>VLOOKUP($B$48,Índices!$B$6:$F$500,VLOOKUP(X$23,$L$7:$M$9,2,FALSE)+1,FALSE)/VLOOKUP(DATE(YEAR($B27),MONTH($B27)-1,1),Índices!$B$6:$F$500,VLOOKUP(X$23,$L$7:$M$9,2,FALSE)+1,FALSE)*W27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W28" s="224"/>
      <c r="X28" s="99">
        <f>VLOOKUP($B$48,Índices!$B$6:$F$500,VLOOKUP(X$23,$L$7:$M$9,2,FALSE)+1,FALSE)/VLOOKUP(DATE(YEAR($B28),MONTH($B28)-1,1),Índices!$B$6:$F$500,VLOOKUP(X$23,$L$7:$M$9,2,FALSE)+1,FALSE)*W28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W29" s="224"/>
      <c r="X29" s="99">
        <f>VLOOKUP($B$48,Índices!$B$6:$F$500,VLOOKUP(X$23,$L$7:$M$9,2,FALSE)+1,FALSE)/VLOOKUP(DATE(YEAR($B29),MONTH($B29)-1,1),Índices!$B$6:$F$500,VLOOKUP(X$23,$L$7:$M$9,2,FALSE)+1,FALSE)*W29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W30" s="224"/>
      <c r="X30" s="99">
        <f>VLOOKUP($B$48,Índices!$B$6:$F$500,VLOOKUP(X$23,$L$7:$M$9,2,FALSE)+1,FALSE)/VLOOKUP(DATE(YEAR($B30),MONTH($B30)-1,1),Índices!$B$6:$F$500,VLOOKUP(X$23,$L$7:$M$9,2,FALSE)+1,FALSE)*W30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W31" s="224"/>
      <c r="X31" s="99">
        <f>VLOOKUP($B$48,Índices!$B$6:$F$500,VLOOKUP(X$23,$L$7:$M$9,2,FALSE)+1,FALSE)/VLOOKUP(DATE(YEAR($B31),MONTH($B31)-1,1),Índices!$B$6:$F$500,VLOOKUP(X$23,$L$7:$M$9,2,FALSE)+1,FALSE)*W31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W32" s="224"/>
      <c r="X32" s="99">
        <f>VLOOKUP($B$48,Índices!$B$6:$F$500,VLOOKUP(X$23,$L$7:$M$9,2,FALSE)+1,FALSE)/VLOOKUP(DATE(YEAR($B32),MONTH($B32)-1,1),Índices!$B$6:$F$500,VLOOKUP(X$23,$L$7:$M$9,2,FALSE)+1,FALSE)*W32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3"/>
      <c r="V33" s="99">
        <f>VLOOKUP($B$48,Índices!$B$6:$F$500,VLOOKUP(V$23,$L$7:$M$9,2,FALSE)+1,FALSE)/VLOOKUP(DATE(YEAR($B33),MONTH($B33)-1,1),Índices!$B$6:$F$500,VLOOKUP(V$23,$L$7:$M$9,2,FALSE)+1,FALSE)*U33</f>
        <v>0</v>
      </c>
      <c r="W33" s="224"/>
      <c r="X33" s="99">
        <f>VLOOKUP($B$48,Índices!$B$6:$F$500,VLOOKUP(X$23,$L$7:$M$9,2,FALSE)+1,FALSE)/VLOOKUP(DATE(YEAR($B33),MONTH($B33)-1,1),Índices!$B$6:$F$500,VLOOKUP(X$23,$L$7:$M$9,2,FALSE)+1,FALSE)*W33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3"/>
      <c r="V34" s="99">
        <f>VLOOKUP($B$48,Índices!$B$6:$F$500,VLOOKUP(V$23,$L$7:$M$9,2,FALSE)+1,FALSE)/VLOOKUP(DATE(YEAR($B34),MONTH($B34)-1,1),Índices!$B$6:$F$500,VLOOKUP(V$23,$L$7:$M$9,2,FALSE)+1,FALSE)*U34</f>
        <v>0</v>
      </c>
      <c r="W34" s="224"/>
      <c r="X34" s="99">
        <f>VLOOKUP($B$48,Índices!$B$6:$F$500,VLOOKUP(X$23,$L$7:$M$9,2,FALSE)+1,FALSE)/VLOOKUP(DATE(YEAR($B34),MONTH($B34)-1,1),Índices!$B$6:$F$500,VLOOKUP(X$23,$L$7:$M$9,2,FALSE)+1,FALSE)*W34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3"/>
      <c r="V35" s="99">
        <f>VLOOKUP($B$48,Índices!$B$6:$F$500,VLOOKUP(V$23,$L$7:$M$9,2,FALSE)+1,FALSE)/VLOOKUP(DATE(YEAR($B35),MONTH($B35)-1,1),Índices!$B$6:$F$500,VLOOKUP(V$23,$L$7:$M$9,2,FALSE)+1,FALSE)*U35</f>
        <v>0</v>
      </c>
      <c r="W35" s="224"/>
      <c r="X35" s="99">
        <f>VLOOKUP($B$48,Índices!$B$6:$F$500,VLOOKUP(X$23,$L$7:$M$9,2,FALSE)+1,FALSE)/VLOOKUP(DATE(YEAR($B35),MONTH($B35)-1,1),Índices!$B$6:$F$500,VLOOKUP(X$23,$L$7:$M$9,2,FALSE)+1,FALSE)*W35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3"/>
      <c r="V36" s="99">
        <f>VLOOKUP($B$48,Índices!$B$6:$F$500,VLOOKUP(V$23,$L$7:$M$9,2,FALSE)+1,FALSE)/VLOOKUP(DATE(YEAR($B36),MONTH($B36)-1,1),Índices!$B$6:$F$500,VLOOKUP(V$23,$L$7:$M$9,2,FALSE)+1,FALSE)*U36</f>
        <v>0</v>
      </c>
      <c r="W36" s="224"/>
      <c r="X36" s="99">
        <f>VLOOKUP($B$48,Índices!$B$6:$F$500,VLOOKUP(X$23,$L$7:$M$9,2,FALSE)+1,FALSE)/VLOOKUP(DATE(YEAR($B36),MONTH($B36)-1,1),Índices!$B$6:$F$500,VLOOKUP(X$23,$L$7:$M$9,2,FALSE)+1,FALSE)*W36</f>
        <v>0</v>
      </c>
      <c r="Z36" s="68"/>
    </row>
    <row r="37" spans="1:26" s="835" customFormat="1" ht="14.25">
      <c r="A37" s="829"/>
      <c r="B37" s="830">
        <f t="shared" si="2"/>
        <v>44440</v>
      </c>
      <c r="C37" s="831">
        <f>CAPA!C66</f>
        <v>99815.7</v>
      </c>
      <c r="D37" s="832">
        <f>VLOOKUP($B$48,Índices!$B$6:$F$500,VLOOKUP(D$23,$L$7:$M$9,2,FALSE)+1,FALSE)/VLOOKUP(DATE(YEAR($B37),MONTH($B37)-1,1),Índices!$B$6:$F$500,VLOOKUP(D$23,$L$7:$M$9,2,FALSE)+1,FALSE)*C37</f>
        <v>108526.90689476774</v>
      </c>
      <c r="E37" s="833"/>
      <c r="F37" s="832">
        <f>VLOOKUP($B$48,Índices!$B$6:$F$500,VLOOKUP(F$23,$L$7:$M$9,2,FALSE)+1,FALSE)/VLOOKUP(DATE(YEAR($B37),MONTH($B37)-1,1),Índices!$B$6:$F$500,VLOOKUP(H$23,$L$7:$M$9,2,FALSE)+1,FALSE)*E37</f>
        <v>0</v>
      </c>
      <c r="G37" s="833">
        <f>CAPA!E66</f>
        <v>0</v>
      </c>
      <c r="H37" s="832">
        <f>VLOOKUP($B$48,Índices!$B$6:$F$500,VLOOKUP(H$23,$L$7:$M$9,2,FALSE)+1,FALSE)/VLOOKUP(DATE(YEAR($B37),MONTH($B37)-1,1),Índices!$B$6:$F$500,VLOOKUP(H$23,$L$7:$M$9,2,FALSE)+1,FALSE)*G37</f>
        <v>0</v>
      </c>
      <c r="I37" s="834">
        <f>IFERROR(HLOOKUP(B37,'Rede Básica + Ajuste'!$E$70:$P$71,2,FALSE),0)</f>
        <v>0</v>
      </c>
      <c r="J37" s="834">
        <f>VLOOKUP($B$48,Índices!$B$6:$F$500,VLOOKUP(J$23,$L$7:$M$9,2,FALSE)+1,FALSE)/VLOOKUP(DATE(YEAR($B37),MONTH($B37)-1,1),Índices!$B$6:$F$500,VLOOKUP(J$23,$L$7:$M$9,2,FALSE)+1,FALSE)*I37</f>
        <v>0</v>
      </c>
      <c r="K37" s="833">
        <f>CAPA!H66</f>
        <v>0</v>
      </c>
      <c r="L37" s="832">
        <f>VLOOKUP($B$48,Índices!$B$6:$F$500,VLOOKUP(L$23,$L$7:$M$9,2,FALSE)+1,FALSE)/VLOOKUP(DATE(YEAR($B37),MONTH($B37)-1,1),Índices!$B$6:$F$500,VLOOKUP(L$23,$L$7:$M$9,2,FALSE)+1,FALSE)*K37</f>
        <v>0</v>
      </c>
      <c r="M37" s="833">
        <f>CVE!$I$14/12</f>
        <v>213302.7023351175</v>
      </c>
      <c r="N37" s="832">
        <f>VLOOKUP($B$48,Índices!$B$6:$F$500,VLOOKUP(N$23,$L$7:$M$9,2,FALSE)+1,FALSE)/VLOOKUP(DATE(YEAR($B37),MONTH($B37)-1,1),Índices!$B$6:$F$500,VLOOKUP(N$23,$L$7:$M$9,2,FALSE)+1,FALSE)*M37</f>
        <v>235133.33356761315</v>
      </c>
      <c r="O37" s="407">
        <f>CAPA!G66</f>
        <v>0</v>
      </c>
      <c r="P37" s="832">
        <f>VLOOKUP($B$48,Índices!$B$6:$F$500,VLOOKUP(P$23,$L$7:$M$9,2,FALSE)+1,FALSE)/VLOOKUP(DATE(YEAR($B37),MONTH($B37)-1,1),Índices!$B$6:$F$500,VLOOKUP(P$23,$L$7:$M$9,2,FALSE)+1,FALSE)*O37</f>
        <v>0</v>
      </c>
      <c r="Q37" s="833">
        <f>CAPA!D66</f>
        <v>0</v>
      </c>
      <c r="R37" s="832">
        <f>VLOOKUP($B$48,Índices!$B$6:$F$500,VLOOKUP(R$23,$L$7:$M$9,2,FALSE)+1,FALSE)/VLOOKUP(DATE(YEAR($B37),MONTH($B37)-1,1),Índices!$B$6:$F$500,VLOOKUP(R$23,$L$7:$M$9,2,FALSE)+1,FALSE)*Q37</f>
        <v>0</v>
      </c>
      <c r="S37" s="833">
        <f>'Tributos suprimento'!$B$14/12</f>
        <v>0</v>
      </c>
      <c r="T37" s="832">
        <f>VLOOKUP($B$48,Índices!$B$6:$F$500,VLOOKUP(T$23,$L$7:$M$9,2,FALSE)+1,FALSE)/VLOOKUP(DATE(YEAR($B37),MONTH($B37)-1,1),Índices!$B$6:$F$500,VLOOKUP(T$23,$L$7:$M$9,2,FALSE)+1,FALSE)*S37</f>
        <v>0</v>
      </c>
      <c r="U37" s="833">
        <f>'Tributos suprimento'!$B$13/12</f>
        <v>0</v>
      </c>
      <c r="V37" s="832">
        <f>VLOOKUP($B$48,Índices!$B$6:$F$500,VLOOKUP(V$23,$L$7:$M$9,2,FALSE)+1,FALSE)/VLOOKUP(DATE(YEAR($B37),MONTH($B37)-1,1),Índices!$B$6:$F$500,VLOOKUP(V$23,$L$7:$M$9,2,FALSE)+1,FALSE)*U37</f>
        <v>0</v>
      </c>
      <c r="W37" s="224"/>
      <c r="X37" s="832">
        <f>VLOOKUP($B$48,Índices!$B$6:$F$500,VLOOKUP(X$23,$L$7:$M$9,2,FALSE)+1,FALSE)/VLOOKUP(DATE(YEAR($B37),MONTH($B37)-1,1),Índices!$B$6:$F$500,VLOOKUP(X$23,$L$7:$M$9,2,FALSE)+1,FALSE)*W37</f>
        <v>0</v>
      </c>
    </row>
    <row r="38" spans="1:26" ht="14.25">
      <c r="A38" s="208"/>
      <c r="B38" s="267">
        <f>DATE(YEAR(B39),MONTH(B39)-1,1)</f>
        <v>44470</v>
      </c>
      <c r="C38" s="293">
        <f>CAPA!C67</f>
        <v>158817.01999999999</v>
      </c>
      <c r="D38" s="225">
        <f>VLOOKUP($B$48,Índices!$B$6:$F$500,VLOOKUP(D$23,$L$7:$M$9,2,FALSE)+1,FALSE)/VLOOKUP(DATE(YEAR($B38),MONTH($B38)-1,1),Índices!$B$6:$F$500,VLOOKUP(D$23,$L$7:$M$9,2,FALSE)+1,FALSE)*C38</f>
        <v>170697.417245925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213302.7023351175</v>
      </c>
      <c r="N38" s="99">
        <f>VLOOKUP($B$48,Índices!$B$6:$F$500,VLOOKUP(N$23,$L$7:$M$9,2,FALSE)+1,FALSE)/VLOOKUP(DATE(YEAR($B38),MONTH($B38)-1,1),Índices!$B$6:$F$500,VLOOKUP(N$23,$L$7:$M$9,2,FALSE)+1,FALSE)*M38</f>
        <v>234098.61923382772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3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3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W38" s="224"/>
      <c r="X38" s="99">
        <f>VLOOKUP($B$48,Índices!$B$6:$F$500,VLOOKUP(X$23,$L$7:$M$9,2,FALSE)+1,FALSE)/VLOOKUP(DATE(YEAR($B38),MONTH($B38)-1,1),Índices!$B$6:$F$500,VLOOKUP(X$23,$L$7:$M$9,2,FALSE)+1,FALSE)*W38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32368.37</v>
      </c>
      <c r="D39" s="225">
        <f>VLOOKUP($B$48,Índices!$B$6:$F$500,VLOOKUP(D$23,$L$7:$M$9,2,FALSE)+1,FALSE)/VLOOKUP(DATE(YEAR($B39),MONTH($B39)-1,1),Índices!$B$6:$F$500,VLOOKUP(D$23,$L$7:$M$9,2,FALSE)+1,FALSE)*C39</f>
        <v>34360.216738345531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213302.7023351175</v>
      </c>
      <c r="N39" s="99">
        <f>VLOOKUP($B$48,Índices!$B$6:$F$500,VLOOKUP(N$23,$L$7:$M$9,2,FALSE)+1,FALSE)/VLOOKUP(DATE(YEAR($B39),MONTH($B39)-1,1),Índices!$B$6:$F$500,VLOOKUP(N$23,$L$7:$M$9,2,FALSE)+1,FALSE)*M39</f>
        <v>232966.41155350432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3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3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W39" s="224">
        <v>12479.38</v>
      </c>
      <c r="X39" s="99">
        <f>VLOOKUP($B$48,Índices!$B$6:$F$500,VLOOKUP(X$23,$L$7:$M$9,2,FALSE)+1,FALSE)/VLOOKUP(DATE(YEAR($B39),MONTH($B39)-1,1),Índices!$B$6:$F$500,VLOOKUP(X$23,$L$7:$M$9,2,FALSE)+1,FALSE)*W39</f>
        <v>13247.321430154638</v>
      </c>
      <c r="Z39" s="68"/>
    </row>
    <row r="40" spans="1:26" ht="14.25">
      <c r="A40" s="208"/>
      <c r="B40" s="267">
        <f t="shared" si="2"/>
        <v>44531</v>
      </c>
      <c r="C40" s="293">
        <f>CAPA!C69</f>
        <v>31093.52</v>
      </c>
      <c r="D40" s="225">
        <f>VLOOKUP($B$48,Índices!$B$6:$F$500,VLOOKUP(D$23,$L$7:$M$9,2,FALSE)+1,FALSE)/VLOOKUP(DATE(YEAR($B40),MONTH($B40)-1,1),Índices!$B$6:$F$500,VLOOKUP(D$23,$L$7:$M$9,2,FALSE)+1,FALSE)*C40</f>
        <v>32696.279290483883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213302.7023351175</v>
      </c>
      <c r="N40" s="99">
        <f>VLOOKUP($B$48,Índices!$B$6:$F$500,VLOOKUP(N$23,$L$7:$M$9,2,FALSE)+1,FALSE)/VLOOKUP(DATE(YEAR($B40),MONTH($B40)-1,1),Índices!$B$6:$F$500,VLOOKUP(N$23,$L$7:$M$9,2,FALSE)+1,FALSE)*M40</f>
        <v>231607.456898745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3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3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W40" s="224"/>
      <c r="X40" s="99">
        <f>VLOOKUP($B$48,Índices!$B$6:$F$500,VLOOKUP(X$23,$L$7:$M$9,2,FALSE)+1,FALSE)/VLOOKUP(DATE(YEAR($B40),MONTH($B40)-1,1),Índices!$B$6:$F$500,VLOOKUP(X$23,$L$7:$M$9,2,FALSE)+1,FALSE)*W40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41585.629999999997</v>
      </c>
      <c r="D41" s="225">
        <f>VLOOKUP($B$48,Índices!$B$6:$F$500,VLOOKUP(D$23,$L$7:$M$9,2,FALSE)+1,FALSE)/VLOOKUP(DATE(YEAR($B41),MONTH($B41)-1,1),Índices!$B$6:$F$500,VLOOKUP(D$23,$L$7:$M$9,2,FALSE)+1,FALSE)*C41</f>
        <v>43412.328013885526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213302.7023351175</v>
      </c>
      <c r="N41" s="99">
        <f>VLOOKUP($B$48,Índices!$B$6:$F$500,VLOOKUP(N$23,$L$7:$M$9,2,FALSE)+1,FALSE)/VLOOKUP(DATE(YEAR($B41),MONTH($B41)-1,1),Índices!$B$6:$F$500,VLOOKUP(N$23,$L$7:$M$9,2,FALSE)+1,FALSE)*M41</f>
        <v>229839.79789772467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3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3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W41" s="224">
        <v>47297.46</v>
      </c>
      <c r="X41" s="99">
        <f>VLOOKUP($B$48,Índices!$B$6:$F$500,VLOOKUP(X$23,$L$7:$M$9,2,FALSE)+1,FALSE)/VLOOKUP(DATE(YEAR($B41),MONTH($B41)-1,1),Índices!$B$6:$F$500,VLOOKUP(X$23,$L$7:$M$9,2,FALSE)+1,FALSE)*W41</f>
        <v>49375.056906523489</v>
      </c>
      <c r="Z41" s="68"/>
    </row>
    <row r="42" spans="1:26" ht="14.25">
      <c r="A42" s="208"/>
      <c r="B42" s="267">
        <f t="shared" si="2"/>
        <v>44593</v>
      </c>
      <c r="C42" s="293">
        <f>CAPA!C71</f>
        <v>24395.51</v>
      </c>
      <c r="D42" s="225">
        <f>VLOOKUP($B$48,Índices!$B$6:$F$500,VLOOKUP(D$23,$L$7:$M$9,2,FALSE)+1,FALSE)/VLOOKUP(DATE(YEAR($B42),MONTH($B42)-1,1),Índices!$B$6:$F$500,VLOOKUP(D$23,$L$7:$M$9,2,FALSE)+1,FALSE)*C42</f>
        <v>25330.320533861846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213302.7023351175</v>
      </c>
      <c r="N42" s="99">
        <f>VLOOKUP($B$48,Índices!$B$6:$F$500,VLOOKUP(N$23,$L$7:$M$9,2,FALSE)+1,FALSE)/VLOOKUP(DATE(YEAR($B42),MONTH($B42)-1,1),Índices!$B$6:$F$500,VLOOKUP(N$23,$L$7:$M$9,2,FALSE)+1,FALSE)*M42</f>
        <v>228168.98413692811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3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3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W42" s="224"/>
      <c r="X42" s="99">
        <f>VLOOKUP($B$48,Índices!$B$6:$F$500,VLOOKUP(X$23,$L$7:$M$9,2,FALSE)+1,FALSE)/VLOOKUP(DATE(YEAR($B42),MONTH($B42)-1,1),Índices!$B$6:$F$500,VLOOKUP(X$23,$L$7:$M$9,2,FALSE)+1,FALSE)*W42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27799.52</v>
      </c>
      <c r="D43" s="225">
        <f>VLOOKUP($B$48,Índices!$B$6:$F$500,VLOOKUP(D$23,$L$7:$M$9,2,FALSE)+1,FALSE)/VLOOKUP(DATE(YEAR($B43),MONTH($B43)-1,1),Índices!$B$6:$F$500,VLOOKUP(D$23,$L$7:$M$9,2,FALSE)+1,FALSE)*C43</f>
        <v>28576.13211113328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213302.7023351175</v>
      </c>
      <c r="N43" s="99">
        <f>VLOOKUP($B$48,Índices!$B$6:$F$500,VLOOKUP(N$23,$L$7:$M$9,2,FALSE)+1,FALSE)/VLOOKUP(DATE(YEAR($B43),MONTH($B43)-1,1),Índices!$B$6:$F$500,VLOOKUP(N$23,$L$7:$M$9,2,FALSE)+1,FALSE)*M43</f>
        <v>226459.12492485595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3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3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W43" s="224"/>
      <c r="X43" s="99">
        <f>VLOOKUP($B$48,Índices!$B$6:$F$500,VLOOKUP(X$23,$L$7:$M$9,2,FALSE)+1,FALSE)/VLOOKUP(DATE(YEAR($B43),MONTH($B43)-1,1),Índices!$B$6:$F$500,VLOOKUP(X$23,$L$7:$M$9,2,FALSE)+1,FALSE)*W43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16851.5</v>
      </c>
      <c r="D44" s="225">
        <f>VLOOKUP($B$48,Índices!$B$6:$F$500,VLOOKUP(D$23,$L$7:$M$9,2,FALSE)+1,FALSE)/VLOOKUP(DATE(YEAR($B44),MONTH($B44)-1,1),Índices!$B$6:$F$500,VLOOKUP(D$23,$L$7:$M$9,2,FALSE)+1,FALSE)*C44</f>
        <v>17046.110834825591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213302.7023351175</v>
      </c>
      <c r="N44" s="99">
        <f>VLOOKUP($B$48,Índices!$B$6:$F$500,VLOOKUP(N$23,$L$7:$M$9,2,FALSE)+1,FALSE)/VLOOKUP(DATE(YEAR($B44),MONTH($B44)-1,1),Índices!$B$6:$F$500,VLOOKUP(N$23,$L$7:$M$9,2,FALSE)+1,FALSE)*M44</f>
        <v>224379.01063920371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3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3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W44" s="224"/>
      <c r="X44" s="99">
        <f>VLOOKUP($B$48,Índices!$B$6:$F$500,VLOOKUP(X$23,$L$7:$M$9,2,FALSE)+1,FALSE)/VLOOKUP(DATE(YEAR($B44),MONTH($B44)-1,1),Índices!$B$6:$F$500,VLOOKUP(X$23,$L$7:$M$9,2,FALSE)+1,FALSE)*W44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24682.48</v>
      </c>
      <c r="D45" s="225">
        <f>VLOOKUP($B$48,Índices!$B$6:$F$500,VLOOKUP(D$23,$L$7:$M$9,2,FALSE)+1,FALSE)/VLOOKUP(DATE(YEAR($B45),MONTH($B45)-1,1),Índices!$B$6:$F$500,VLOOKUP(D$23,$L$7:$M$9,2,FALSE)+1,FALSE)*C45</f>
        <v>24705.643220239137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213302.7023351175</v>
      </c>
      <c r="N45" s="99">
        <f>VLOOKUP($B$48,Índices!$B$6:$F$500,VLOOKUP(N$23,$L$7:$M$9,2,FALSE)+1,FALSE)/VLOOKUP(DATE(YEAR($B45),MONTH($B45)-1,1),Índices!$B$6:$F$500,VLOOKUP(N$23,$L$7:$M$9,2,FALSE)+1,FALSE)*M45</f>
        <v>222522.46008482634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3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3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W45" s="224"/>
      <c r="X45" s="99">
        <f>VLOOKUP($B$48,Índices!$B$6:$F$500,VLOOKUP(X$23,$L$7:$M$9,2,FALSE)+1,FALSE)/VLOOKUP(DATE(YEAR($B45),MONTH($B45)-1,1),Índices!$B$6:$F$500,VLOOKUP(X$23,$L$7:$M$9,2,FALSE)+1,FALSE)*W45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32018.3</v>
      </c>
      <c r="D46" s="225">
        <f>VLOOKUP($B$48,Índices!$B$6:$F$500,VLOOKUP(D$23,$L$7:$M$9,2,FALSE)+1,FALSE)/VLOOKUP(DATE(YEAR($B46),MONTH($B46)-1,1),Índices!$B$6:$F$500,VLOOKUP(D$23,$L$7:$M$9,2,FALSE)+1,FALSE)*C46</f>
        <v>31898.422599674403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0</v>
      </c>
      <c r="L46" s="225">
        <f>VLOOKUP($B$48,Índices!$B$6:$F$500,VLOOKUP(L$23,$L$7:$M$9,2,FALSE)+1,FALSE)/VLOOKUP(DATE(YEAR($B46),MONTH($B46)-1,1),Índices!$B$6:$F$500,VLOOKUP(L$23,$L$7:$M$9,2,FALSE)+1,FALSE)*K46</f>
        <v>0</v>
      </c>
      <c r="M46" s="407">
        <f>CVE!$I$14/12</f>
        <v>213302.7023351175</v>
      </c>
      <c r="N46" s="99">
        <f>VLOOKUP($B$48,Índices!$B$6:$F$500,VLOOKUP(N$23,$L$7:$M$9,2,FALSE)+1,FALSE)/VLOOKUP(DATE(YEAR($B46),MONTH($B46)-1,1),Índices!$B$6:$F$500,VLOOKUP(N$23,$L$7:$M$9,2,FALSE)+1,FALSE)*M46</f>
        <v>220243.83433024812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3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3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W46" s="224"/>
      <c r="X46" s="99">
        <f>VLOOKUP($B$48,Índices!$B$6:$F$500,VLOOKUP(X$23,$L$7:$M$9,2,FALSE)+1,FALSE)/VLOOKUP(DATE(YEAR($B46),MONTH($B46)-1,1),Índices!$B$6:$F$500,VLOOKUP(X$23,$L$7:$M$9,2,FALSE)+1,FALSE)*W46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40794.03</v>
      </c>
      <c r="D47" s="225">
        <f>VLOOKUP($B$48,Índices!$B$6:$F$500,VLOOKUP(D$23,$L$7:$M$9,2,FALSE)+1,FALSE)/VLOOKUP(DATE(YEAR($B47),MONTH($B47)-1,1),Índices!$B$6:$F$500,VLOOKUP(D$23,$L$7:$M$9,2,FALSE)+1,FALSE)*C47</f>
        <v>40370.788423848135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0</v>
      </c>
      <c r="L47" s="225">
        <f>VLOOKUP($B$48,Índices!$B$6:$F$500,VLOOKUP(L$23,$L$7:$M$9,2,FALSE)+1,FALSE)/VLOOKUP(DATE(YEAR($B47),MONTH($B47)-1,1),Índices!$B$6:$F$500,VLOOKUP(L$23,$L$7:$M$9,2,FALSE)+1,FALSE)*K47</f>
        <v>0</v>
      </c>
      <c r="M47" s="407">
        <f>CVE!$I$14/12</f>
        <v>213302.7023351175</v>
      </c>
      <c r="N47" s="99">
        <f>VLOOKUP($B$48,Índices!$B$6:$F$500,VLOOKUP(N$23,$L$7:$M$9,2,FALSE)+1,FALSE)/VLOOKUP(DATE(YEAR($B47),MONTH($B47)-1,1),Índices!$B$6:$F$500,VLOOKUP(N$23,$L$7:$M$9,2,FALSE)+1,FALSE)*M47</f>
        <v>218030.14028375997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3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3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W47" s="224"/>
      <c r="X47" s="99">
        <f>VLOOKUP($B$48,Índices!$B$6:$F$500,VLOOKUP(X$23,$L$7:$M$9,2,FALSE)+1,FALSE)/VLOOKUP(DATE(YEAR($B47),MONTH($B47)-1,1),Índices!$B$6:$F$500,VLOOKUP(X$23,$L$7:$M$9,2,FALSE)+1,FALSE)*W47</f>
        <v>0</v>
      </c>
      <c r="Z47" s="68"/>
    </row>
    <row r="48" spans="1:26" ht="14.25">
      <c r="A48" s="208"/>
      <c r="B48" s="1379">
        <f>DATE(YEAR(CAPA!$C$15),MONTH(CAPA!$C$15)-1,1)</f>
        <v>44774</v>
      </c>
      <c r="C48" s="293">
        <f>CAPA!C77</f>
        <v>44771.34</v>
      </c>
      <c r="D48" s="225">
        <f>VLOOKUP($B$48,Índices!$B$6:$F$500,VLOOKUP(D$23,$L$7:$M$9,2,FALSE)+1,FALSE)/VLOOKUP(DATE(YEAR($B48),MONTH($B48)-1,1),Índices!$B$6:$F$500,VLOOKUP(D$23,$L$7:$M$9,2,FALSE)+1,FALSE)*C48</f>
        <v>44610.184263102485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213302.7023351175</v>
      </c>
      <c r="N48" s="99">
        <f>VLOOKUP($B$48,Índices!$B$6:$F$500,VLOOKUP(N$23,$L$7:$M$9,2,FALSE)+1,FALSE)/VLOOKUP(DATE(YEAR($B48),MONTH($B48)-1,1),Índices!$B$6:$F$500,VLOOKUP(N$23,$L$7:$M$9,2,FALSE)+1,FALSE)*M48</f>
        <v>215796.98154543148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3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3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W48" s="224"/>
      <c r="X48" s="99">
        <f>VLOOKUP($B$48,Índices!$B$6:$F$500,VLOOKUP(X$23,$L$7:$M$9,2,FALSE)+1,FALSE)/VLOOKUP(DATE(YEAR($B48),MONTH($B48)-1,1),Índices!$B$6:$F$500,VLOOKUP(X$23,$L$7:$M$9,2,FALSE)+1,FALSE)*W48</f>
        <v>0</v>
      </c>
      <c r="Z48" s="68"/>
    </row>
    <row r="49" spans="2:30" ht="14.25">
      <c r="C49" s="1380">
        <f t="shared" ref="C49:P49" si="3">SUM(C25:C48)</f>
        <v>574992.91999999993</v>
      </c>
      <c r="D49" s="1381">
        <f t="shared" si="3"/>
        <v>602230.75017009256</v>
      </c>
      <c r="E49" s="1380">
        <f t="shared" si="3"/>
        <v>0</v>
      </c>
      <c r="F49" s="1381">
        <f t="shared" si="3"/>
        <v>0</v>
      </c>
      <c r="G49" s="1380">
        <f t="shared" si="3"/>
        <v>0</v>
      </c>
      <c r="H49" s="1381">
        <f t="shared" si="3"/>
        <v>0</v>
      </c>
      <c r="I49" s="1382">
        <f>SUM(I24:I48)</f>
        <v>0</v>
      </c>
      <c r="J49" s="1382">
        <f>SUM(J24:J48)</f>
        <v>0</v>
      </c>
      <c r="K49" s="1383">
        <f t="shared" si="3"/>
        <v>0</v>
      </c>
      <c r="L49" s="1384">
        <f t="shared" si="3"/>
        <v>0</v>
      </c>
      <c r="M49" s="1385">
        <f t="shared" si="3"/>
        <v>2559632.4280214091</v>
      </c>
      <c r="N49" s="1386">
        <f t="shared" si="3"/>
        <v>2719246.1550966688</v>
      </c>
      <c r="O49" s="1385">
        <f t="shared" si="3"/>
        <v>0</v>
      </c>
      <c r="P49" s="1386">
        <f t="shared" si="3"/>
        <v>0</v>
      </c>
      <c r="Q49" s="1385">
        <f t="shared" ref="Q49:R49" si="4">SUM(Q25:Q48)</f>
        <v>0</v>
      </c>
      <c r="R49" s="1386">
        <f t="shared" si="4"/>
        <v>0</v>
      </c>
      <c r="S49" s="1385">
        <f>-S51</f>
        <v>0</v>
      </c>
      <c r="T49" s="1386">
        <f t="shared" ref="T49:V49" si="5">SUM(T25:T48)</f>
        <v>0</v>
      </c>
      <c r="U49" s="1385">
        <f>-S52</f>
        <v>0</v>
      </c>
      <c r="V49" s="1386">
        <f t="shared" si="5"/>
        <v>0</v>
      </c>
      <c r="W49" s="1385">
        <f>SUM(W29:W48)</f>
        <v>59776.84</v>
      </c>
      <c r="X49" s="1386">
        <f t="shared" ref="X49" si="6">SUM(X25:X48)</f>
        <v>62622.378336678128</v>
      </c>
      <c r="Z49" s="68"/>
    </row>
    <row r="50" spans="2:30" ht="14.25">
      <c r="J50" s="68" t="s">
        <v>848</v>
      </c>
      <c r="M50" s="198"/>
      <c r="N50" s="107"/>
      <c r="S50" s="1319"/>
      <c r="T50" s="68" t="s">
        <v>1368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56" t="s">
        <v>2086</v>
      </c>
      <c r="D53" s="1857"/>
      <c r="E53" s="1856" t="s">
        <v>1369</v>
      </c>
      <c r="F53" s="1857"/>
      <c r="G53" s="1856" t="s">
        <v>1370</v>
      </c>
      <c r="H53" s="1857"/>
      <c r="I53" s="1856" t="s">
        <v>1371</v>
      </c>
      <c r="J53" s="1857"/>
      <c r="K53" s="1852" t="s">
        <v>1372</v>
      </c>
      <c r="L53" s="1853"/>
      <c r="M53" s="1856" t="s">
        <v>1373</v>
      </c>
      <c r="N53" s="1857"/>
      <c r="O53" s="1856" t="s">
        <v>2088</v>
      </c>
      <c r="P53" s="1857"/>
      <c r="Q53" s="1856" t="s">
        <v>2089</v>
      </c>
      <c r="R53" s="1857"/>
      <c r="S53" s="1856" t="s">
        <v>1374</v>
      </c>
      <c r="T53" s="1857"/>
      <c r="U53" s="1856" t="s">
        <v>1375</v>
      </c>
      <c r="V53" s="1857"/>
      <c r="W53" s="1856" t="s">
        <v>36</v>
      </c>
      <c r="X53" s="1857"/>
      <c r="Z53" s="68"/>
    </row>
    <row r="54" spans="2:30" ht="14.25">
      <c r="C54" s="1376" t="s">
        <v>1367</v>
      </c>
      <c r="D54" s="1377" t="s">
        <v>772</v>
      </c>
      <c r="E54" s="1376" t="s">
        <v>1367</v>
      </c>
      <c r="F54" s="1377" t="s">
        <v>772</v>
      </c>
      <c r="G54" s="1376" t="s">
        <v>1367</v>
      </c>
      <c r="H54" s="1377" t="s">
        <v>772</v>
      </c>
      <c r="I54" s="1376" t="s">
        <v>1367</v>
      </c>
      <c r="J54" s="1377" t="s">
        <v>772</v>
      </c>
      <c r="K54" s="1374" t="s">
        <v>1367</v>
      </c>
      <c r="L54" s="1375" t="s">
        <v>772</v>
      </c>
      <c r="M54" s="1376" t="s">
        <v>1367</v>
      </c>
      <c r="N54" s="1377" t="s">
        <v>772</v>
      </c>
      <c r="O54" s="1376" t="s">
        <v>1367</v>
      </c>
      <c r="P54" s="1377" t="s">
        <v>772</v>
      </c>
      <c r="Q54" s="1376" t="s">
        <v>1367</v>
      </c>
      <c r="R54" s="1377" t="s">
        <v>772</v>
      </c>
      <c r="S54" s="1376" t="s">
        <v>1367</v>
      </c>
      <c r="T54" s="1377" t="s">
        <v>772</v>
      </c>
      <c r="U54" s="1376" t="s">
        <v>1367</v>
      </c>
      <c r="V54" s="1377" t="s">
        <v>772</v>
      </c>
      <c r="W54" s="1376" t="s">
        <v>1367</v>
      </c>
      <c r="X54" s="1387" t="s">
        <v>1346</v>
      </c>
      <c r="Z54" s="68"/>
    </row>
    <row r="55" spans="2:30" ht="14.25">
      <c r="B55" s="267">
        <f t="shared" ref="B55:B79" si="7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7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7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7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7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7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7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7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7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7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7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7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7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7"/>
        <v>44440</v>
      </c>
      <c r="C68" s="207">
        <f ca="1">Encargos!C31</f>
        <v>-529.62004482664634</v>
      </c>
      <c r="D68" s="99">
        <f ca="1">VLOOKUP($B$79,Índices!$B$6:$F$500,VLOOKUP(D$54,$L$7:$M$9,2,FALSE)+1,FALSE)/VLOOKUP(DATE(YEAR($B68),MONTH($B68)-1,1),Índices!$B$6:$F$500,VLOOKUP(D$54,$L$7:$M$9,2,FALSE)+1,FALSE)*C68</f>
        <v>-575.84152888277265</v>
      </c>
      <c r="E68" s="207">
        <f ca="1">Encargos!D31</f>
        <v>-616.7248142707831</v>
      </c>
      <c r="F68" s="99">
        <f ca="1">VLOOKUP($B$79,Índices!$B$6:$F$500,VLOOKUP(F$54,$L$7:$M$9,2,FALSE)+1,FALSE)/VLOOKUP(DATE(YEAR($B68),MONTH($B68)-1,1),Índices!$B$6:$F$500,VLOOKUP(F$54,$L$7:$M$9,2,FALSE)+1,FALSE)*E68</f>
        <v>-670.54818528606427</v>
      </c>
      <c r="G68" s="207">
        <f ca="1">Encargos!E31</f>
        <v>10.902385225501348</v>
      </c>
      <c r="H68" s="225">
        <f ca="1">VLOOKUP($B$48,Índices!$B$6:$F$500,VLOOKUP(H$54,$L$7:$M$9,2,FALSE)+1,FALSE)/VLOOKUP(DATE(YEAR($B68),MONTH($B68)-1,1),Índices!$B$6:$F$500,VLOOKUP(H$54,$L$7:$M$9,2,FALSE)+1,FALSE)*G68</f>
        <v>11.853868141974422</v>
      </c>
      <c r="I68" s="207">
        <f ca="1">Encargos!F31</f>
        <v>-2777.2926555107115</v>
      </c>
      <c r="J68" s="225">
        <f ca="1">VLOOKUP($B$48,Índices!$B$6:$F$500,VLOOKUP(J$54,$L$7:$M$9,2,FALSE)+1,FALSE)/VLOOKUP(DATE(YEAR($B68),MONTH($B68)-1,1),Índices!$B$6:$F$500,VLOOKUP(J$54,$L$7:$M$9,2,FALSE)+1,FALSE)*I68</f>
        <v>-3019.6750756056736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-890.47875299226143</v>
      </c>
      <c r="N68" s="225">
        <f ca="1">VLOOKUP($B$48,Índices!$B$6:$F$500,VLOOKUP(N$54,$L$7:$M$9,2,FALSE)+1,FALSE)/VLOOKUP(DATE(YEAR($B68),MONTH($B68)-1,1),Índices!$B$6:$F$500,VLOOKUP(N$54,$L$7:$M$9,2,FALSE)+1,FALSE)*M68</f>
        <v>-968.19342766478655</v>
      </c>
      <c r="O68" s="207">
        <f ca="1">Encargos!H31</f>
        <v>1025.7343137883872</v>
      </c>
      <c r="P68" s="225">
        <f ca="1">VLOOKUP($B$48,Índices!$B$6:$F$500,VLOOKUP(P$54,$L$7:$M$9,2,FALSE)+1,FALSE)/VLOOKUP(DATE(YEAR($B68),MONTH($B68)-1,1),Índices!$B$6:$F$500,VLOOKUP(P$54,$L$7:$M$9,2,FALSE)+1,FALSE)*O68</f>
        <v>1115.2531352410572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7"/>
        <v>44470</v>
      </c>
      <c r="C69" s="207">
        <f ca="1">Encargos!C32</f>
        <v>-2709.5824414817616</v>
      </c>
      <c r="D69" s="99">
        <f ca="1">VLOOKUP($B$79,Índices!$B$6:$F$500,VLOOKUP(D$54,$L$7:$M$9,2,FALSE)+1,FALSE)/VLOOKUP(DATE(YEAR($B69),MONTH($B69)-1,1),Índices!$B$6:$F$500,VLOOKUP(D$54,$L$7:$M$9,2,FALSE)+1,FALSE)*C69</f>
        <v>-2912.2742926157689</v>
      </c>
      <c r="E69" s="207">
        <f ca="1">Encargos!D32</f>
        <v>-1984.1336043824704</v>
      </c>
      <c r="F69" s="99">
        <f ca="1">VLOOKUP($B$79,Índices!$B$6:$F$500,VLOOKUP(F$54,$L$7:$M$9,2,FALSE)+1,FALSE)/VLOOKUP(DATE(YEAR($B69),MONTH($B69)-1,1),Índices!$B$6:$F$500,VLOOKUP(F$54,$L$7:$M$9,2,FALSE)+1,FALSE)*E69</f>
        <v>-2132.5578438566322</v>
      </c>
      <c r="G69" s="207">
        <f ca="1">Encargos!E32</f>
        <v>-43.474468268002056</v>
      </c>
      <c r="H69" s="225">
        <f ca="1">VLOOKUP($B$48,Índices!$B$6:$F$500,VLOOKUP(H$54,$L$7:$M$9,2,FALSE)+1,FALSE)/VLOOKUP(DATE(YEAR($B69),MONTH($B69)-1,1),Índices!$B$6:$F$500,VLOOKUP(H$54,$L$7:$M$9,2,FALSE)+1,FALSE)*G69</f>
        <v>-46.726600521076854</v>
      </c>
      <c r="I69" s="207">
        <f ca="1">Encargos!F32</f>
        <v>-14208.871978580952</v>
      </c>
      <c r="J69" s="225">
        <f ca="1">VLOOKUP($B$48,Índices!$B$6:$F$500,VLOOKUP(J$54,$L$7:$M$9,2,FALSE)+1,FALSE)/VLOOKUP(DATE(YEAR($B69),MONTH($B69)-1,1),Índices!$B$6:$F$500,VLOOKUP(J$54,$L$7:$M$9,2,FALSE)+1,FALSE)*I69</f>
        <v>-15271.774704762529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-2957.0861683981202</v>
      </c>
      <c r="N69" s="225">
        <f ca="1">VLOOKUP($B$48,Índices!$B$6:$F$500,VLOOKUP(N$54,$L$7:$M$9,2,FALSE)+1,FALSE)/VLOOKUP(DATE(YEAR($B69),MONTH($B69)-1,1),Índices!$B$6:$F$500,VLOOKUP(N$54,$L$7:$M$9,2,FALSE)+1,FALSE)*M69</f>
        <v>-3178.2926761829908</v>
      </c>
      <c r="O69" s="207">
        <f ca="1">Encargos!H32</f>
        <v>1106.3770181670261</v>
      </c>
      <c r="P69" s="225">
        <f ca="1">VLOOKUP($B$48,Índices!$B$6:$F$500,VLOOKUP(P$54,$L$7:$M$9,2,FALSE)+1,FALSE)/VLOOKUP(DATE(YEAR($B69),MONTH($B69)-1,1),Índices!$B$6:$F$500,VLOOKUP(P$54,$L$7:$M$9,2,FALSE)+1,FALSE)*O69</f>
        <v>1189.1401784352786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7"/>
        <v>44501</v>
      </c>
      <c r="C70" s="207">
        <f ca="1">Encargos!C33</f>
        <v>-7470.1575058827875</v>
      </c>
      <c r="D70" s="99">
        <f ca="1">VLOOKUP($B$79,Índices!$B$6:$F$500,VLOOKUP(D$54,$L$7:$M$9,2,FALSE)+1,FALSE)/VLOOKUP(DATE(YEAR($B70),MONTH($B70)-1,1),Índices!$B$6:$F$500,VLOOKUP(D$54,$L$7:$M$9,2,FALSE)+1,FALSE)*C70</f>
        <v>-7929.8472852266359</v>
      </c>
      <c r="E70" s="207">
        <f ca="1">Encargos!D33</f>
        <v>-4649.2760590126272</v>
      </c>
      <c r="F70" s="99">
        <f ca="1">VLOOKUP($B$79,Índices!$B$6:$F$500,VLOOKUP(F$54,$L$7:$M$9,2,FALSE)+1,FALSE)/VLOOKUP(DATE(YEAR($B70),MONTH($B70)-1,1),Índices!$B$6:$F$500,VLOOKUP(F$54,$L$7:$M$9,2,FALSE)+1,FALSE)*E70</f>
        <v>-4935.377748835509</v>
      </c>
      <c r="G70" s="207">
        <f ca="1">Encargos!E33</f>
        <v>-203.50566115639594</v>
      </c>
      <c r="H70" s="225">
        <f ca="1">VLOOKUP($B$48,Índices!$B$6:$F$500,VLOOKUP(H$54,$L$7:$M$9,2,FALSE)+1,FALSE)/VLOOKUP(DATE(YEAR($B70),MONTH($B70)-1,1),Índices!$B$6:$F$500,VLOOKUP(H$54,$L$7:$M$9,2,FALSE)+1,FALSE)*G70</f>
        <v>-216.02875352741182</v>
      </c>
      <c r="I70" s="207">
        <f ca="1">Encargos!F33</f>
        <v>-39173.014275544556</v>
      </c>
      <c r="J70" s="225">
        <f ca="1">VLOOKUP($B$48,Índices!$B$6:$F$500,VLOOKUP(J$54,$L$7:$M$9,2,FALSE)+1,FALSE)/VLOOKUP(DATE(YEAR($B70),MONTH($B70)-1,1),Índices!$B$6:$F$500,VLOOKUP(J$54,$L$7:$M$9,2,FALSE)+1,FALSE)*I70</f>
        <v>-41583.597221670869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-6902.2992737431487</v>
      </c>
      <c r="N70" s="225">
        <f ca="1">VLOOKUP($B$48,Índices!$B$6:$F$500,VLOOKUP(N$54,$L$7:$M$9,2,FALSE)+1,FALSE)/VLOOKUP(DATE(YEAR($B70),MONTH($B70)-1,1),Índices!$B$6:$F$500,VLOOKUP(N$54,$L$7:$M$9,2,FALSE)+1,FALSE)*M70</f>
        <v>-7327.0448601131156</v>
      </c>
      <c r="O70" s="207">
        <f ca="1">Encargos!H33</f>
        <v>4314.9096956709254</v>
      </c>
      <c r="P70" s="225">
        <f ca="1">VLOOKUP($B$48,Índices!$B$6:$F$500,VLOOKUP(P$54,$L$7:$M$9,2,FALSE)+1,FALSE)/VLOOKUP(DATE(YEAR($B70),MONTH($B70)-1,1),Índices!$B$6:$F$500,VLOOKUP(P$54,$L$7:$M$9,2,FALSE)+1,FALSE)*O70</f>
        <v>4580.4355409197797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7"/>
        <v>44531</v>
      </c>
      <c r="C71" s="207">
        <f ca="1">Encargos!C34</f>
        <v>8897.6004664551292</v>
      </c>
      <c r="D71" s="99">
        <f ca="1">VLOOKUP($B$79,Índices!$B$6:$F$500,VLOOKUP(D$54,$L$7:$M$9,2,FALSE)+1,FALSE)/VLOOKUP(DATE(YEAR($B71),MONTH($B71)-1,1),Índices!$B$6:$F$500,VLOOKUP(D$54,$L$7:$M$9,2,FALSE)+1,FALSE)*C71</f>
        <v>9356.2398167321207</v>
      </c>
      <c r="E71" s="207">
        <f ca="1">Encargos!D34</f>
        <v>5673.6853459182312</v>
      </c>
      <c r="F71" s="99">
        <f ca="1">VLOOKUP($B$79,Índices!$B$6:$F$500,VLOOKUP(F$54,$L$7:$M$9,2,FALSE)+1,FALSE)/VLOOKUP(DATE(YEAR($B71),MONTH($B71)-1,1),Índices!$B$6:$F$500,VLOOKUP(F$54,$L$7:$M$9,2,FALSE)+1,FALSE)*E71</f>
        <v>5966.1434497113269</v>
      </c>
      <c r="G71" s="207">
        <f ca="1">Encargos!E34</f>
        <v>208.27218589733184</v>
      </c>
      <c r="H71" s="225">
        <f ca="1">VLOOKUP($B$48,Índices!$B$6:$F$500,VLOOKUP(H$54,$L$7:$M$9,2,FALSE)+1,FALSE)/VLOOKUP(DATE(YEAR($B71),MONTH($B71)-1,1),Índices!$B$6:$F$500,VLOOKUP(H$54,$L$7:$M$9,2,FALSE)+1,FALSE)*G71</f>
        <v>219.00786911674007</v>
      </c>
      <c r="I71" s="207">
        <f ca="1">Encargos!F34</f>
        <v>46658.431206581881</v>
      </c>
      <c r="J71" s="225">
        <f ca="1">VLOOKUP($B$48,Índices!$B$6:$F$500,VLOOKUP(J$54,$L$7:$M$9,2,FALSE)+1,FALSE)/VLOOKUP(DATE(YEAR($B71),MONTH($B71)-1,1),Índices!$B$6:$F$500,VLOOKUP(J$54,$L$7:$M$9,2,FALSE)+1,FALSE)*I71</f>
        <v>49063.505771820943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8614.9158578704228</v>
      </c>
      <c r="N71" s="225">
        <f ca="1">VLOOKUP($B$48,Índices!$B$6:$F$500,VLOOKUP(N$54,$L$7:$M$9,2,FALSE)+1,FALSE)/VLOOKUP(DATE(YEAR($B71),MONTH($B71)-1,1),Índices!$B$6:$F$500,VLOOKUP(N$54,$L$7:$M$9,2,FALSE)+1,FALSE)*M71</f>
        <v>9058.9838317742688</v>
      </c>
      <c r="O71" s="207">
        <f ca="1">Encargos!H34</f>
        <v>5084.4863619317912</v>
      </c>
      <c r="P71" s="225">
        <f ca="1">VLOOKUP($B$48,Índices!$B$6:$F$500,VLOOKUP(P$54,$L$7:$M$9,2,FALSE)+1,FALSE)/VLOOKUP(DATE(YEAR($B71),MONTH($B71)-1,1),Índices!$B$6:$F$500,VLOOKUP(P$54,$L$7:$M$9,2,FALSE)+1,FALSE)*O71</f>
        <v>5346.5733740785263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7"/>
        <v>44562</v>
      </c>
      <c r="C72" s="207">
        <f ca="1">Encargos!C35</f>
        <v>-80.952655811415752</v>
      </c>
      <c r="D72" s="99">
        <f ca="1">VLOOKUP($B$79,Índices!$B$6:$F$500,VLOOKUP(D$54,$L$7:$M$9,2,FALSE)+1,FALSE)/VLOOKUP(DATE(YEAR($B72),MONTH($B72)-1,1),Índices!$B$6:$F$500,VLOOKUP(D$54,$L$7:$M$9,2,FALSE)+1,FALSE)*C72</f>
        <v>-84.508597024509598</v>
      </c>
      <c r="E72" s="207">
        <f ca="1">Encargos!D35</f>
        <v>118.25479156435176</v>
      </c>
      <c r="F72" s="99">
        <f ca="1">VLOOKUP($B$79,Índices!$B$6:$F$500,VLOOKUP(F$54,$L$7:$M$9,2,FALSE)+1,FALSE)/VLOOKUP(DATE(YEAR($B72),MONTH($B72)-1,1),Índices!$B$6:$F$500,VLOOKUP(F$54,$L$7:$M$9,2,FALSE)+1,FALSE)*E72</f>
        <v>123.44927323706055</v>
      </c>
      <c r="G72" s="207">
        <f ca="1">Encargos!E35</f>
        <v>-40.749789298614814</v>
      </c>
      <c r="H72" s="225">
        <f ca="1">VLOOKUP($B$48,Índices!$B$6:$F$500,VLOOKUP(H$54,$L$7:$M$9,2,FALSE)+1,FALSE)/VLOOKUP(DATE(YEAR($B72),MONTH($B72)-1,1),Índices!$B$6:$F$500,VLOOKUP(H$54,$L$7:$M$9,2,FALSE)+1,FALSE)*G72</f>
        <v>-42.539772020483724</v>
      </c>
      <c r="I72" s="207">
        <f ca="1">Encargos!F35</f>
        <v>-424.51039877452422</v>
      </c>
      <c r="J72" s="225">
        <f ca="1">VLOOKUP($B$48,Índices!$B$6:$F$500,VLOOKUP(J$54,$L$7:$M$9,2,FALSE)+1,FALSE)/VLOOKUP(DATE(YEAR($B72),MONTH($B72)-1,1),Índices!$B$6:$F$500,VLOOKUP(J$54,$L$7:$M$9,2,FALSE)+1,FALSE)*I72</f>
        <v>-443.15752044408117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378.70396433488349</v>
      </c>
      <c r="N72" s="225">
        <f ca="1">VLOOKUP($B$48,Índices!$B$6:$F$500,VLOOKUP(N$54,$L$7:$M$9,2,FALSE)+1,FALSE)/VLOOKUP(DATE(YEAR($B72),MONTH($B72)-1,1),Índices!$B$6:$F$500,VLOOKUP(N$54,$L$7:$M$9,2,FALSE)+1,FALSE)*M72</f>
        <v>395.33898416026807</v>
      </c>
      <c r="O72" s="207">
        <f ca="1">Encargos!H35</f>
        <v>7114.6888211040641</v>
      </c>
      <c r="P72" s="225">
        <f ca="1">VLOOKUP($B$48,Índices!$B$6:$F$500,VLOOKUP(P$54,$L$7:$M$9,2,FALSE)+1,FALSE)/VLOOKUP(DATE(YEAR($B72),MONTH($B72)-1,1),Índices!$B$6:$F$500,VLOOKUP(P$54,$L$7:$M$9,2,FALSE)+1,FALSE)*O72</f>
        <v>7427.2099477269958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7"/>
        <v>44593</v>
      </c>
      <c r="C73" s="207">
        <f ca="1">Encargos!C36</f>
        <v>547.00100637506694</v>
      </c>
      <c r="D73" s="99">
        <f ca="1">VLOOKUP($B$79,Índices!$B$6:$F$500,VLOOKUP(D$54,$L$7:$M$9,2,FALSE)+1,FALSE)/VLOOKUP(DATE(YEAR($B73),MONTH($B73)-1,1),Índices!$B$6:$F$500,VLOOKUP(D$54,$L$7:$M$9,2,FALSE)+1,FALSE)*C73</f>
        <v>567.96151520609544</v>
      </c>
      <c r="E73" s="207">
        <f ca="1">Encargos!D36</f>
        <v>292.4276406904246</v>
      </c>
      <c r="F73" s="99">
        <f ca="1">VLOOKUP($B$79,Índices!$B$6:$F$500,VLOOKUP(F$54,$L$7:$M$9,2,FALSE)+1,FALSE)/VLOOKUP(DATE(YEAR($B73),MONTH($B73)-1,1),Índices!$B$6:$F$500,VLOOKUP(F$54,$L$7:$M$9,2,FALSE)+1,FALSE)*E73</f>
        <v>303.63316330133847</v>
      </c>
      <c r="G73" s="207">
        <f ca="1">Encargos!E36</f>
        <v>-17.785063124206317</v>
      </c>
      <c r="H73" s="225">
        <f ca="1">VLOOKUP($B$48,Índices!$B$6:$F$500,VLOOKUP(H$54,$L$7:$M$9,2,FALSE)+1,FALSE)/VLOOKUP(DATE(YEAR($B73),MONTH($B73)-1,1),Índices!$B$6:$F$500,VLOOKUP(H$54,$L$7:$M$9,2,FALSE)+1,FALSE)*G73</f>
        <v>-18.466568218951455</v>
      </c>
      <c r="I73" s="207">
        <f ca="1">Encargos!F36</f>
        <v>2868.4372738602106</v>
      </c>
      <c r="J73" s="225">
        <f ca="1">VLOOKUP($B$48,Índices!$B$6:$F$500,VLOOKUP(J$54,$L$7:$M$9,2,FALSE)+1,FALSE)/VLOOKUP(DATE(YEAR($B73),MONTH($B73)-1,1),Índices!$B$6:$F$500,VLOOKUP(J$54,$L$7:$M$9,2,FALSE)+1,FALSE)*I73</f>
        <v>2978.3528025507967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778.28989432644448</v>
      </c>
      <c r="N73" s="225">
        <f ca="1">VLOOKUP($B$48,Índices!$B$6:$F$500,VLOOKUP(N$54,$L$7:$M$9,2,FALSE)+1,FALSE)/VLOOKUP(DATE(YEAR($B73),MONTH($B73)-1,1),Índices!$B$6:$F$500,VLOOKUP(N$54,$L$7:$M$9,2,FALSE)+1,FALSE)*M73</f>
        <v>808.11315244298248</v>
      </c>
      <c r="O73" s="207">
        <f ca="1">Encargos!H36</f>
        <v>6511.9677544872393</v>
      </c>
      <c r="P73" s="225">
        <f ca="1">VLOOKUP($B$48,Índices!$B$6:$F$500,VLOOKUP(P$54,$L$7:$M$9,2,FALSE)+1,FALSE)/VLOOKUP(DATE(YEAR($B73),MONTH($B73)-1,1),Índices!$B$6:$F$500,VLOOKUP(P$54,$L$7:$M$9,2,FALSE)+1,FALSE)*O73</f>
        <v>6761.4995762471999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7"/>
        <v>44621</v>
      </c>
      <c r="C74" s="207">
        <f ca="1">Encargos!C37</f>
        <v>-12699.116388118331</v>
      </c>
      <c r="D74" s="99">
        <f ca="1">VLOOKUP($B$79,Índices!$B$6:$F$500,VLOOKUP(D$54,$L$7:$M$9,2,FALSE)+1,FALSE)/VLOOKUP(DATE(YEAR($B74),MONTH($B74)-1,1),Índices!$B$6:$F$500,VLOOKUP(D$54,$L$7:$M$9,2,FALSE)+1,FALSE)*C74</f>
        <v>-13053.881059871794</v>
      </c>
      <c r="E74" s="207">
        <f ca="1">Encargos!D37</f>
        <v>-7905.2681554243609</v>
      </c>
      <c r="F74" s="99">
        <f ca="1">VLOOKUP($B$79,Índices!$B$6:$F$500,VLOOKUP(F$54,$L$7:$M$9,2,FALSE)+1,FALSE)/VLOOKUP(DATE(YEAR($B74),MONTH($B74)-1,1),Índices!$B$6:$F$500,VLOOKUP(F$54,$L$7:$M$9,2,FALSE)+1,FALSE)*E74</f>
        <v>-8126.1110689444076</v>
      </c>
      <c r="G74" s="207">
        <f ca="1">Encargos!E37</f>
        <v>-382.12885878881571</v>
      </c>
      <c r="H74" s="225">
        <f ca="1">VLOOKUP($B$48,Índices!$B$6:$F$500,VLOOKUP(H$54,$L$7:$M$9,2,FALSE)+1,FALSE)/VLOOKUP(DATE(YEAR($B74),MONTH($B74)-1,1),Índices!$B$6:$F$500,VLOOKUP(H$54,$L$7:$M$9,2,FALSE)+1,FALSE)*G74</f>
        <v>-392.80407547417332</v>
      </c>
      <c r="I74" s="207">
        <f ca="1">Encargos!F37</f>
        <v>-66593.33048423857</v>
      </c>
      <c r="J74" s="225">
        <f ca="1">VLOOKUP($B$48,Índices!$B$6:$F$500,VLOOKUP(J$54,$L$7:$M$9,2,FALSE)+1,FALSE)/VLOOKUP(DATE(YEAR($B74),MONTH($B74)-1,1),Índices!$B$6:$F$500,VLOOKUP(J$54,$L$7:$M$9,2,FALSE)+1,FALSE)*I74</f>
        <v>-68453.693072325012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-11401.649222346052</v>
      </c>
      <c r="N74" s="225">
        <f ca="1">VLOOKUP($B$48,Índices!$B$6:$F$500,VLOOKUP(N$54,$L$7:$M$9,2,FALSE)+1,FALSE)/VLOOKUP(DATE(YEAR($B74),MONTH($B74)-1,1),Índices!$B$6:$F$500,VLOOKUP(N$54,$L$7:$M$9,2,FALSE)+1,FALSE)*M74</f>
        <v>-11720.167631044018</v>
      </c>
      <c r="O74" s="207">
        <f ca="1">Encargos!H37</f>
        <v>7311.2096442927286</v>
      </c>
      <c r="P74" s="225">
        <f ca="1">VLOOKUP($B$48,Índices!$B$6:$F$500,VLOOKUP(P$54,$L$7:$M$9,2,FALSE)+1,FALSE)/VLOOKUP(DATE(YEAR($B74),MONTH($B74)-1,1),Índices!$B$6:$F$500,VLOOKUP(P$54,$L$7:$M$9,2,FALSE)+1,FALSE)*O74</f>
        <v>7515.4568383734959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7"/>
        <v>44652</v>
      </c>
      <c r="C75" s="207">
        <f ca="1">Encargos!C38</f>
        <v>5213.3084230756212</v>
      </c>
      <c r="D75" s="99">
        <f ca="1">VLOOKUP($B$79,Índices!$B$6:$F$500,VLOOKUP(D$54,$L$7:$M$9,2,FALSE)+1,FALSE)/VLOOKUP(DATE(YEAR($B75),MONTH($B75)-1,1),Índices!$B$6:$F$500,VLOOKUP(D$54,$L$7:$M$9,2,FALSE)+1,FALSE)*C75</f>
        <v>5273.5147135790212</v>
      </c>
      <c r="E75" s="207">
        <f ca="1">Encargos!D38</f>
        <v>2804.2036970219488</v>
      </c>
      <c r="F75" s="99">
        <f ca="1">VLOOKUP($B$79,Índices!$B$6:$F$500,VLOOKUP(F$54,$L$7:$M$9,2,FALSE)+1,FALSE)/VLOOKUP(DATE(YEAR($B75),MONTH($B75)-1,1),Índices!$B$6:$F$500,VLOOKUP(F$54,$L$7:$M$9,2,FALSE)+1,FALSE)*E75</f>
        <v>2836.5882575950995</v>
      </c>
      <c r="G75" s="207">
        <f ca="1">Encargos!E38</f>
        <v>133.49942992478191</v>
      </c>
      <c r="H75" s="225">
        <f ca="1">VLOOKUP($B$48,Índices!$B$6:$F$500,VLOOKUP(H$54,$L$7:$M$9,2,FALSE)+1,FALSE)/VLOOKUP(DATE(YEAR($B75),MONTH($B75)-1,1),Índices!$B$6:$F$500,VLOOKUP(H$54,$L$7:$M$9,2,FALSE)+1,FALSE)*G75</f>
        <v>135.04115828762215</v>
      </c>
      <c r="I75" s="207">
        <f ca="1">Encargos!F38</f>
        <v>27338.246230973629</v>
      </c>
      <c r="J75" s="225">
        <f ca="1">VLOOKUP($B$48,Índices!$B$6:$F$500,VLOOKUP(J$54,$L$7:$M$9,2,FALSE)+1,FALSE)/VLOOKUP(DATE(YEAR($B75),MONTH($B75)-1,1),Índices!$B$6:$F$500,VLOOKUP(J$54,$L$7:$M$9,2,FALSE)+1,FALSE)*I75</f>
        <v>27653.964055599175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4637.9093603657966</v>
      </c>
      <c r="N75" s="225">
        <f ca="1">VLOOKUP($B$48,Índices!$B$6:$F$500,VLOOKUP(N$54,$L$7:$M$9,2,FALSE)+1,FALSE)/VLOOKUP(DATE(YEAR($B75),MONTH($B75)-1,1),Índices!$B$6:$F$500,VLOOKUP(N$54,$L$7:$M$9,2,FALSE)+1,FALSE)*M75</f>
        <v>4691.470610845945</v>
      </c>
      <c r="O75" s="207">
        <f ca="1">Encargos!H38</f>
        <v>2420.6790513031738</v>
      </c>
      <c r="P75" s="225">
        <f ca="1">VLOOKUP($B$48,Índices!$B$6:$F$500,VLOOKUP(P$54,$L$7:$M$9,2,FALSE)+1,FALSE)/VLOOKUP(DATE(YEAR($B75),MONTH($B75)-1,1),Índices!$B$6:$F$500,VLOOKUP(P$54,$L$7:$M$9,2,FALSE)+1,FALSE)*O75</f>
        <v>2448.6344482125842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7"/>
        <v>44682</v>
      </c>
      <c r="C76" s="207">
        <f ca="1">Encargos!C39</f>
        <v>1074.3743187748769</v>
      </c>
      <c r="D76" s="99">
        <f ca="1">VLOOKUP($B$79,Índices!$B$6:$F$500,VLOOKUP(D$54,$L$7:$M$9,2,FALSE)+1,FALSE)/VLOOKUP(DATE(YEAR($B76),MONTH($B76)-1,1),Índices!$B$6:$F$500,VLOOKUP(D$54,$L$7:$M$9,2,FALSE)+1,FALSE)*C76</f>
        <v>1075.3825630422705</v>
      </c>
      <c r="E76" s="207">
        <f ca="1">Encargos!D39</f>
        <v>42.421315682906425</v>
      </c>
      <c r="F76" s="99">
        <f ca="1">VLOOKUP($B$79,Índices!$B$6:$F$500,VLOOKUP(F$54,$L$7:$M$9,2,FALSE)+1,FALSE)/VLOOKUP(DATE(YEAR($B76),MONTH($B76)-1,1),Índices!$B$6:$F$500,VLOOKUP(F$54,$L$7:$M$9,2,FALSE)+1,FALSE)*E76</f>
        <v>42.461125875318089</v>
      </c>
      <c r="G76" s="207">
        <f ca="1">Encargos!E39</f>
        <v>40.175350997925307</v>
      </c>
      <c r="H76" s="225">
        <f ca="1">VLOOKUP($B$48,Índices!$B$6:$F$500,VLOOKUP(H$54,$L$7:$M$9,2,FALSE)+1,FALSE)/VLOOKUP(DATE(YEAR($B76),MONTH($B76)-1,1),Índices!$B$6:$F$500,VLOOKUP(H$54,$L$7:$M$9,2,FALSE)+1,FALSE)*G76</f>
        <v>40.21305346961168</v>
      </c>
      <c r="I76" s="207">
        <f ca="1">Encargos!F39</f>
        <v>5633.948212406016</v>
      </c>
      <c r="J76" s="225">
        <f ca="1">VLOOKUP($B$48,Índices!$B$6:$F$500,VLOOKUP(J$54,$L$7:$M$9,2,FALSE)+1,FALSE)/VLOOKUP(DATE(YEAR($B76),MONTH($B76)-1,1),Índices!$B$6:$F$500,VLOOKUP(J$54,$L$7:$M$9,2,FALSE)+1,FALSE)*I76</f>
        <v>5639.2353789816534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526.05028862509062</v>
      </c>
      <c r="N76" s="225">
        <f ca="1">VLOOKUP($B$48,Índices!$B$6:$F$500,VLOOKUP(N$54,$L$7:$M$9,2,FALSE)+1,FALSE)/VLOOKUP(DATE(YEAR($B76),MONTH($B76)-1,1),Índices!$B$6:$F$500,VLOOKUP(N$54,$L$7:$M$9,2,FALSE)+1,FALSE)*M76</f>
        <v>526.54395938638709</v>
      </c>
      <c r="O76" s="207">
        <f ca="1">Encargos!H39</f>
        <v>1842.7461056508328</v>
      </c>
      <c r="P76" s="225">
        <f ca="1">VLOOKUP($B$48,Índices!$B$6:$F$500,VLOOKUP(P$54,$L$7:$M$9,2,FALSE)+1,FALSE)/VLOOKUP(DATE(YEAR($B76),MONTH($B76)-1,1),Índices!$B$6:$F$500,VLOOKUP(P$54,$L$7:$M$9,2,FALSE)+1,FALSE)*O76</f>
        <v>1844.4754267680787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7"/>
        <v>44713</v>
      </c>
      <c r="C77" s="207">
        <f ca="1">Encargos!C40</f>
        <v>182.14538746714243</v>
      </c>
      <c r="D77" s="99">
        <f ca="1">VLOOKUP($B$79,Índices!$B$6:$F$500,VLOOKUP(D$54,$L$7:$M$9,2,FALSE)+1,FALSE)/VLOOKUP(DATE(YEAR($B77),MONTH($B77)-1,1),Índices!$B$6:$F$500,VLOOKUP(D$54,$L$7:$M$9,2,FALSE)+1,FALSE)*C77</f>
        <v>181.46343010117172</v>
      </c>
      <c r="E77" s="207">
        <f ca="1">Encargos!D40</f>
        <v>-397.3334683355497</v>
      </c>
      <c r="F77" s="99">
        <f ca="1">VLOOKUP($B$79,Índices!$B$6:$F$500,VLOOKUP(F$54,$L$7:$M$9,2,FALSE)+1,FALSE)/VLOOKUP(DATE(YEAR($B77),MONTH($B77)-1,1),Índices!$B$6:$F$500,VLOOKUP(F$54,$L$7:$M$9,2,FALSE)+1,FALSE)*E77</f>
        <v>-395.84584084606968</v>
      </c>
      <c r="G77" s="207">
        <f ca="1">Encargos!E40</f>
        <v>-4.6016967040895906</v>
      </c>
      <c r="H77" s="225">
        <f ca="1">VLOOKUP($B$48,Índices!$B$6:$F$500,VLOOKUP(H$54,$L$7:$M$9,2,FALSE)+1,FALSE)/VLOOKUP(DATE(YEAR($B77),MONTH($B77)-1,1),Índices!$B$6:$F$500,VLOOKUP(H$54,$L$7:$M$9,2,FALSE)+1,FALSE)*G77</f>
        <v>-4.5844678244184927</v>
      </c>
      <c r="I77" s="207">
        <f ca="1">Encargos!F40</f>
        <v>955.15842308162246</v>
      </c>
      <c r="J77" s="225">
        <f ca="1">VLOOKUP($B$48,Índices!$B$6:$F$500,VLOOKUP(J$54,$L$7:$M$9,2,FALSE)+1,FALSE)/VLOOKUP(DATE(YEAR($B77),MONTH($B77)-1,1),Índices!$B$6:$F$500,VLOOKUP(J$54,$L$7:$M$9,2,FALSE)+1,FALSE)*I77</f>
        <v>951.582283540856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-42.305498530680779</v>
      </c>
      <c r="N77" s="225">
        <f ca="1">VLOOKUP($B$48,Índices!$B$6:$F$500,VLOOKUP(N$54,$L$7:$M$9,2,FALSE)+1,FALSE)/VLOOKUP(DATE(YEAR($B77),MONTH($B77)-1,1),Índices!$B$6:$F$500,VLOOKUP(N$54,$L$7:$M$9,2,FALSE)+1,FALSE)*M77</f>
        <v>-42.147105574673233</v>
      </c>
      <c r="O77" s="207">
        <f ca="1">Encargos!H40</f>
        <v>1981.0450745451235</v>
      </c>
      <c r="P77" s="225">
        <f ca="1">VLOOKUP($B$48,Índices!$B$6:$F$500,VLOOKUP(P$54,$L$7:$M$9,2,FALSE)+1,FALSE)/VLOOKUP(DATE(YEAR($B77),MONTH($B77)-1,1),Índices!$B$6:$F$500,VLOOKUP(P$54,$L$7:$M$9,2,FALSE)+1,FALSE)*O77</f>
        <v>1973.627987021292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7"/>
        <v>44743</v>
      </c>
      <c r="C78" s="207">
        <f ca="1">Encargos!C41</f>
        <v>-2275.4841301755514</v>
      </c>
      <c r="D78" s="99">
        <f ca="1">VLOOKUP($B$79,Índices!$B$6:$F$500,VLOOKUP(D$54,$L$7:$M$9,2,FALSE)+1,FALSE)/VLOOKUP(DATE(YEAR($B78),MONTH($B78)-1,1),Índices!$B$6:$F$500,VLOOKUP(D$54,$L$7:$M$9,2,FALSE)+1,FALSE)*C78</f>
        <v>-2251.8757862643452</v>
      </c>
      <c r="E78" s="207">
        <f ca="1">Encargos!D41</f>
        <v>-2014.4767218918278</v>
      </c>
      <c r="F78" s="99">
        <f ca="1">VLOOKUP($B$79,Índices!$B$6:$F$500,VLOOKUP(F$54,$L$7:$M$9,2,FALSE)+1,FALSE)/VLOOKUP(DATE(YEAR($B78),MONTH($B78)-1,1),Índices!$B$6:$F$500,VLOOKUP(F$54,$L$7:$M$9,2,FALSE)+1,FALSE)*E78</f>
        <v>-1993.5763523305282</v>
      </c>
      <c r="G78" s="207">
        <f ca="1">Encargos!E41</f>
        <v>-49.149267737620903</v>
      </c>
      <c r="H78" s="225">
        <f ca="1">VLOOKUP($B$48,Índices!$B$6:$F$500,VLOOKUP(H$54,$L$7:$M$9,2,FALSE)+1,FALSE)/VLOOKUP(DATE(YEAR($B78),MONTH($B78)-1,1),Índices!$B$6:$F$500,VLOOKUP(H$54,$L$7:$M$9,2,FALSE)+1,FALSE)*G78</f>
        <v>-48.63933985003586</v>
      </c>
      <c r="I78" s="207">
        <f ca="1">Encargos!F41</f>
        <v>-11932.489006414777</v>
      </c>
      <c r="J78" s="225">
        <f ca="1">VLOOKUP($B$48,Índices!$B$6:$F$500,VLOOKUP(J$54,$L$7:$M$9,2,FALSE)+1,FALSE)/VLOOKUP(DATE(YEAR($B78),MONTH($B78)-1,1),Índices!$B$6:$F$500,VLOOKUP(J$54,$L$7:$M$9,2,FALSE)+1,FALSE)*I78</f>
        <v>-11808.688404844159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-2570.6006808500388</v>
      </c>
      <c r="N78" s="225">
        <f ca="1">VLOOKUP($B$48,Índices!$B$6:$F$500,VLOOKUP(N$54,$L$7:$M$9,2,FALSE)+1,FALSE)/VLOOKUP(DATE(YEAR($B78),MONTH($B78)-1,1),Índices!$B$6:$F$500,VLOOKUP(N$54,$L$7:$M$9,2,FALSE)+1,FALSE)*M78</f>
        <v>-2543.9304772977043</v>
      </c>
      <c r="O78" s="207">
        <f ca="1">Encargos!H41</f>
        <v>1298.6911430665496</v>
      </c>
      <c r="P78" s="225">
        <f ca="1">VLOOKUP($B$48,Índices!$B$6:$F$500,VLOOKUP(P$54,$L$7:$M$9,2,FALSE)+1,FALSE)/VLOOKUP(DATE(YEAR($B78),MONTH($B78)-1,1),Índices!$B$6:$F$500,VLOOKUP(P$54,$L$7:$M$9,2,FALSE)+1,FALSE)*O78</f>
        <v>1285.217110559196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7"/>
        <v>44774</v>
      </c>
      <c r="C79" s="207">
        <f ca="1">Encargos!C42</f>
        <v>-6696.7660127920972</v>
      </c>
      <c r="D79" s="99">
        <f ca="1">VLOOKUP($B$79,Índices!$B$6:$F$500,VLOOKUP(D$54,$L$7:$M$9,2,FALSE)+1,FALSE)/VLOOKUP(DATE(YEAR($B79),MONTH($B79)-1,1),Índices!$B$6:$F$500,VLOOKUP(D$54,$L$7:$M$9,2,FALSE)+1,FALSE)*C79</f>
        <v>-6672.6608092931237</v>
      </c>
      <c r="E79" s="207">
        <f ca="1">Encargos!D42</f>
        <v>-4718.2908603051474</v>
      </c>
      <c r="F79" s="99">
        <f ca="1">VLOOKUP($B$79,Índices!$B$6:$F$500,VLOOKUP(F$54,$L$7:$M$9,2,FALSE)+1,FALSE)/VLOOKUP(DATE(YEAR($B79),MONTH($B79)-1,1),Índices!$B$6:$F$500,VLOOKUP(F$54,$L$7:$M$9,2,FALSE)+1,FALSE)*E79</f>
        <v>-4701.3072355021086</v>
      </c>
      <c r="G79" s="207">
        <f ca="1">Encargos!E42</f>
        <v>-174.75381991496579</v>
      </c>
      <c r="H79" s="225">
        <f ca="1">VLOOKUP($B$48,Índices!$B$6:$F$500,VLOOKUP(H$54,$L$7:$M$9,2,FALSE)+1,FALSE)/VLOOKUP(DATE(YEAR($B79),MONTH($B79)-1,1),Índices!$B$6:$F$500,VLOOKUP(H$54,$L$7:$M$9,2,FALSE)+1,FALSE)*G79</f>
        <v>-174.12478847154571</v>
      </c>
      <c r="I79" s="207">
        <f ca="1">Encargos!F42</f>
        <v>-35117.400190356886</v>
      </c>
      <c r="J79" s="225">
        <f ca="1">VLOOKUP($B$48,Índices!$B$6:$F$500,VLOOKUP(J$54,$L$7:$M$9,2,FALSE)+1,FALSE)/VLOOKUP(DATE(YEAR($B79),MONTH($B79)-1,1),Índices!$B$6:$F$500,VLOOKUP(J$54,$L$7:$M$9,2,FALSE)+1,FALSE)*I79</f>
        <v>-34990.994089811276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-6580.2877062269254</v>
      </c>
      <c r="N79" s="225">
        <f ca="1">VLOOKUP($B$48,Índices!$B$6:$F$500,VLOOKUP(N$54,$L$7:$M$9,2,FALSE)+1,FALSE)/VLOOKUP(DATE(YEAR($B79),MONTH($B79)-1,1),Índices!$B$6:$F$500,VLOOKUP(N$54,$L$7:$M$9,2,FALSE)+1,FALSE)*M79</f>
        <v>-6556.6017697708212</v>
      </c>
      <c r="O79" s="207">
        <f ca="1">Encargos!H42</f>
        <v>3697.9858836383937</v>
      </c>
      <c r="P79" s="225">
        <f ca="1">VLOOKUP($B$48,Índices!$B$6:$F$500,VLOOKUP(P$54,$L$7:$M$9,2,FALSE)+1,FALSE)/VLOOKUP(DATE(YEAR($B79),MONTH($B79)-1,1),Índices!$B$6:$F$500,VLOOKUP(P$54,$L$7:$M$9,2,FALSE)+1,FALSE)*O79</f>
        <v>3684.6748761922386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5">
        <f ca="1">SUM(C56:C79)</f>
        <v>-16547.249576940754</v>
      </c>
      <c r="D80" s="1386">
        <f ca="1">SUM(D56:D79)</f>
        <v>-17026.32732051827</v>
      </c>
      <c r="E80" s="1385">
        <f ca="1">SUM(E56:E79)</f>
        <v>-13354.510892744904</v>
      </c>
      <c r="F80" s="1386">
        <f ca="1">SUM(F56:F79)</f>
        <v>-13683.049005881176</v>
      </c>
      <c r="G80" s="1385">
        <f ca="1">SUM(G55:G79)</f>
        <v>-523.29927294717072</v>
      </c>
      <c r="H80" s="1385">
        <f t="shared" ref="H80:N80" ca="1" si="8">SUM(H55:H79)</f>
        <v>-537.79841689214891</v>
      </c>
      <c r="I80" s="1385">
        <f t="shared" ca="1" si="8"/>
        <v>-86772.687642517616</v>
      </c>
      <c r="J80" s="1385">
        <f t="shared" ca="1" si="8"/>
        <v>-89284.939796970168</v>
      </c>
      <c r="K80" s="1385">
        <f t="shared" ca="1" si="8"/>
        <v>0</v>
      </c>
      <c r="L80" s="1385">
        <f t="shared" ca="1" si="8"/>
        <v>0</v>
      </c>
      <c r="M80" s="1385">
        <f t="shared" ca="1" si="8"/>
        <v>-16408.837937564589</v>
      </c>
      <c r="N80" s="1385">
        <f t="shared" ca="1" si="8"/>
        <v>-16855.927409038261</v>
      </c>
      <c r="O80" s="1385">
        <f t="shared" ref="O80:R80" ca="1" si="9">SUM(O55:O79)</f>
        <v>43710.520867646235</v>
      </c>
      <c r="P80" s="1385">
        <f t="shared" ca="1" si="9"/>
        <v>45172.198439775719</v>
      </c>
      <c r="Q80" s="1385">
        <f t="shared" ca="1" si="9"/>
        <v>0</v>
      </c>
      <c r="R80" s="1385">
        <f t="shared" ca="1" si="9"/>
        <v>0</v>
      </c>
      <c r="S80" s="1385">
        <f t="shared" ref="S80:X80" si="10">SUM(S55:S79)</f>
        <v>0</v>
      </c>
      <c r="T80" s="1385">
        <f t="shared" si="10"/>
        <v>0</v>
      </c>
      <c r="U80" s="1385">
        <f t="shared" si="10"/>
        <v>0</v>
      </c>
      <c r="V80" s="1388">
        <f t="shared" si="10"/>
        <v>0</v>
      </c>
      <c r="W80" s="1385">
        <f t="shared" si="10"/>
        <v>0</v>
      </c>
      <c r="X80" s="1388">
        <f t="shared" si="10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30">
    <mergeCell ref="M53:N53"/>
    <mergeCell ref="S53:T53"/>
    <mergeCell ref="U53:V53"/>
    <mergeCell ref="Q22:R22"/>
    <mergeCell ref="W53:X53"/>
    <mergeCell ref="O53:P53"/>
    <mergeCell ref="Q53:R53"/>
    <mergeCell ref="W22:X22"/>
    <mergeCell ref="S22:T22"/>
    <mergeCell ref="U22:V22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G22:H22"/>
    <mergeCell ref="I22:J22"/>
  </mergeCells>
  <phoneticPr fontId="113" type="noConversion"/>
  <dataValidations count="3">
    <dataValidation type="list" allowBlank="1" showErrorMessage="1" prompt="_x000a_" sqref="H23 J23 L54 J54 F54 H54 D54 N23 F23:F24 D23:D24 D12:J12 L23 P23 R23 T23 V23 T54 N54 P54 R54 X23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1376</v>
      </c>
      <c r="C1" s="9" t="s">
        <v>1377</v>
      </c>
      <c r="D1" s="9" t="s">
        <v>1378</v>
      </c>
      <c r="E1" s="233" t="s">
        <v>1379</v>
      </c>
      <c r="F1" s="233" t="s">
        <v>1380</v>
      </c>
      <c r="G1" s="233" t="s">
        <v>1381</v>
      </c>
      <c r="H1" s="233" t="s">
        <v>1382</v>
      </c>
      <c r="I1" s="9" t="s">
        <v>192</v>
      </c>
      <c r="J1" s="9" t="s">
        <v>1383</v>
      </c>
      <c r="K1" s="9" t="s">
        <v>1384</v>
      </c>
      <c r="L1" s="9" t="s">
        <v>1385</v>
      </c>
      <c r="M1" s="9" t="s">
        <v>1386</v>
      </c>
      <c r="N1" s="9" t="s">
        <v>961</v>
      </c>
      <c r="O1" s="9" t="s">
        <v>875</v>
      </c>
      <c r="P1" s="9" t="s">
        <v>1387</v>
      </c>
      <c r="Q1" s="8" t="s">
        <v>869</v>
      </c>
      <c r="R1" s="17" t="s">
        <v>1388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1377</v>
      </c>
      <c r="B1" t="s">
        <v>960</v>
      </c>
      <c r="C1" t="s">
        <v>1389</v>
      </c>
      <c r="D1" t="s">
        <v>879</v>
      </c>
      <c r="E1" t="s">
        <v>1390</v>
      </c>
      <c r="F1" t="s">
        <v>58</v>
      </c>
      <c r="G1" t="s">
        <v>524</v>
      </c>
      <c r="H1" t="s">
        <v>961</v>
      </c>
      <c r="I1" t="s">
        <v>108</v>
      </c>
      <c r="J1" t="s">
        <v>1381</v>
      </c>
      <c r="K1" t="s">
        <v>1391</v>
      </c>
      <c r="L1" t="s">
        <v>1392</v>
      </c>
      <c r="M1" t="s">
        <v>1393</v>
      </c>
      <c r="N1" t="s">
        <v>971</v>
      </c>
      <c r="O1" t="s">
        <v>1394</v>
      </c>
      <c r="P1" t="s">
        <v>1395</v>
      </c>
      <c r="Q1" t="s">
        <v>1396</v>
      </c>
      <c r="R1" t="s">
        <v>1397</v>
      </c>
      <c r="S1" t="s">
        <v>192</v>
      </c>
      <c r="T1" t="s">
        <v>1398</v>
      </c>
      <c r="U1" t="s">
        <v>1399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9" t="s">
        <v>1400</v>
      </c>
      <c r="D2" s="3" t="s">
        <v>1401</v>
      </c>
    </row>
    <row r="3" spans="2:15">
      <c r="B3" s="5"/>
    </row>
    <row r="6" spans="2:15">
      <c r="B6" s="1390" t="s">
        <v>1402</v>
      </c>
      <c r="C6" s="1390" t="s">
        <v>1403</v>
      </c>
      <c r="D6" s="1390" t="s">
        <v>772</v>
      </c>
      <c r="E6" s="6" t="s">
        <v>1404</v>
      </c>
      <c r="F6" s="6" t="s">
        <v>1405</v>
      </c>
      <c r="G6" s="1391" t="s">
        <v>1406</v>
      </c>
      <c r="K6" s="1469" t="s">
        <v>2120</v>
      </c>
      <c r="L6" s="1470" t="s">
        <v>37</v>
      </c>
      <c r="M6" s="1471" t="s">
        <v>2121</v>
      </c>
      <c r="N6" s="1470" t="s">
        <v>1322</v>
      </c>
      <c r="O6" s="1472" t="s">
        <v>2122</v>
      </c>
    </row>
    <row r="7" spans="2:15">
      <c r="B7" s="1392">
        <v>32629</v>
      </c>
      <c r="C7" s="1393">
        <v>2.5789999999999999E-5</v>
      </c>
      <c r="D7" s="1393">
        <v>3.4132578959999998E-4</v>
      </c>
      <c r="E7" s="1393">
        <v>0</v>
      </c>
      <c r="F7" s="1393">
        <v>1</v>
      </c>
      <c r="K7" s="1473">
        <v>42064</v>
      </c>
      <c r="L7" s="1474"/>
      <c r="M7" s="1475">
        <v>0</v>
      </c>
      <c r="N7" s="1476">
        <v>1</v>
      </c>
      <c r="O7" s="1476">
        <v>1</v>
      </c>
    </row>
    <row r="8" spans="2:15">
      <c r="B8" s="1392">
        <v>32660</v>
      </c>
      <c r="C8" s="1393">
        <v>3.0859999999999999E-5</v>
      </c>
      <c r="D8" s="1393">
        <v>4.3911559890000003E-4</v>
      </c>
      <c r="E8" s="1393">
        <v>0</v>
      </c>
      <c r="F8" s="1393">
        <v>1</v>
      </c>
      <c r="G8" s="10"/>
      <c r="K8" s="1473">
        <v>42065</v>
      </c>
      <c r="L8" s="1474" t="s">
        <v>2123</v>
      </c>
      <c r="M8" s="1475">
        <v>4.5512999999999998E-2</v>
      </c>
      <c r="N8" s="1476">
        <v>1.00045513</v>
      </c>
      <c r="O8" s="1476">
        <v>1.00045513</v>
      </c>
    </row>
    <row r="9" spans="2:15">
      <c r="B9" s="1392">
        <v>32690</v>
      </c>
      <c r="C9" s="1393">
        <v>4.1940000000000002E-5</v>
      </c>
      <c r="D9" s="1393">
        <v>5.6092617030000002E-4</v>
      </c>
      <c r="E9" s="1393">
        <v>0</v>
      </c>
      <c r="F9" s="1393">
        <v>1</v>
      </c>
      <c r="K9" s="1473">
        <v>42066</v>
      </c>
      <c r="L9" s="1474" t="s">
        <v>2123</v>
      </c>
      <c r="M9" s="1475">
        <v>4.5512999999999998E-2</v>
      </c>
      <c r="N9" s="1476">
        <v>1.0009104671433169</v>
      </c>
      <c r="O9" s="1476">
        <v>1.0009104671433169</v>
      </c>
    </row>
    <row r="10" spans="2:15">
      <c r="B10" s="1392">
        <v>32721</v>
      </c>
      <c r="C10" s="1393">
        <v>5.7429999999999997E-5</v>
      </c>
      <c r="D10" s="1393">
        <v>7.5001448160000002E-4</v>
      </c>
      <c r="E10" s="1393">
        <v>0</v>
      </c>
      <c r="F10" s="1393">
        <v>1</v>
      </c>
      <c r="K10" s="1473">
        <v>42067</v>
      </c>
      <c r="L10" s="1474" t="s">
        <v>2123</v>
      </c>
      <c r="M10" s="1475">
        <v>4.5512999999999998E-2</v>
      </c>
      <c r="N10" s="1476">
        <v>1.0013660115242278</v>
      </c>
      <c r="O10" s="1476">
        <v>1.0013660115242278</v>
      </c>
    </row>
    <row r="11" spans="2:15">
      <c r="B11" s="1392">
        <v>32752</v>
      </c>
      <c r="C11" s="1393">
        <v>8.0350000000000001E-5</v>
      </c>
      <c r="D11" s="1393">
        <v>1.031719911E-3</v>
      </c>
      <c r="E11" s="1393">
        <v>0</v>
      </c>
      <c r="F11" s="1393">
        <v>1</v>
      </c>
      <c r="K11" s="1473">
        <v>42068</v>
      </c>
      <c r="L11" s="1474" t="s">
        <v>2123</v>
      </c>
      <c r="M11" s="1475">
        <v>4.7279000000000002E-2</v>
      </c>
      <c r="N11" s="1476">
        <v>1.0018394473608161</v>
      </c>
      <c r="O11" s="1476">
        <v>1.0018394473608161</v>
      </c>
    </row>
    <row r="12" spans="2:15">
      <c r="B12" s="1392">
        <v>32782</v>
      </c>
      <c r="C12" s="1393">
        <v>1.13E-4</v>
      </c>
      <c r="D12" s="1393">
        <v>1.4420348808E-3</v>
      </c>
      <c r="E12" s="1393">
        <v>0</v>
      </c>
      <c r="F12" s="1393">
        <v>1</v>
      </c>
      <c r="K12" s="1473">
        <v>42069</v>
      </c>
      <c r="L12" s="1474" t="s">
        <v>2123</v>
      </c>
      <c r="M12" s="1475">
        <v>4.7279000000000002E-2</v>
      </c>
      <c r="N12" s="1476">
        <v>1.0023131070331337</v>
      </c>
      <c r="O12" s="1476">
        <v>1.0023131070331337</v>
      </c>
    </row>
    <row r="13" spans="2:15">
      <c r="B13" s="1392">
        <v>32813</v>
      </c>
      <c r="C13" s="1393">
        <v>1.5873999999999999E-4</v>
      </c>
      <c r="D13" s="1393">
        <v>2.1316159802999999E-3</v>
      </c>
      <c r="E13" s="1393">
        <v>0</v>
      </c>
      <c r="F13" s="1393">
        <v>1</v>
      </c>
      <c r="K13" s="1473">
        <v>42070</v>
      </c>
      <c r="L13" s="1474"/>
      <c r="M13" s="1475">
        <v>0</v>
      </c>
      <c r="N13" s="1476">
        <v>1.0023131070331337</v>
      </c>
      <c r="O13" s="1476">
        <v>1.0023131070331337</v>
      </c>
    </row>
    <row r="14" spans="2:15">
      <c r="B14" s="1392">
        <v>32843</v>
      </c>
      <c r="C14" s="1393">
        <v>2.3356000000000001E-4</v>
      </c>
      <c r="D14" s="1393">
        <v>3.2293981927000001E-3</v>
      </c>
      <c r="E14" s="1393">
        <v>0</v>
      </c>
      <c r="F14" s="1393">
        <v>1</v>
      </c>
      <c r="K14" s="1473">
        <v>42071</v>
      </c>
      <c r="L14" s="1474"/>
      <c r="M14" s="1475">
        <v>0</v>
      </c>
      <c r="N14" s="1476">
        <v>1.0023131070331337</v>
      </c>
      <c r="O14" s="1476">
        <v>1.0023131070331337</v>
      </c>
    </row>
    <row r="15" spans="2:15">
      <c r="B15" s="1392">
        <v>32874</v>
      </c>
      <c r="C15" s="1393">
        <v>3.7711E-4</v>
      </c>
      <c r="D15" s="1393">
        <v>5.4108567453999999E-3</v>
      </c>
      <c r="E15" s="1393">
        <v>0</v>
      </c>
      <c r="F15" s="1393">
        <v>1</v>
      </c>
      <c r="K15" s="1473">
        <v>42072</v>
      </c>
      <c r="L15" s="1474" t="s">
        <v>2123</v>
      </c>
      <c r="M15" s="1475">
        <v>4.7279000000000002E-2</v>
      </c>
      <c r="N15" s="1476">
        <v>1.0027869906470077</v>
      </c>
      <c r="O15" s="1476">
        <v>1.0027869906470077</v>
      </c>
    </row>
    <row r="16" spans="2:15">
      <c r="B16" s="1392">
        <v>32905</v>
      </c>
      <c r="C16" s="1393">
        <v>6.8364999999999995E-4</v>
      </c>
      <c r="D16" s="1393">
        <v>9.5084984832999996E-3</v>
      </c>
      <c r="E16" s="1393">
        <v>0</v>
      </c>
      <c r="F16" s="1393">
        <v>1</v>
      </c>
      <c r="K16" s="1473">
        <v>42073</v>
      </c>
      <c r="L16" s="1474" t="s">
        <v>2123</v>
      </c>
      <c r="M16" s="1475">
        <v>4.7279000000000002E-2</v>
      </c>
      <c r="N16" s="1476">
        <v>1.0032610983083157</v>
      </c>
      <c r="O16" s="1476">
        <v>1.0032610983083157</v>
      </c>
    </row>
    <row r="17" spans="2:15">
      <c r="B17" s="1392">
        <v>32933</v>
      </c>
      <c r="C17" s="1393">
        <v>1.2575500000000001E-3</v>
      </c>
      <c r="D17" s="1393">
        <v>1.7342550351000002E-2</v>
      </c>
      <c r="E17" s="1393">
        <v>0</v>
      </c>
      <c r="F17" s="1393">
        <v>1</v>
      </c>
      <c r="K17" s="1473">
        <v>42074</v>
      </c>
      <c r="L17" s="1474" t="s">
        <v>2123</v>
      </c>
      <c r="M17" s="1475">
        <v>4.7279000000000002E-2</v>
      </c>
      <c r="N17" s="1476">
        <v>1.0037354301229848</v>
      </c>
      <c r="O17" s="1476">
        <v>1.0037354301229848</v>
      </c>
    </row>
    <row r="18" spans="2:15">
      <c r="B18" s="1392">
        <v>32964</v>
      </c>
      <c r="C18" s="1393">
        <v>1.61407E-3</v>
      </c>
      <c r="D18" s="1393">
        <v>2.00341140678E-2</v>
      </c>
      <c r="E18" s="1393">
        <v>0</v>
      </c>
      <c r="F18" s="1393">
        <v>1</v>
      </c>
      <c r="K18" s="1473">
        <v>42075</v>
      </c>
      <c r="L18" s="1474" t="s">
        <v>2123</v>
      </c>
      <c r="M18" s="1475">
        <v>4.7279000000000002E-2</v>
      </c>
      <c r="N18" s="1476">
        <v>1.0042099861969926</v>
      </c>
      <c r="O18" s="1476">
        <v>1.0042099861969926</v>
      </c>
    </row>
    <row r="19" spans="2:15">
      <c r="B19" s="1392">
        <v>32994</v>
      </c>
      <c r="C19" s="1393">
        <v>1.70973E-3</v>
      </c>
      <c r="D19" s="1393">
        <v>2.1554703244099999E-2</v>
      </c>
      <c r="E19" s="1393">
        <v>0</v>
      </c>
      <c r="F19" s="1393">
        <v>1</v>
      </c>
      <c r="K19" s="1473">
        <v>42076</v>
      </c>
      <c r="L19" s="1474" t="s">
        <v>2123</v>
      </c>
      <c r="M19" s="1475">
        <v>4.7279000000000002E-2</v>
      </c>
      <c r="N19" s="1476">
        <v>1.0046847666363665</v>
      </c>
      <c r="O19" s="1476">
        <v>1.0046847666363665</v>
      </c>
    </row>
    <row r="20" spans="2:15">
      <c r="B20" s="1392">
        <v>33025</v>
      </c>
      <c r="C20" s="1393">
        <v>1.87962E-3</v>
      </c>
      <c r="D20" s="1393">
        <v>2.4087380951899998E-2</v>
      </c>
      <c r="E20" s="1393">
        <v>0</v>
      </c>
      <c r="F20" s="1393">
        <v>1</v>
      </c>
      <c r="K20" s="1473">
        <v>42077</v>
      </c>
      <c r="L20" s="1474"/>
      <c r="M20" s="1475">
        <v>0</v>
      </c>
      <c r="N20" s="1476">
        <v>1.0046847666363665</v>
      </c>
      <c r="O20" s="1476">
        <v>1.0046847666363665</v>
      </c>
    </row>
    <row r="21" spans="2:15">
      <c r="B21" s="1392">
        <v>33055</v>
      </c>
      <c r="C21" s="1393">
        <v>2.10539E-3</v>
      </c>
      <c r="D21" s="1393">
        <v>2.7199470492E-2</v>
      </c>
      <c r="E21" s="1393">
        <v>0</v>
      </c>
      <c r="F21" s="1393">
        <v>1</v>
      </c>
      <c r="K21" s="1473">
        <v>42078</v>
      </c>
      <c r="L21" s="1474"/>
      <c r="M21" s="1475">
        <v>0</v>
      </c>
      <c r="N21" s="1476">
        <v>1.0046847666363665</v>
      </c>
      <c r="O21" s="1476">
        <v>1.0046847666363665</v>
      </c>
    </row>
    <row r="22" spans="2:15">
      <c r="B22" s="1392">
        <v>33086</v>
      </c>
      <c r="C22" s="1393">
        <v>2.39215E-3</v>
      </c>
      <c r="D22" s="1393">
        <v>3.0702762318699998E-2</v>
      </c>
      <c r="E22" s="1393">
        <v>0</v>
      </c>
      <c r="F22" s="1393">
        <v>1</v>
      </c>
      <c r="K22" s="1473">
        <v>42079</v>
      </c>
      <c r="L22" s="1474" t="s">
        <v>2123</v>
      </c>
      <c r="M22" s="1475">
        <v>4.7279000000000002E-2</v>
      </c>
      <c r="N22" s="1476">
        <v>1.0051597715471845</v>
      </c>
      <c r="O22" s="1476">
        <v>1.0051597715471845</v>
      </c>
    </row>
    <row r="23" spans="2:15">
      <c r="B23" s="1392">
        <v>33117</v>
      </c>
      <c r="C23" s="1393">
        <v>2.6984000000000001E-3</v>
      </c>
      <c r="D23" s="1393">
        <v>3.51270304097E-2</v>
      </c>
      <c r="E23" s="1393">
        <v>0</v>
      </c>
      <c r="F23" s="1393">
        <v>1</v>
      </c>
      <c r="K23" s="1473">
        <v>42080</v>
      </c>
      <c r="L23" s="1474" t="s">
        <v>2123</v>
      </c>
      <c r="M23" s="1475">
        <v>4.7279000000000002E-2</v>
      </c>
      <c r="N23" s="1476">
        <v>1.0056350010355741</v>
      </c>
      <c r="O23" s="1476">
        <v>1.0056350010355741</v>
      </c>
    </row>
    <row r="24" spans="2:15">
      <c r="B24" s="1392">
        <v>33147</v>
      </c>
      <c r="C24" s="1393">
        <v>3.0483699999999999E-3</v>
      </c>
      <c r="D24" s="1393">
        <v>4.0171272055300002E-2</v>
      </c>
      <c r="E24" s="1393">
        <v>0</v>
      </c>
      <c r="F24" s="1393">
        <v>1</v>
      </c>
      <c r="K24" s="1473">
        <v>42081</v>
      </c>
      <c r="L24" s="1474" t="s">
        <v>2123</v>
      </c>
      <c r="M24" s="1475">
        <v>4.7279000000000002E-2</v>
      </c>
      <c r="N24" s="1476">
        <v>1.0061104552077136</v>
      </c>
      <c r="O24" s="1476">
        <v>1.0061104552077136</v>
      </c>
    </row>
    <row r="25" spans="2:15">
      <c r="B25" s="1392">
        <v>33178</v>
      </c>
      <c r="C25" s="1393">
        <v>3.5622900000000001E-3</v>
      </c>
      <c r="D25" s="1393">
        <v>4.6924062784199999E-2</v>
      </c>
      <c r="E25" s="1393">
        <v>0</v>
      </c>
      <c r="F25" s="1393">
        <v>1</v>
      </c>
      <c r="K25" s="1473">
        <v>42082</v>
      </c>
      <c r="L25" s="1474" t="s">
        <v>2123</v>
      </c>
      <c r="M25" s="1475">
        <v>4.7279000000000002E-2</v>
      </c>
      <c r="N25" s="1476">
        <v>1.0065861341698312</v>
      </c>
      <c r="O25" s="1476">
        <v>1.0065861341698312</v>
      </c>
    </row>
    <row r="26" spans="2:15">
      <c r="B26" s="1392">
        <v>33208</v>
      </c>
      <c r="C26" s="1393">
        <v>4.2034799999999999E-3</v>
      </c>
      <c r="D26" s="1393">
        <v>5.5576860018600002E-2</v>
      </c>
      <c r="E26" s="1393">
        <v>0</v>
      </c>
      <c r="F26" s="1393">
        <v>1</v>
      </c>
      <c r="K26" s="1473">
        <v>42083</v>
      </c>
      <c r="L26" s="1474" t="s">
        <v>2123</v>
      </c>
      <c r="M26" s="1475">
        <v>4.7279000000000002E-2</v>
      </c>
      <c r="N26" s="1476">
        <v>1.0070620380282054</v>
      </c>
      <c r="O26" s="1476">
        <v>1.0070620380282054</v>
      </c>
    </row>
    <row r="27" spans="2:15">
      <c r="B27" s="1392">
        <v>33239</v>
      </c>
      <c r="C27" s="1393">
        <v>4.9475200000000004E-3</v>
      </c>
      <c r="D27" s="1393">
        <v>6.7109058472399993E-2</v>
      </c>
      <c r="E27" s="1393">
        <v>0</v>
      </c>
      <c r="F27" s="1393">
        <v>1</v>
      </c>
      <c r="K27" s="1473">
        <v>42084</v>
      </c>
      <c r="L27" s="1474"/>
      <c r="M27" s="1475">
        <v>0</v>
      </c>
      <c r="N27" s="1476">
        <v>1.0070620380282054</v>
      </c>
      <c r="O27" s="1476">
        <v>1.0070620380282054</v>
      </c>
    </row>
    <row r="28" spans="2:15">
      <c r="B28" s="1392">
        <v>33270</v>
      </c>
      <c r="C28" s="1393">
        <v>5.9873900000000004E-3</v>
      </c>
      <c r="D28" s="1393">
        <v>8.1014388849100005E-2</v>
      </c>
      <c r="E28" s="1393">
        <v>0</v>
      </c>
      <c r="F28" s="1393">
        <v>1</v>
      </c>
      <c r="K28" s="1473">
        <v>42085</v>
      </c>
      <c r="L28" s="1474"/>
      <c r="M28" s="1475">
        <v>0</v>
      </c>
      <c r="N28" s="1476">
        <v>1.0070620380282054</v>
      </c>
      <c r="O28" s="1476">
        <v>1.0070620380282054</v>
      </c>
    </row>
    <row r="29" spans="2:15">
      <c r="B29" s="1392">
        <v>33298</v>
      </c>
      <c r="C29" s="1393">
        <v>6.5374099999999996E-3</v>
      </c>
      <c r="D29" s="1393">
        <v>9.0673647120300002E-2</v>
      </c>
      <c r="E29" s="1393">
        <v>0</v>
      </c>
      <c r="F29" s="1393">
        <v>1</v>
      </c>
      <c r="K29" s="1473">
        <v>42086</v>
      </c>
      <c r="L29" s="1474" t="s">
        <v>2123</v>
      </c>
      <c r="M29" s="1475">
        <v>4.7279000000000002E-2</v>
      </c>
      <c r="N29" s="1476">
        <v>1.0075381668891645</v>
      </c>
      <c r="O29" s="1476">
        <v>1.0075381668891645</v>
      </c>
    </row>
    <row r="30" spans="2:15">
      <c r="B30" s="1392">
        <v>33329</v>
      </c>
      <c r="C30" s="1393">
        <v>7.0477600000000001E-3</v>
      </c>
      <c r="D30" s="1393">
        <v>9.5197603525800006E-2</v>
      </c>
      <c r="E30" s="1393">
        <v>0</v>
      </c>
      <c r="F30" s="1393">
        <v>1</v>
      </c>
      <c r="K30" s="1473">
        <v>42087</v>
      </c>
      <c r="L30" s="1474" t="s">
        <v>2123</v>
      </c>
      <c r="M30" s="1475">
        <v>4.7279000000000002E-2</v>
      </c>
      <c r="N30" s="1476">
        <v>1.008014520859088</v>
      </c>
      <c r="O30" s="1476">
        <v>1.008014520859088</v>
      </c>
    </row>
    <row r="31" spans="2:15">
      <c r="B31" s="1392">
        <v>33359</v>
      </c>
      <c r="C31" s="1393">
        <v>7.57502E-3</v>
      </c>
      <c r="D31" s="1393">
        <v>0.10227253780620001</v>
      </c>
      <c r="E31" s="1393">
        <v>0</v>
      </c>
      <c r="F31" s="1393">
        <v>1</v>
      </c>
      <c r="K31" s="1473">
        <v>42088</v>
      </c>
      <c r="L31" s="1474" t="s">
        <v>2123</v>
      </c>
      <c r="M31" s="1475">
        <v>4.7279000000000002E-2</v>
      </c>
      <c r="N31" s="1476">
        <v>1.008491100044405</v>
      </c>
      <c r="O31" s="1476">
        <v>1.008491100044405</v>
      </c>
    </row>
    <row r="32" spans="2:15">
      <c r="B32" s="1392">
        <v>33390</v>
      </c>
      <c r="C32" s="1393">
        <v>8.2174099999999996E-3</v>
      </c>
      <c r="D32" s="1393">
        <v>0.113715813284</v>
      </c>
      <c r="E32" s="1393">
        <v>0</v>
      </c>
      <c r="F32" s="1393">
        <v>1</v>
      </c>
      <c r="K32" s="1473">
        <v>42089</v>
      </c>
      <c r="L32" s="1474" t="s">
        <v>2123</v>
      </c>
      <c r="M32" s="1475">
        <v>4.7279000000000002E-2</v>
      </c>
      <c r="N32" s="1476">
        <v>1.0089679045515949</v>
      </c>
      <c r="O32" s="1476">
        <v>1.0089679045515949</v>
      </c>
    </row>
    <row r="33" spans="2:15">
      <c r="B33" s="1392">
        <v>33420</v>
      </c>
      <c r="C33" s="1393">
        <v>9.3037399999999996E-3</v>
      </c>
      <c r="D33" s="1393">
        <v>0.12782677804270001</v>
      </c>
      <c r="E33" s="1393">
        <v>0</v>
      </c>
      <c r="F33" s="1393">
        <v>1</v>
      </c>
      <c r="K33" s="1473">
        <v>42090</v>
      </c>
      <c r="L33" s="1474" t="s">
        <v>2123</v>
      </c>
      <c r="M33" s="1475">
        <v>4.7279000000000002E-2</v>
      </c>
      <c r="N33" s="1476">
        <v>1.0094449344871876</v>
      </c>
      <c r="O33" s="1476">
        <v>1.0094449344871876</v>
      </c>
    </row>
    <row r="34" spans="2:15">
      <c r="B34" s="1392">
        <v>33451</v>
      </c>
      <c r="C34" s="1393">
        <v>1.072268E-2</v>
      </c>
      <c r="D34" s="1393">
        <v>0.14780665921940001</v>
      </c>
      <c r="E34" s="1394">
        <v>0</v>
      </c>
      <c r="F34" s="1394">
        <v>1</v>
      </c>
      <c r="K34" s="1473">
        <v>42091</v>
      </c>
      <c r="L34" s="1474"/>
      <c r="M34" s="1475">
        <v>0</v>
      </c>
      <c r="N34" s="1476">
        <v>1.0094449344871876</v>
      </c>
      <c r="O34" s="1476">
        <v>1.0094449344871876</v>
      </c>
    </row>
    <row r="35" spans="2:15">
      <c r="B35" s="1392">
        <v>33482</v>
      </c>
      <c r="C35" s="1393">
        <v>1.232337E-2</v>
      </c>
      <c r="D35" s="1393">
        <v>0.17090995992909999</v>
      </c>
      <c r="E35" s="1394">
        <v>0</v>
      </c>
      <c r="F35" s="1394">
        <v>1</v>
      </c>
      <c r="K35" s="1473">
        <v>42092</v>
      </c>
      <c r="L35" s="1474"/>
      <c r="M35" s="1475">
        <v>0</v>
      </c>
      <c r="N35" s="1476">
        <v>1.0094449344871876</v>
      </c>
      <c r="O35" s="1476">
        <v>1.0094449344871876</v>
      </c>
    </row>
    <row r="36" spans="2:15">
      <c r="B36" s="1392">
        <v>33512</v>
      </c>
      <c r="C36" s="1393">
        <v>1.5112230000000001E-2</v>
      </c>
      <c r="D36" s="1393">
        <v>0.20548432454660001</v>
      </c>
      <c r="E36" s="1394">
        <v>0</v>
      </c>
      <c r="F36" s="1394">
        <v>1</v>
      </c>
      <c r="K36" s="1473">
        <v>42093</v>
      </c>
      <c r="L36" s="1474" t="s">
        <v>2123</v>
      </c>
      <c r="M36" s="1475">
        <v>4.7279000000000002E-2</v>
      </c>
      <c r="N36" s="1476">
        <v>1.0099221899577637</v>
      </c>
      <c r="O36" s="1476">
        <v>1.0099221899577637</v>
      </c>
    </row>
    <row r="37" spans="2:15">
      <c r="B37" s="1392">
        <v>33543</v>
      </c>
      <c r="C37" s="1393">
        <v>1.8984250000000001E-2</v>
      </c>
      <c r="D37" s="1393">
        <v>0.2572875157699</v>
      </c>
      <c r="E37" s="1394">
        <v>0</v>
      </c>
      <c r="F37" s="1394">
        <v>1</v>
      </c>
      <c r="K37" s="1473">
        <v>42094</v>
      </c>
      <c r="L37" s="1474" t="s">
        <v>2123</v>
      </c>
      <c r="M37" s="1475">
        <v>4.7279000000000002E-2</v>
      </c>
      <c r="N37" s="1476">
        <v>1.0103996710699537</v>
      </c>
      <c r="O37" s="1476">
        <v>1.0103996710699537</v>
      </c>
    </row>
    <row r="38" spans="2:15">
      <c r="B38" s="1392">
        <v>33573</v>
      </c>
      <c r="C38" s="1393">
        <v>2.347107E-2</v>
      </c>
      <c r="D38" s="1393">
        <v>0.31828867732630001</v>
      </c>
      <c r="E38" s="1394">
        <v>0</v>
      </c>
      <c r="F38" s="1394">
        <v>1</v>
      </c>
      <c r="K38" s="1473">
        <v>42095</v>
      </c>
      <c r="L38" s="1474" t="s">
        <v>2123</v>
      </c>
      <c r="M38" s="1475">
        <v>4.7279000000000002E-2</v>
      </c>
      <c r="N38" s="1476">
        <v>1.0108773779304387</v>
      </c>
      <c r="O38" s="1476">
        <v>1.0108773779304387</v>
      </c>
    </row>
    <row r="39" spans="2:15">
      <c r="B39" s="1392">
        <v>33604</v>
      </c>
      <c r="C39" s="1393">
        <v>2.9000140000000001E-2</v>
      </c>
      <c r="D39" s="1393">
        <v>0.40085366056990002</v>
      </c>
      <c r="E39" s="1394">
        <v>0</v>
      </c>
      <c r="F39" s="1394">
        <v>1</v>
      </c>
      <c r="K39" s="1473">
        <v>42096</v>
      </c>
      <c r="L39" s="1474" t="s">
        <v>2123</v>
      </c>
      <c r="M39" s="1475">
        <v>4.7279000000000002E-2</v>
      </c>
      <c r="N39" s="1476">
        <v>1.0113553106459503</v>
      </c>
      <c r="O39" s="1476">
        <v>1.0113553106459503</v>
      </c>
    </row>
    <row r="40" spans="2:15">
      <c r="B40" s="1392">
        <v>33635</v>
      </c>
      <c r="C40" s="1393">
        <v>3.7078809999999997E-2</v>
      </c>
      <c r="D40" s="1393">
        <v>0.49834103072840003</v>
      </c>
      <c r="E40" s="1394">
        <v>0</v>
      </c>
      <c r="F40" s="1394">
        <v>1</v>
      </c>
      <c r="K40" s="1473">
        <v>42097</v>
      </c>
      <c r="L40" s="1474"/>
      <c r="M40" s="1475">
        <v>0</v>
      </c>
      <c r="N40" s="1476">
        <v>1.0113553106459503</v>
      </c>
      <c r="O40" s="1476">
        <v>1.0113553106459503</v>
      </c>
    </row>
    <row r="41" spans="2:15">
      <c r="B41" s="1392">
        <v>33664</v>
      </c>
      <c r="C41" s="1393">
        <v>4.501144E-2</v>
      </c>
      <c r="D41" s="1393">
        <v>0.60498746741809994</v>
      </c>
      <c r="E41" s="1394">
        <v>0</v>
      </c>
      <c r="F41" s="1394">
        <v>1</v>
      </c>
      <c r="K41" s="1473">
        <v>42098</v>
      </c>
      <c r="L41" s="1474"/>
      <c r="M41" s="1475">
        <v>0</v>
      </c>
      <c r="N41" s="1476">
        <v>1.0113553106459503</v>
      </c>
      <c r="O41" s="1476">
        <v>1.0113553106459503</v>
      </c>
    </row>
    <row r="42" spans="2:15">
      <c r="B42" s="1392">
        <v>33695</v>
      </c>
      <c r="C42" s="1393">
        <v>5.3986060000000002E-2</v>
      </c>
      <c r="D42" s="1393">
        <v>0.72556146522830001</v>
      </c>
      <c r="E42" s="1394">
        <v>0</v>
      </c>
      <c r="F42" s="1394">
        <v>1</v>
      </c>
      <c r="K42" s="1473">
        <v>42099</v>
      </c>
      <c r="L42" s="1474"/>
      <c r="M42" s="1475">
        <v>0</v>
      </c>
      <c r="N42" s="1476">
        <v>1.0113553106459503</v>
      </c>
      <c r="O42" s="1476">
        <v>1.0113553106459503</v>
      </c>
    </row>
    <row r="43" spans="2:15">
      <c r="B43" s="1392">
        <v>33725</v>
      </c>
      <c r="C43" s="1393">
        <v>6.5012799999999996E-2</v>
      </c>
      <c r="D43" s="1393">
        <v>0.90593616441860003</v>
      </c>
      <c r="E43" s="1394">
        <v>0</v>
      </c>
      <c r="F43" s="1394">
        <v>1</v>
      </c>
      <c r="K43" s="1473">
        <v>42100</v>
      </c>
      <c r="L43" s="1474" t="s">
        <v>2123</v>
      </c>
      <c r="M43" s="1475">
        <v>4.7279000000000002E-2</v>
      </c>
      <c r="N43" s="1476">
        <v>1.0118334693232705</v>
      </c>
      <c r="O43" s="1476">
        <v>1.0118334693232705</v>
      </c>
    </row>
    <row r="44" spans="2:15">
      <c r="B44" s="1392">
        <v>33756</v>
      </c>
      <c r="C44" s="1393">
        <v>8.0361459999999996E-2</v>
      </c>
      <c r="D44" s="1393">
        <v>1.0890285720637001</v>
      </c>
      <c r="E44" s="1394">
        <v>0</v>
      </c>
      <c r="F44" s="1394">
        <v>1</v>
      </c>
      <c r="K44" s="1473">
        <v>42101</v>
      </c>
      <c r="L44" s="1474" t="s">
        <v>2123</v>
      </c>
      <c r="M44" s="1475">
        <v>4.7279000000000002E-2</v>
      </c>
      <c r="N44" s="1476">
        <v>1.0123118540692317</v>
      </c>
      <c r="O44" s="1476">
        <v>1.0123118540692317</v>
      </c>
    </row>
    <row r="45" spans="2:15">
      <c r="B45" s="1392">
        <v>33786</v>
      </c>
      <c r="C45" s="1393">
        <v>9.7908469999999997E-2</v>
      </c>
      <c r="D45" s="1393">
        <v>1.3267641484791</v>
      </c>
      <c r="E45" s="1394">
        <v>0</v>
      </c>
      <c r="F45" s="1394">
        <v>1</v>
      </c>
      <c r="K45" s="1473">
        <v>42102</v>
      </c>
      <c r="L45" s="1474" t="s">
        <v>2123</v>
      </c>
      <c r="M45" s="1475">
        <v>4.7279000000000002E-2</v>
      </c>
      <c r="N45" s="1476">
        <v>1.0127904649907171</v>
      </c>
      <c r="O45" s="1476">
        <v>1.0127904649907171</v>
      </c>
    </row>
    <row r="46" spans="2:15">
      <c r="B46" s="1392">
        <v>33817</v>
      </c>
      <c r="C46" s="1393">
        <v>0.12202180999999999</v>
      </c>
      <c r="D46" s="1393">
        <v>1.6205100844213001</v>
      </c>
      <c r="E46" s="1394">
        <v>0</v>
      </c>
      <c r="F46" s="1394">
        <v>1</v>
      </c>
      <c r="K46" s="1473">
        <v>42103</v>
      </c>
      <c r="L46" s="1474" t="s">
        <v>2123</v>
      </c>
      <c r="M46" s="1475">
        <v>4.7279000000000002E-2</v>
      </c>
      <c r="N46" s="1476">
        <v>1.0132693021946599</v>
      </c>
      <c r="O46" s="1476">
        <v>1.0132693021946599</v>
      </c>
    </row>
    <row r="47" spans="2:15">
      <c r="B47" s="1392">
        <v>33848</v>
      </c>
      <c r="C47" s="1393">
        <v>0.15285811999999999</v>
      </c>
      <c r="D47" s="1393">
        <v>2.0196408623306001</v>
      </c>
      <c r="E47" s="1394">
        <v>0</v>
      </c>
      <c r="F47" s="1394">
        <v>1</v>
      </c>
      <c r="K47" s="1473">
        <v>42104</v>
      </c>
      <c r="L47" s="1474" t="s">
        <v>2123</v>
      </c>
      <c r="M47" s="1475">
        <v>4.7279000000000002E-2</v>
      </c>
      <c r="N47" s="1476">
        <v>1.0137483657880444</v>
      </c>
      <c r="O47" s="1476">
        <v>1.0137483657880444</v>
      </c>
    </row>
    <row r="48" spans="2:15">
      <c r="B48" s="1392">
        <v>33878</v>
      </c>
      <c r="C48" s="1393">
        <v>0.19376498</v>
      </c>
      <c r="D48" s="1393">
        <v>2.5293973801068002</v>
      </c>
      <c r="E48" s="1394">
        <v>0</v>
      </c>
      <c r="F48" s="1394">
        <v>1</v>
      </c>
      <c r="K48" s="1473">
        <v>42105</v>
      </c>
      <c r="L48" s="1474"/>
      <c r="M48" s="1475">
        <v>0</v>
      </c>
      <c r="N48" s="1476">
        <v>1.0137483657880444</v>
      </c>
      <c r="O48" s="1476">
        <v>1.0137483657880444</v>
      </c>
    </row>
    <row r="49" spans="2:15">
      <c r="B49" s="1392">
        <v>33909</v>
      </c>
      <c r="C49" s="1393">
        <v>0.23916162999999999</v>
      </c>
      <c r="D49" s="1393">
        <v>3.0982598885127999</v>
      </c>
      <c r="E49" s="1394">
        <v>0</v>
      </c>
      <c r="F49" s="1394">
        <v>1</v>
      </c>
      <c r="K49" s="1473">
        <v>42106</v>
      </c>
      <c r="L49" s="1474"/>
      <c r="M49" s="1475">
        <v>0</v>
      </c>
      <c r="N49" s="1476">
        <v>1.0137483657880444</v>
      </c>
      <c r="O49" s="1476">
        <v>1.0137483657880444</v>
      </c>
    </row>
    <row r="50" spans="2:15">
      <c r="B50" s="1392">
        <v>33939</v>
      </c>
      <c r="C50" s="1393">
        <v>0.29913278999999998</v>
      </c>
      <c r="D50" s="1393">
        <v>3.8802596550900001</v>
      </c>
      <c r="E50" s="1394">
        <v>0</v>
      </c>
      <c r="F50" s="1394">
        <v>1</v>
      </c>
      <c r="K50" s="1473">
        <v>42107</v>
      </c>
      <c r="L50" s="1474" t="s">
        <v>2123</v>
      </c>
      <c r="M50" s="1475">
        <v>4.7279000000000002E-2</v>
      </c>
      <c r="N50" s="1476">
        <v>1.0142276558779053</v>
      </c>
      <c r="O50" s="1476">
        <v>1.0142276558779053</v>
      </c>
    </row>
    <row r="51" spans="2:15">
      <c r="B51" s="1392">
        <v>33970</v>
      </c>
      <c r="C51" s="1393">
        <v>0.37638683000000001</v>
      </c>
      <c r="D51" s="1393">
        <v>5.0579166458253004</v>
      </c>
      <c r="E51" s="1394">
        <v>0</v>
      </c>
      <c r="F51" s="1394">
        <v>1</v>
      </c>
      <c r="K51" s="1473">
        <v>42108</v>
      </c>
      <c r="L51" s="1474" t="s">
        <v>2123</v>
      </c>
      <c r="M51" s="1475">
        <v>4.7279000000000002E-2</v>
      </c>
      <c r="N51" s="1476">
        <v>1.0147071725713277</v>
      </c>
      <c r="O51" s="1476">
        <v>1.0147071725713277</v>
      </c>
    </row>
    <row r="52" spans="2:15">
      <c r="B52" s="1392">
        <v>34001</v>
      </c>
      <c r="C52" s="1393">
        <v>0.48335073000000001</v>
      </c>
      <c r="D52" s="1393">
        <v>6.3213843084293</v>
      </c>
      <c r="E52" s="1394">
        <v>0</v>
      </c>
      <c r="F52" s="1394">
        <v>1</v>
      </c>
      <c r="K52" s="1473">
        <v>42109</v>
      </c>
      <c r="L52" s="1474" t="s">
        <v>2123</v>
      </c>
      <c r="M52" s="1475">
        <v>4.7279000000000002E-2</v>
      </c>
      <c r="N52" s="1476">
        <v>1.0151869159754476</v>
      </c>
      <c r="O52" s="1476">
        <v>1.0151869159754476</v>
      </c>
    </row>
    <row r="53" spans="2:15">
      <c r="B53" s="1392">
        <v>34029</v>
      </c>
      <c r="C53" s="1393">
        <v>0.61023090000000002</v>
      </c>
      <c r="D53" s="1393">
        <v>8.0445948724788998</v>
      </c>
      <c r="E53" s="1394">
        <v>0</v>
      </c>
      <c r="F53" s="1394">
        <v>1</v>
      </c>
      <c r="K53" s="1473">
        <v>42110</v>
      </c>
      <c r="L53" s="1474" t="s">
        <v>2123</v>
      </c>
      <c r="M53" s="1475">
        <v>4.7279000000000002E-2</v>
      </c>
      <c r="N53" s="1476">
        <v>1.0156668861974516</v>
      </c>
      <c r="O53" s="1476">
        <v>1.0156668861974516</v>
      </c>
    </row>
    <row r="54" spans="2:15">
      <c r="B54" s="1392">
        <v>34060</v>
      </c>
      <c r="C54" s="1393">
        <v>0.78617482000000005</v>
      </c>
      <c r="D54" s="1393">
        <v>10.2769672819025</v>
      </c>
      <c r="E54" s="1394">
        <v>0</v>
      </c>
      <c r="F54" s="1394">
        <v>1</v>
      </c>
      <c r="K54" s="1473">
        <v>42111</v>
      </c>
      <c r="L54" s="1474" t="s">
        <v>2123</v>
      </c>
      <c r="M54" s="1475">
        <v>4.7279000000000002E-2</v>
      </c>
      <c r="N54" s="1476">
        <v>1.0161470833445767</v>
      </c>
      <c r="O54" s="1476">
        <v>1.0161470833445767</v>
      </c>
    </row>
    <row r="55" spans="2:15">
      <c r="B55" s="1392">
        <v>34090</v>
      </c>
      <c r="C55" s="1393">
        <v>1.01968087</v>
      </c>
      <c r="D55" s="1393">
        <v>13.1226581300609</v>
      </c>
      <c r="E55" s="1394">
        <v>0</v>
      </c>
      <c r="F55" s="1394">
        <v>1</v>
      </c>
      <c r="K55" s="1473">
        <v>42112</v>
      </c>
      <c r="L55" s="1474"/>
      <c r="M55" s="1475">
        <v>0</v>
      </c>
      <c r="N55" s="1476">
        <v>1.0161470833445767</v>
      </c>
      <c r="O55" s="1476">
        <v>1.0161470833445767</v>
      </c>
    </row>
    <row r="56" spans="2:15">
      <c r="B56" s="1392">
        <v>34121</v>
      </c>
      <c r="C56" s="1393">
        <v>1.3408208699999999</v>
      </c>
      <c r="D56" s="1393">
        <v>17.068642979808899</v>
      </c>
      <c r="E56" s="1394">
        <v>0</v>
      </c>
      <c r="F56" s="1394">
        <v>1</v>
      </c>
      <c r="K56" s="1473">
        <v>42113</v>
      </c>
      <c r="L56" s="1474"/>
      <c r="M56" s="1475">
        <v>0</v>
      </c>
      <c r="N56" s="1476">
        <v>1.0161470833445767</v>
      </c>
      <c r="O56" s="1476">
        <v>1.0161470833445767</v>
      </c>
    </row>
    <row r="57" spans="2:15">
      <c r="B57" s="1392">
        <v>34151</v>
      </c>
      <c r="C57" s="1393">
        <v>1.75984608</v>
      </c>
      <c r="D57" s="1393">
        <v>22.312130761236201</v>
      </c>
      <c r="E57" s="1394">
        <v>0</v>
      </c>
      <c r="F57" s="1394">
        <v>1</v>
      </c>
      <c r="K57" s="1473">
        <v>42114</v>
      </c>
      <c r="L57" s="1474" t="s">
        <v>2123</v>
      </c>
      <c r="M57" s="1475">
        <v>4.7279000000000002E-2</v>
      </c>
      <c r="N57" s="1476">
        <v>1.0166275075241111</v>
      </c>
      <c r="O57" s="1476">
        <v>1.0166275075241111</v>
      </c>
    </row>
    <row r="58" spans="2:15">
      <c r="B58" s="1392">
        <v>34182</v>
      </c>
      <c r="C58" s="1393">
        <v>2.31923637</v>
      </c>
      <c r="D58" s="1393">
        <v>29.666210936414501</v>
      </c>
      <c r="E58" s="1394">
        <v>0</v>
      </c>
      <c r="F58" s="1394">
        <v>1</v>
      </c>
      <c r="K58" s="1473">
        <v>42115</v>
      </c>
      <c r="L58" s="1474"/>
      <c r="M58" s="1475">
        <v>0</v>
      </c>
      <c r="N58" s="1476">
        <v>1.0166275075241111</v>
      </c>
      <c r="O58" s="1476">
        <v>1.0166275075241111</v>
      </c>
    </row>
    <row r="59" spans="2:15">
      <c r="B59" s="1392">
        <v>34213</v>
      </c>
      <c r="C59" s="1393">
        <v>3.1375231000000001</v>
      </c>
      <c r="D59" s="1393">
        <v>40.254080730946797</v>
      </c>
      <c r="E59" s="1394">
        <v>0</v>
      </c>
      <c r="F59" s="1394">
        <v>1</v>
      </c>
      <c r="K59" s="1473">
        <v>42116</v>
      </c>
      <c r="L59" s="1474" t="s">
        <v>2123</v>
      </c>
      <c r="M59" s="1475">
        <v>4.7279000000000002E-2</v>
      </c>
      <c r="N59" s="1476">
        <v>1.0171081588433935</v>
      </c>
      <c r="O59" s="1476">
        <v>1.0171081588433935</v>
      </c>
    </row>
    <row r="60" spans="2:15">
      <c r="B60" s="1392">
        <v>34243</v>
      </c>
      <c r="C60" s="1393">
        <v>4.2367972299999996</v>
      </c>
      <c r="D60" s="1393">
        <v>53.908264834853298</v>
      </c>
      <c r="E60" s="1394">
        <v>0</v>
      </c>
      <c r="F60" s="1394">
        <v>1</v>
      </c>
      <c r="K60" s="1473">
        <v>42117</v>
      </c>
      <c r="L60" s="1474" t="s">
        <v>2123</v>
      </c>
      <c r="M60" s="1475">
        <v>4.7279000000000002E-2</v>
      </c>
      <c r="N60" s="1476">
        <v>1.0175890374098129</v>
      </c>
      <c r="O60" s="1476">
        <v>1.0175890374098129</v>
      </c>
    </row>
    <row r="61" spans="2:15">
      <c r="B61" s="1392">
        <v>34274</v>
      </c>
      <c r="C61" s="1393">
        <v>5.7685216500000003</v>
      </c>
      <c r="D61" s="1393">
        <v>73.078046584524003</v>
      </c>
      <c r="E61" s="1394">
        <v>0</v>
      </c>
      <c r="F61" s="1394">
        <v>1</v>
      </c>
      <c r="K61" s="1473">
        <v>42118</v>
      </c>
      <c r="L61" s="1474" t="s">
        <v>2123</v>
      </c>
      <c r="M61" s="1475">
        <v>4.7279000000000002E-2</v>
      </c>
      <c r="N61" s="1476">
        <v>1.0180701433308097</v>
      </c>
      <c r="O61" s="1476">
        <v>1.0180701433308097</v>
      </c>
    </row>
    <row r="62" spans="2:15">
      <c r="B62" s="1392">
        <v>34304</v>
      </c>
      <c r="C62" s="1393">
        <v>7.9792505900000004</v>
      </c>
      <c r="D62" s="1393">
        <v>100</v>
      </c>
      <c r="E62" s="1394">
        <v>0</v>
      </c>
      <c r="F62" s="1394">
        <v>1</v>
      </c>
      <c r="K62" s="1473">
        <v>42119</v>
      </c>
      <c r="L62" s="1474"/>
      <c r="M62" s="1475">
        <v>0</v>
      </c>
      <c r="N62" s="1476">
        <v>1.0180701433308097</v>
      </c>
      <c r="O62" s="1476">
        <v>1.0180701433308097</v>
      </c>
    </row>
    <row r="63" spans="2:15">
      <c r="B63" s="1392">
        <v>34335</v>
      </c>
      <c r="C63" s="1393">
        <v>11.0967647</v>
      </c>
      <c r="D63" s="1393">
        <v>141.31</v>
      </c>
      <c r="E63" s="1394">
        <v>0</v>
      </c>
      <c r="F63" s="1394">
        <v>1</v>
      </c>
      <c r="K63" s="1473">
        <v>42120</v>
      </c>
      <c r="L63" s="1474"/>
      <c r="M63" s="1475">
        <v>0</v>
      </c>
      <c r="N63" s="1476">
        <v>1.0180701433308097</v>
      </c>
      <c r="O63" s="1476">
        <v>1.0180701433308097</v>
      </c>
    </row>
    <row r="64" spans="2:15">
      <c r="B64" s="1392">
        <v>34366</v>
      </c>
      <c r="C64" s="1393">
        <v>15.62186911</v>
      </c>
      <c r="D64" s="1393">
        <v>198.22</v>
      </c>
      <c r="E64" s="1394">
        <v>0</v>
      </c>
      <c r="F64" s="1394">
        <v>1</v>
      </c>
      <c r="K64" s="1473">
        <v>42121</v>
      </c>
      <c r="L64" s="1474" t="s">
        <v>2123</v>
      </c>
      <c r="M64" s="1475">
        <v>4.7314000000000002E-2</v>
      </c>
      <c r="N64" s="1476">
        <v>1.0185518330384251</v>
      </c>
      <c r="O64" s="1476">
        <v>1.0185518330384251</v>
      </c>
    </row>
    <row r="65" spans="2:15">
      <c r="B65" s="1392">
        <v>34394</v>
      </c>
      <c r="C65" s="1393">
        <v>22.762782099999999</v>
      </c>
      <c r="D65" s="1393">
        <v>282.95999999999998</v>
      </c>
      <c r="E65" s="1394">
        <v>0</v>
      </c>
      <c r="F65" s="1394">
        <v>1</v>
      </c>
      <c r="K65" s="1473">
        <v>42122</v>
      </c>
      <c r="L65" s="1474" t="s">
        <v>2123</v>
      </c>
      <c r="M65" s="1475">
        <v>4.7350000000000003E-2</v>
      </c>
      <c r="N65" s="1476">
        <v>1.0190341173313688</v>
      </c>
      <c r="O65" s="1476">
        <v>1.0190341173313688</v>
      </c>
    </row>
    <row r="66" spans="2:15">
      <c r="B66" s="1392">
        <v>34425</v>
      </c>
      <c r="C66" s="1393">
        <v>32.074938510000003</v>
      </c>
      <c r="D66" s="1393">
        <v>403.73</v>
      </c>
      <c r="E66" s="1394">
        <v>0</v>
      </c>
      <c r="F66" s="1394">
        <v>1</v>
      </c>
      <c r="K66" s="1473">
        <v>42123</v>
      </c>
      <c r="L66" s="1474" t="s">
        <v>2123</v>
      </c>
      <c r="M66" s="1475">
        <v>4.7350000000000003E-2</v>
      </c>
      <c r="N66" s="1476">
        <v>1.0195166299859253</v>
      </c>
      <c r="O66" s="1476">
        <v>1.0195166299859253</v>
      </c>
    </row>
    <row r="67" spans="2:15">
      <c r="B67" s="1392">
        <v>34455</v>
      </c>
      <c r="C67" s="1393">
        <v>45.731576959999998</v>
      </c>
      <c r="D67" s="1393">
        <v>581.49</v>
      </c>
      <c r="E67" s="1394">
        <v>0</v>
      </c>
      <c r="F67" s="1394">
        <v>1</v>
      </c>
      <c r="K67" s="1473">
        <v>42124</v>
      </c>
      <c r="L67" s="1474" t="s">
        <v>2123</v>
      </c>
      <c r="M67" s="1475">
        <v>4.9036999999999997E-2</v>
      </c>
      <c r="N67" s="1476">
        <v>1.0200165703557715</v>
      </c>
      <c r="O67" s="1476">
        <v>1.0200165703557715</v>
      </c>
    </row>
    <row r="68" spans="2:15">
      <c r="B68" s="1392">
        <v>34486</v>
      </c>
      <c r="C68" s="1393">
        <v>66.408212939999999</v>
      </c>
      <c r="D68" s="1393">
        <v>857.29</v>
      </c>
      <c r="E68" s="1394">
        <v>0</v>
      </c>
      <c r="F68" s="1394">
        <v>1</v>
      </c>
      <c r="K68" s="1473">
        <v>42125</v>
      </c>
      <c r="L68" s="1474"/>
      <c r="M68" s="1475">
        <v>0</v>
      </c>
      <c r="N68" s="1476">
        <v>1.0200165703557715</v>
      </c>
      <c r="O68" s="1476">
        <v>1.0200165703557715</v>
      </c>
    </row>
    <row r="69" spans="2:15">
      <c r="B69" s="1392">
        <v>34516</v>
      </c>
      <c r="C69" s="1393">
        <v>92.968426030000003</v>
      </c>
      <c r="D69" s="1393">
        <v>915.93</v>
      </c>
      <c r="E69" s="1394">
        <v>0</v>
      </c>
      <c r="F69" s="1394">
        <v>1</v>
      </c>
      <c r="K69" s="1473">
        <v>42126</v>
      </c>
      <c r="L69" s="1474"/>
      <c r="M69" s="1475">
        <v>0</v>
      </c>
      <c r="N69" s="1476">
        <v>1.0200165703557715</v>
      </c>
      <c r="O69" s="1476">
        <v>1.0200165703557715</v>
      </c>
    </row>
    <row r="70" spans="2:15">
      <c r="B70" s="1392">
        <v>34547</v>
      </c>
      <c r="C70" s="1393">
        <v>100</v>
      </c>
      <c r="D70" s="1393">
        <v>932.97</v>
      </c>
      <c r="E70" s="1394">
        <v>1.0417031360600404</v>
      </c>
      <c r="F70" s="1394">
        <v>1.0417031360600404</v>
      </c>
      <c r="K70" s="1473">
        <v>42127</v>
      </c>
      <c r="L70" s="1474"/>
      <c r="M70" s="1475">
        <v>0</v>
      </c>
      <c r="N70" s="1476">
        <v>1.0200165703557715</v>
      </c>
      <c r="O70" s="1476">
        <v>1.0200165703557715</v>
      </c>
    </row>
    <row r="71" spans="2:15">
      <c r="B71" s="1392">
        <v>34578</v>
      </c>
      <c r="C71" s="1393">
        <v>101.751</v>
      </c>
      <c r="D71" s="1393">
        <v>947.24</v>
      </c>
      <c r="E71" s="1394">
        <v>1.040191380612066</v>
      </c>
      <c r="F71" s="1394">
        <v>1.0835706232862121</v>
      </c>
      <c r="K71" s="1473">
        <v>42128</v>
      </c>
      <c r="L71" s="1474" t="s">
        <v>2123</v>
      </c>
      <c r="M71" s="1475">
        <v>4.9036999999999997E-2</v>
      </c>
      <c r="N71" s="1476">
        <v>1.020516755881377</v>
      </c>
      <c r="O71" s="1476">
        <v>1.020516755881377</v>
      </c>
    </row>
    <row r="72" spans="2:15">
      <c r="B72" s="1392">
        <v>34608</v>
      </c>
      <c r="C72" s="1393">
        <v>103.602</v>
      </c>
      <c r="D72" s="1393">
        <v>972.06</v>
      </c>
      <c r="E72" s="1394">
        <v>1.0400235119965635</v>
      </c>
      <c r="F72" s="1394">
        <v>1.1269389251264317</v>
      </c>
      <c r="K72" s="1473">
        <v>42129</v>
      </c>
      <c r="L72" s="1474" t="s">
        <v>2123</v>
      </c>
      <c r="M72" s="1475">
        <v>4.9036999999999997E-2</v>
      </c>
      <c r="N72" s="1476">
        <v>1.0210171866829587</v>
      </c>
      <c r="O72" s="1476">
        <v>1.0210171866829587</v>
      </c>
    </row>
    <row r="73" spans="2:15">
      <c r="B73" s="1392">
        <v>34639</v>
      </c>
      <c r="C73" s="1393">
        <v>106.553</v>
      </c>
      <c r="D73" s="1393">
        <v>999.37</v>
      </c>
      <c r="E73" s="1394">
        <v>1.0448704061969656</v>
      </c>
      <c r="F73" s="1394">
        <v>1.1775051324560264</v>
      </c>
      <c r="K73" s="1473">
        <v>42130</v>
      </c>
      <c r="L73" s="1474" t="s">
        <v>2123</v>
      </c>
      <c r="M73" s="1475">
        <v>4.9036999999999997E-2</v>
      </c>
      <c r="N73" s="1476">
        <v>1.0215178628807926</v>
      </c>
      <c r="O73" s="1476">
        <v>1.0215178628807926</v>
      </c>
    </row>
    <row r="74" spans="2:15">
      <c r="B74" s="1392">
        <v>34669</v>
      </c>
      <c r="C74" s="1393">
        <v>107.45</v>
      </c>
      <c r="D74" s="1393">
        <v>1016.46</v>
      </c>
      <c r="E74" s="1394">
        <v>1.0379749903132509</v>
      </c>
      <c r="F74" s="1394">
        <v>1.2222208784548472</v>
      </c>
      <c r="K74" s="1473">
        <v>42131</v>
      </c>
      <c r="L74" s="1474" t="s">
        <v>2123</v>
      </c>
      <c r="M74" s="1475">
        <v>4.9036999999999997E-2</v>
      </c>
      <c r="N74" s="1476">
        <v>1.0220187845952136</v>
      </c>
      <c r="O74" s="1476">
        <v>1.0220187845952136</v>
      </c>
    </row>
    <row r="75" spans="2:15">
      <c r="B75" s="1392">
        <v>34700</v>
      </c>
      <c r="C75" s="1393">
        <v>108.44199999999999</v>
      </c>
      <c r="D75" s="1393">
        <v>1033.74</v>
      </c>
      <c r="E75" s="1394">
        <v>1.033745155557255</v>
      </c>
      <c r="F75" s="1394">
        <v>1.2634649121236308</v>
      </c>
      <c r="K75" s="1473">
        <v>42132</v>
      </c>
      <c r="L75" s="1474" t="s">
        <v>2123</v>
      </c>
      <c r="M75" s="1475">
        <v>4.9036999999999997E-2</v>
      </c>
      <c r="N75" s="1476">
        <v>1.0225199519466155</v>
      </c>
      <c r="O75" s="1476">
        <v>1.0225199519466155</v>
      </c>
    </row>
    <row r="76" spans="2:15">
      <c r="B76" s="1392">
        <v>34731</v>
      </c>
      <c r="C76" s="1393">
        <v>109.9455</v>
      </c>
      <c r="D76" s="1393">
        <v>1044.28</v>
      </c>
      <c r="E76" s="1394">
        <v>1.0361946548110796</v>
      </c>
      <c r="F76" s="1394">
        <v>1.3091955884838566</v>
      </c>
      <c r="K76" s="1473">
        <v>42133</v>
      </c>
      <c r="L76" s="1474"/>
      <c r="M76" s="1475">
        <v>0</v>
      </c>
      <c r="N76" s="1476">
        <v>1.0225199519466155</v>
      </c>
      <c r="O76" s="1476">
        <v>1.0225199519466155</v>
      </c>
    </row>
    <row r="77" spans="2:15">
      <c r="B77" s="1392">
        <v>34759</v>
      </c>
      <c r="C77" s="1393">
        <v>111.178</v>
      </c>
      <c r="D77" s="1393">
        <v>1060.47</v>
      </c>
      <c r="E77" s="1394">
        <v>1.0426211014987152</v>
      </c>
      <c r="F77" s="1394">
        <v>1.3649949465422972</v>
      </c>
      <c r="K77" s="1473">
        <v>42134</v>
      </c>
      <c r="L77" s="1474"/>
      <c r="M77" s="1475">
        <v>0</v>
      </c>
      <c r="N77" s="1476">
        <v>1.0225199519466155</v>
      </c>
      <c r="O77" s="1476">
        <v>1.0225199519466155</v>
      </c>
    </row>
    <row r="78" spans="2:15">
      <c r="B78" s="1392">
        <v>34790</v>
      </c>
      <c r="C78" s="1393">
        <v>113.518</v>
      </c>
      <c r="D78" s="1393">
        <v>1086.24</v>
      </c>
      <c r="E78" s="1394">
        <v>1.0502446731743562</v>
      </c>
      <c r="F78" s="1394">
        <v>1.4335786715159629</v>
      </c>
      <c r="K78" s="1473">
        <v>42135</v>
      </c>
      <c r="L78" s="1474" t="s">
        <v>2123</v>
      </c>
      <c r="M78" s="1475">
        <v>4.9036999999999997E-2</v>
      </c>
      <c r="N78" s="1476">
        <v>1.0230213650554516</v>
      </c>
      <c r="O78" s="1476">
        <v>1.0230213650554516</v>
      </c>
    </row>
    <row r="79" spans="2:15">
      <c r="B79" s="1392">
        <v>34820</v>
      </c>
      <c r="C79" s="1393">
        <v>114.17100000000001</v>
      </c>
      <c r="D79" s="1393">
        <v>1115.24</v>
      </c>
      <c r="E79" s="1394">
        <v>1.0450356278102417</v>
      </c>
      <c r="F79" s="1394">
        <v>1.4981407870030565</v>
      </c>
      <c r="K79" s="1473">
        <v>42136</v>
      </c>
      <c r="L79" s="1474" t="s">
        <v>2123</v>
      </c>
      <c r="M79" s="1475">
        <v>4.9036999999999997E-2</v>
      </c>
      <c r="N79" s="1476">
        <v>1.0235230240422339</v>
      </c>
      <c r="O79" s="1476">
        <v>1.0235230240422339</v>
      </c>
    </row>
    <row r="80" spans="2:15">
      <c r="B80" s="1392">
        <v>34851</v>
      </c>
      <c r="C80" s="1393">
        <v>116.98399999999999</v>
      </c>
      <c r="D80" s="1393">
        <v>1140.44</v>
      </c>
      <c r="E80" s="1394">
        <v>1.0423602226147934</v>
      </c>
      <c r="F80" s="1394">
        <v>1.5616023642488079</v>
      </c>
      <c r="K80" s="1473">
        <v>42137</v>
      </c>
      <c r="L80" s="1474" t="s">
        <v>2123</v>
      </c>
      <c r="M80" s="1475">
        <v>4.9036999999999997E-2</v>
      </c>
      <c r="N80" s="1476">
        <v>1.0240249290275336</v>
      </c>
      <c r="O80" s="1476">
        <v>1.0240249290275336</v>
      </c>
    </row>
    <row r="81" spans="2:15">
      <c r="B81" s="1392">
        <v>34881</v>
      </c>
      <c r="C81" s="1393">
        <v>119.114</v>
      </c>
      <c r="D81" s="1393">
        <v>1167.3499999999999</v>
      </c>
      <c r="E81" s="1394">
        <v>1.0402311780170954</v>
      </c>
      <c r="F81" s="1394">
        <v>1.6244274669568188</v>
      </c>
      <c r="K81" s="1473">
        <v>42138</v>
      </c>
      <c r="L81" s="1474" t="s">
        <v>2123</v>
      </c>
      <c r="M81" s="1475">
        <v>4.9036999999999997E-2</v>
      </c>
      <c r="N81" s="1476">
        <v>1.024527080131981</v>
      </c>
      <c r="O81" s="1476">
        <v>1.024527080131981</v>
      </c>
    </row>
    <row r="82" spans="2:15">
      <c r="B82" s="1392">
        <v>34912</v>
      </c>
      <c r="C82" s="1393">
        <v>121.729</v>
      </c>
      <c r="D82" s="1393">
        <v>1178.9100000000001</v>
      </c>
      <c r="E82" s="1393">
        <v>1.0383979241220025</v>
      </c>
      <c r="F82" s="1393">
        <v>1.6868021095747234</v>
      </c>
      <c r="G82" s="7">
        <v>41036.512291666666</v>
      </c>
      <c r="K82" s="1473">
        <v>42139</v>
      </c>
      <c r="L82" s="1474" t="s">
        <v>2123</v>
      </c>
      <c r="M82" s="1475">
        <v>4.9036999999999997E-2</v>
      </c>
      <c r="N82" s="1476">
        <v>1.0250294774762654</v>
      </c>
      <c r="O82" s="1476">
        <v>1.0250294774762654</v>
      </c>
    </row>
    <row r="83" spans="2:15">
      <c r="B83" s="1392">
        <v>34943</v>
      </c>
      <c r="C83" s="1393">
        <v>120.869</v>
      </c>
      <c r="D83" s="1393">
        <v>1190.58</v>
      </c>
      <c r="E83" s="1393">
        <v>1.0349384575781275</v>
      </c>
      <c r="F83" s="1393">
        <v>1.745736373522796</v>
      </c>
      <c r="K83" s="1473">
        <v>42140</v>
      </c>
      <c r="L83" s="1474"/>
      <c r="M83" s="1475">
        <v>0</v>
      </c>
      <c r="N83" s="1476">
        <v>1.0250294774762654</v>
      </c>
      <c r="O83" s="1476">
        <v>1.0250294774762654</v>
      </c>
    </row>
    <row r="84" spans="2:15">
      <c r="B84" s="1392">
        <v>34973</v>
      </c>
      <c r="C84" s="1393">
        <v>121.503</v>
      </c>
      <c r="D84" s="1393">
        <v>1207.3699999999999</v>
      </c>
      <c r="E84" s="1393">
        <v>1.0324041438440343</v>
      </c>
      <c r="F84" s="1393">
        <v>1.8023054660841915</v>
      </c>
      <c r="K84" s="1473">
        <v>42141</v>
      </c>
      <c r="L84" s="1474"/>
      <c r="M84" s="1475">
        <v>0</v>
      </c>
      <c r="N84" s="1476">
        <v>1.0250294774762654</v>
      </c>
      <c r="O84" s="1476">
        <v>1.0250294774762654</v>
      </c>
    </row>
    <row r="85" spans="2:15">
      <c r="B85" s="1392">
        <v>35004</v>
      </c>
      <c r="C85" s="1393">
        <v>122.955</v>
      </c>
      <c r="D85" s="1393">
        <v>1225.1199999999999</v>
      </c>
      <c r="E85" s="1393">
        <v>1.0316999077357936</v>
      </c>
      <c r="F85" s="1393">
        <v>1.8594383830707768</v>
      </c>
      <c r="K85" s="1473">
        <v>42142</v>
      </c>
      <c r="L85" s="1474" t="s">
        <v>2123</v>
      </c>
      <c r="M85" s="1475">
        <v>4.9036999999999997E-2</v>
      </c>
      <c r="N85" s="1476">
        <v>1.0255321211811355</v>
      </c>
      <c r="O85" s="1476">
        <v>1.0255321211811355</v>
      </c>
    </row>
    <row r="86" spans="2:15">
      <c r="B86" s="1392">
        <v>35034</v>
      </c>
      <c r="C86" s="1393">
        <v>123.833</v>
      </c>
      <c r="D86" s="1393">
        <v>1244.23</v>
      </c>
      <c r="E86" s="1393">
        <v>1.0292086837764389</v>
      </c>
      <c r="F86" s="1393">
        <v>1.913750130803664</v>
      </c>
      <c r="K86" s="1473">
        <v>42143</v>
      </c>
      <c r="L86" s="1474" t="s">
        <v>2123</v>
      </c>
      <c r="M86" s="1475">
        <v>4.9036999999999997E-2</v>
      </c>
      <c r="N86" s="1476">
        <v>1.0260350113673991</v>
      </c>
      <c r="O86" s="1476">
        <v>1.0260350113673991</v>
      </c>
    </row>
    <row r="87" spans="2:15">
      <c r="B87" s="1392">
        <v>35065</v>
      </c>
      <c r="C87" s="1393">
        <v>125.977</v>
      </c>
      <c r="D87" s="1393">
        <v>1260.9000000000001</v>
      </c>
      <c r="E87" s="1393">
        <v>1.0271429062533448</v>
      </c>
      <c r="F87" s="1393">
        <v>1.9656948711963942</v>
      </c>
      <c r="K87" s="1473">
        <v>42144</v>
      </c>
      <c r="L87" s="1474" t="s">
        <v>2123</v>
      </c>
      <c r="M87" s="1475">
        <v>4.9036999999999997E-2</v>
      </c>
      <c r="N87" s="1476">
        <v>1.0265381481559233</v>
      </c>
      <c r="O87" s="1476">
        <v>1.0265381481559233</v>
      </c>
    </row>
    <row r="88" spans="2:15">
      <c r="B88" s="1392">
        <v>35096</v>
      </c>
      <c r="C88" s="1393">
        <v>127.202</v>
      </c>
      <c r="D88" s="1393">
        <v>1273.8900000000001</v>
      </c>
      <c r="E88" s="1393">
        <v>1.026088709032714</v>
      </c>
      <c r="F88" s="1393">
        <v>2.0169773127381352</v>
      </c>
      <c r="K88" s="1473">
        <v>42145</v>
      </c>
      <c r="L88" s="1474" t="s">
        <v>2123</v>
      </c>
      <c r="M88" s="1475">
        <v>4.9036999999999997E-2</v>
      </c>
      <c r="N88" s="1476">
        <v>1.0270415316676345</v>
      </c>
      <c r="O88" s="1476">
        <v>1.0270415316676345</v>
      </c>
    </row>
    <row r="89" spans="2:15">
      <c r="B89" s="1392">
        <v>35125</v>
      </c>
      <c r="C89" s="1393">
        <v>127.715</v>
      </c>
      <c r="D89" s="1393">
        <v>1278.3499999999999</v>
      </c>
      <c r="E89" s="1393">
        <v>1.0222082178682002</v>
      </c>
      <c r="F89" s="1393">
        <v>2.0617707843346404</v>
      </c>
      <c r="K89" s="1473">
        <v>42146</v>
      </c>
      <c r="L89" s="1474" t="s">
        <v>2123</v>
      </c>
      <c r="M89" s="1475">
        <v>4.9036999999999997E-2</v>
      </c>
      <c r="N89" s="1476">
        <v>1.0275451620235183</v>
      </c>
      <c r="O89" s="1476">
        <v>1.0275451620235183</v>
      </c>
    </row>
    <row r="90" spans="2:15">
      <c r="B90" s="1392">
        <v>35156</v>
      </c>
      <c r="C90" s="1393">
        <v>128.13</v>
      </c>
      <c r="D90" s="1393">
        <v>1294.46</v>
      </c>
      <c r="E90" s="1393">
        <v>1.0227569082086725</v>
      </c>
      <c r="F90" s="1393">
        <v>2.1086903128210666</v>
      </c>
      <c r="K90" s="1473">
        <v>42147</v>
      </c>
      <c r="L90" s="1474"/>
      <c r="M90" s="1475">
        <v>0</v>
      </c>
      <c r="N90" s="1476">
        <v>1.0275451620235183</v>
      </c>
      <c r="O90" s="1476">
        <v>1.0275451620235183</v>
      </c>
    </row>
    <row r="91" spans="2:15">
      <c r="B91" s="1392">
        <v>35186</v>
      </c>
      <c r="C91" s="1393">
        <v>130.12100000000001</v>
      </c>
      <c r="D91" s="1393">
        <v>1310.25</v>
      </c>
      <c r="E91" s="1393">
        <v>1.0210626514511167</v>
      </c>
      <c r="F91" s="1393">
        <v>2.1531049218983629</v>
      </c>
      <c r="K91" s="1473">
        <v>42148</v>
      </c>
      <c r="L91" s="1474"/>
      <c r="M91" s="1475">
        <v>0</v>
      </c>
      <c r="N91" s="1476">
        <v>1.0275451620235183</v>
      </c>
      <c r="O91" s="1476">
        <v>1.0275451620235183</v>
      </c>
    </row>
    <row r="92" spans="2:15">
      <c r="B92" s="1392">
        <v>35217</v>
      </c>
      <c r="C92" s="1393">
        <v>131.44499999999999</v>
      </c>
      <c r="D92" s="1393">
        <v>1325.84</v>
      </c>
      <c r="E92" s="1393">
        <v>1.020826552130859</v>
      </c>
      <c r="F92" s="1393">
        <v>2.1979466737974884</v>
      </c>
      <c r="K92" s="1473">
        <v>42149</v>
      </c>
      <c r="L92" s="1474" t="s">
        <v>2123</v>
      </c>
      <c r="M92" s="1475">
        <v>4.9036999999999997E-2</v>
      </c>
      <c r="N92" s="1476">
        <v>1.0280490393446198</v>
      </c>
      <c r="O92" s="1476">
        <v>1.0280490393446198</v>
      </c>
    </row>
    <row r="93" spans="2:15">
      <c r="B93" s="1392">
        <v>35247</v>
      </c>
      <c r="C93" s="1393">
        <v>133.21299999999999</v>
      </c>
      <c r="D93" s="1393">
        <v>1340.56</v>
      </c>
      <c r="E93" s="1393">
        <v>1.0192856968560815</v>
      </c>
      <c r="F93" s="1393">
        <v>2.2403356070541793</v>
      </c>
      <c r="K93" s="1473">
        <v>42150</v>
      </c>
      <c r="L93" s="1474" t="s">
        <v>2123</v>
      </c>
      <c r="M93" s="1475">
        <v>4.9036999999999997E-2</v>
      </c>
      <c r="N93" s="1476">
        <v>1.0285531637520433</v>
      </c>
      <c r="O93" s="1476">
        <v>1.0285531637520433</v>
      </c>
    </row>
    <row r="94" spans="2:15">
      <c r="B94" s="1392">
        <v>35278</v>
      </c>
      <c r="C94" s="1393">
        <v>133.58699999999999</v>
      </c>
      <c r="D94" s="1393">
        <v>1346.46</v>
      </c>
      <c r="E94" s="1393">
        <v>1.0196791435025818</v>
      </c>
      <c r="F94" s="1393">
        <v>2.2844234929593421</v>
      </c>
      <c r="K94" s="1473">
        <v>42151</v>
      </c>
      <c r="L94" s="1474" t="s">
        <v>2123</v>
      </c>
      <c r="M94" s="1475">
        <v>4.9036999999999997E-2</v>
      </c>
      <c r="N94" s="1476">
        <v>1.0290575353669524</v>
      </c>
      <c r="O94" s="1476">
        <v>1.0290575353669524</v>
      </c>
    </row>
    <row r="95" spans="2:15">
      <c r="B95" s="1392">
        <v>35309</v>
      </c>
      <c r="C95" s="1393">
        <v>133.72200000000001</v>
      </c>
      <c r="D95" s="1393">
        <v>1348.48</v>
      </c>
      <c r="E95" s="1393">
        <v>1.0190405257020327</v>
      </c>
      <c r="F95" s="1393">
        <v>2.3279201171913617</v>
      </c>
      <c r="K95" s="1473">
        <v>42152</v>
      </c>
      <c r="L95" s="1474" t="s">
        <v>2123</v>
      </c>
      <c r="M95" s="1475">
        <v>4.9036999999999997E-2</v>
      </c>
      <c r="N95" s="1476">
        <v>1.0295621543105704</v>
      </c>
      <c r="O95" s="1476">
        <v>1.0295621543105704</v>
      </c>
    </row>
    <row r="96" spans="2:15">
      <c r="B96" s="1392">
        <v>35339</v>
      </c>
      <c r="C96" s="1393">
        <v>133.97800000000001</v>
      </c>
      <c r="D96" s="1393">
        <v>1352.53</v>
      </c>
      <c r="E96" s="1393">
        <v>1.0194350405573067</v>
      </c>
      <c r="F96" s="1393">
        <v>2.3731633390831459</v>
      </c>
      <c r="K96" s="1473">
        <v>42153</v>
      </c>
      <c r="L96" s="1474" t="s">
        <v>2123</v>
      </c>
      <c r="M96" s="1475">
        <v>4.9036999999999997E-2</v>
      </c>
      <c r="N96" s="1476">
        <v>1.0300670207041798</v>
      </c>
      <c r="O96" s="1476">
        <v>1.0300670207041798</v>
      </c>
    </row>
    <row r="97" spans="2:15">
      <c r="B97" s="1392">
        <v>35370</v>
      </c>
      <c r="C97" s="1393">
        <v>134.24199999999999</v>
      </c>
      <c r="D97" s="1393">
        <v>1356.86</v>
      </c>
      <c r="E97" s="1393">
        <v>1.018952291397875</v>
      </c>
      <c r="F97" s="1393">
        <v>2.4181402222202037</v>
      </c>
      <c r="K97" s="1473">
        <v>42154</v>
      </c>
      <c r="L97" s="1474"/>
      <c r="M97" s="1475">
        <v>0</v>
      </c>
      <c r="N97" s="1476">
        <v>1.0300670207041798</v>
      </c>
      <c r="O97" s="1476">
        <v>1.0300670207041798</v>
      </c>
    </row>
    <row r="98" spans="2:15">
      <c r="B98" s="1392">
        <v>35400</v>
      </c>
      <c r="C98" s="1393">
        <v>135.22499999999999</v>
      </c>
      <c r="D98" s="1393">
        <v>1363.24</v>
      </c>
      <c r="E98" s="1393">
        <v>1.0189221360623306</v>
      </c>
      <c r="F98" s="1393">
        <v>2.4638966005228489</v>
      </c>
      <c r="K98" s="1473">
        <v>42155</v>
      </c>
      <c r="L98" s="1474"/>
      <c r="M98" s="1475">
        <v>0</v>
      </c>
      <c r="N98" s="1476">
        <v>1.0300670207041798</v>
      </c>
      <c r="O98" s="1476">
        <v>1.0300670207041798</v>
      </c>
    </row>
    <row r="99" spans="2:15">
      <c r="B99" s="1392">
        <v>35431</v>
      </c>
      <c r="C99" s="1393">
        <v>137.613</v>
      </c>
      <c r="D99" s="1393">
        <v>1379.33</v>
      </c>
      <c r="E99" s="1393">
        <v>1.0182168360386268</v>
      </c>
      <c r="F99" s="1393">
        <v>2.5087810009107034</v>
      </c>
      <c r="K99" s="1473">
        <v>42156</v>
      </c>
      <c r="L99" s="1474" t="s">
        <v>2123</v>
      </c>
      <c r="M99" s="1475">
        <v>4.9036999999999997E-2</v>
      </c>
      <c r="N99" s="1476">
        <v>1.0305721346691226</v>
      </c>
      <c r="O99" s="1476">
        <v>1.0305721346691226</v>
      </c>
    </row>
    <row r="100" spans="2:15">
      <c r="B100" s="1392">
        <v>35462</v>
      </c>
      <c r="C100" s="1393">
        <v>138.20400000000001</v>
      </c>
      <c r="D100" s="1393">
        <v>1386.23</v>
      </c>
      <c r="E100" s="1393">
        <v>1.018615977536991</v>
      </c>
      <c r="F100" s="1393">
        <v>2.5554844116688868</v>
      </c>
      <c r="K100" s="1473">
        <v>42157</v>
      </c>
      <c r="L100" s="1474" t="s">
        <v>2123</v>
      </c>
      <c r="M100" s="1475">
        <v>4.9036999999999997E-2</v>
      </c>
      <c r="N100" s="1476">
        <v>1.0310774963268003</v>
      </c>
      <c r="O100" s="1476">
        <v>1.0310774963268003</v>
      </c>
    </row>
    <row r="101" spans="2:15">
      <c r="B101" s="1392">
        <v>35490</v>
      </c>
      <c r="C101" s="1393">
        <v>139.79499999999999</v>
      </c>
      <c r="D101" s="1393">
        <v>1393.3</v>
      </c>
      <c r="E101" s="1393">
        <v>1.0181653196053577</v>
      </c>
      <c r="F101" s="1393">
        <v>2.6019056027533618</v>
      </c>
      <c r="K101" s="1473">
        <v>42158</v>
      </c>
      <c r="L101" s="1474" t="s">
        <v>2123</v>
      </c>
      <c r="M101" s="1475">
        <v>4.9036999999999997E-2</v>
      </c>
      <c r="N101" s="1476">
        <v>1.0315831057986742</v>
      </c>
      <c r="O101" s="1476">
        <v>1.0315831057986742</v>
      </c>
    </row>
    <row r="102" spans="2:15">
      <c r="B102" s="1392">
        <v>35521</v>
      </c>
      <c r="C102" s="1393">
        <v>140.74199999999999</v>
      </c>
      <c r="D102" s="1393">
        <v>1405.56</v>
      </c>
      <c r="E102" s="1393">
        <v>1.0174130782041242</v>
      </c>
      <c r="F102" s="1393">
        <v>2.6472127884938548</v>
      </c>
      <c r="K102" s="1473">
        <v>42159</v>
      </c>
      <c r="L102" s="1474"/>
      <c r="M102" s="1475">
        <v>0</v>
      </c>
      <c r="N102" s="1476">
        <v>1.0315831057986742</v>
      </c>
      <c r="O102" s="1476">
        <v>1.0315831057986742</v>
      </c>
    </row>
    <row r="103" spans="2:15">
      <c r="B103" s="1392">
        <v>35551</v>
      </c>
      <c r="C103" s="1393">
        <v>141.04</v>
      </c>
      <c r="D103" s="1393">
        <v>1411.32</v>
      </c>
      <c r="E103" s="1393">
        <v>1.0173859708262292</v>
      </c>
      <c r="F103" s="1393">
        <v>2.6932371528054295</v>
      </c>
      <c r="K103" s="1473">
        <v>42160</v>
      </c>
      <c r="L103" s="1474" t="s">
        <v>2123</v>
      </c>
      <c r="M103" s="1475">
        <v>5.0788E-2</v>
      </c>
      <c r="N103" s="1476">
        <v>1.0321070262264471</v>
      </c>
      <c r="O103" s="1476">
        <v>1.0321070262264471</v>
      </c>
    </row>
    <row r="104" spans="2:15">
      <c r="B104" s="1392">
        <v>35582</v>
      </c>
      <c r="C104" s="1393">
        <v>142.09</v>
      </c>
      <c r="D104" s="1393">
        <v>1418.94</v>
      </c>
      <c r="E104" s="1393">
        <v>1.0160683269749473</v>
      </c>
      <c r="F104" s="1393">
        <v>2.7365129679977831</v>
      </c>
      <c r="K104" s="1473">
        <v>42161</v>
      </c>
      <c r="L104" s="1474"/>
      <c r="M104" s="1475">
        <v>0</v>
      </c>
      <c r="N104" s="1476">
        <v>1.0321070262264471</v>
      </c>
      <c r="O104" s="1476">
        <v>1.0321070262264471</v>
      </c>
    </row>
    <row r="105" spans="2:15">
      <c r="B105" s="1392">
        <v>35612</v>
      </c>
      <c r="C105" s="1393">
        <v>142.221</v>
      </c>
      <c r="D105" s="1393">
        <v>1422.06</v>
      </c>
      <c r="E105" s="1393">
        <v>1.0160384417373229</v>
      </c>
      <c r="F105" s="1393">
        <v>2.7804023717984441</v>
      </c>
      <c r="K105" s="1473">
        <v>42162</v>
      </c>
      <c r="L105" s="1474"/>
      <c r="M105" s="1475">
        <v>0</v>
      </c>
      <c r="N105" s="1476">
        <v>1.0321070262264471</v>
      </c>
      <c r="O105" s="1476">
        <v>1.0321070262264471</v>
      </c>
    </row>
    <row r="106" spans="2:15">
      <c r="B106" s="1392">
        <v>35643</v>
      </c>
      <c r="C106" s="1393">
        <v>142.35300000000001</v>
      </c>
      <c r="D106" s="1393">
        <v>1421.78</v>
      </c>
      <c r="E106" s="1393">
        <v>1.0158585469231169</v>
      </c>
      <c r="F106" s="1393">
        <v>2.8244955132767555</v>
      </c>
      <c r="K106" s="1473">
        <v>42163</v>
      </c>
      <c r="L106" s="1474" t="s">
        <v>2123</v>
      </c>
      <c r="M106" s="1475">
        <v>5.0788E-2</v>
      </c>
      <c r="N106" s="1476">
        <v>1.0326312127429271</v>
      </c>
      <c r="O106" s="1476">
        <v>1.0326312127429271</v>
      </c>
    </row>
    <row r="107" spans="2:15">
      <c r="B107" s="1392">
        <v>35674</v>
      </c>
      <c r="C107" s="1393">
        <v>143.042</v>
      </c>
      <c r="D107" s="1393">
        <v>1422.63</v>
      </c>
      <c r="E107" s="1393">
        <v>1.0159028051900765</v>
      </c>
      <c r="F107" s="1393">
        <v>2.869412915184641</v>
      </c>
      <c r="K107" s="1473">
        <v>42164</v>
      </c>
      <c r="L107" s="1474" t="s">
        <v>2123</v>
      </c>
      <c r="M107" s="1475">
        <v>5.0788E-2</v>
      </c>
      <c r="N107" s="1476">
        <v>1.033155665483255</v>
      </c>
      <c r="O107" s="1476">
        <v>1.033155665483255</v>
      </c>
    </row>
    <row r="108" spans="2:15">
      <c r="B108" s="1392">
        <v>35704</v>
      </c>
      <c r="C108" s="1393">
        <v>143.56700000000001</v>
      </c>
      <c r="D108" s="1393">
        <v>1425.9</v>
      </c>
      <c r="E108" s="1393">
        <v>1.0167288802763557</v>
      </c>
      <c r="F108" s="1393">
        <v>2.9174149803061935</v>
      </c>
      <c r="K108" s="1473">
        <v>42165</v>
      </c>
      <c r="L108" s="1474" t="s">
        <v>2123</v>
      </c>
      <c r="M108" s="1475">
        <v>5.0788E-2</v>
      </c>
      <c r="N108" s="1476">
        <v>1.0336803845826406</v>
      </c>
      <c r="O108" s="1476">
        <v>1.0336803845826406</v>
      </c>
    </row>
    <row r="109" spans="2:15">
      <c r="B109" s="1392">
        <v>35735</v>
      </c>
      <c r="C109" s="1393">
        <v>144.48099999999999</v>
      </c>
      <c r="D109" s="1393">
        <v>1428.32</v>
      </c>
      <c r="E109" s="1393">
        <v>1.0304347964479648</v>
      </c>
      <c r="F109" s="1393">
        <v>3.0062059113860555</v>
      </c>
      <c r="K109" s="1473">
        <v>42166</v>
      </c>
      <c r="L109" s="1474" t="s">
        <v>2123</v>
      </c>
      <c r="M109" s="1475">
        <v>5.0788E-2</v>
      </c>
      <c r="N109" s="1476">
        <v>1.0342053701763625</v>
      </c>
      <c r="O109" s="1476">
        <v>1.0342053701763625</v>
      </c>
    </row>
    <row r="110" spans="2:15">
      <c r="B110" s="1392">
        <v>35765</v>
      </c>
      <c r="C110" s="1393">
        <v>145.69499999999999</v>
      </c>
      <c r="D110" s="1393">
        <v>1434.46</v>
      </c>
      <c r="E110" s="1393">
        <v>1.0311549813439238</v>
      </c>
      <c r="F110" s="1393">
        <v>3.0998642004712815</v>
      </c>
      <c r="K110" s="1473">
        <v>42167</v>
      </c>
      <c r="L110" s="1474" t="s">
        <v>2123</v>
      </c>
      <c r="M110" s="1475">
        <v>5.0788E-2</v>
      </c>
      <c r="N110" s="1476">
        <v>1.0347306223997677</v>
      </c>
      <c r="O110" s="1476">
        <v>1.0347306223997677</v>
      </c>
    </row>
    <row r="111" spans="2:15">
      <c r="B111" s="1392">
        <v>35796</v>
      </c>
      <c r="C111" s="1393">
        <v>147.09100000000001</v>
      </c>
      <c r="D111" s="1393">
        <v>1444.64</v>
      </c>
      <c r="E111" s="1393">
        <v>1.0280960413836384</v>
      </c>
      <c r="F111" s="1393">
        <v>3.1869581133313818</v>
      </c>
      <c r="K111" s="1473">
        <v>42168</v>
      </c>
      <c r="L111" s="1474"/>
      <c r="M111" s="1475">
        <v>0</v>
      </c>
      <c r="N111" s="1476">
        <v>1.0347306223997677</v>
      </c>
      <c r="O111" s="1476">
        <v>1.0347306223997677</v>
      </c>
    </row>
    <row r="112" spans="2:15">
      <c r="B112" s="1392">
        <v>35827</v>
      </c>
      <c r="C112" s="1393">
        <v>147.35599999999999</v>
      </c>
      <c r="D112" s="1393">
        <v>1451.29</v>
      </c>
      <c r="E112" s="1393">
        <v>1.0236711069024262</v>
      </c>
      <c r="F112" s="1393">
        <v>3.2623969395256034</v>
      </c>
      <c r="K112" s="1473">
        <v>42169</v>
      </c>
      <c r="L112" s="1474"/>
      <c r="M112" s="1475">
        <v>0</v>
      </c>
      <c r="N112" s="1476">
        <v>1.0347306223997677</v>
      </c>
      <c r="O112" s="1476">
        <v>1.0347306223997677</v>
      </c>
    </row>
    <row r="113" spans="2:15">
      <c r="B113" s="1392">
        <v>35855</v>
      </c>
      <c r="C113" s="1393">
        <v>147.63499999999999</v>
      </c>
      <c r="D113" s="1393">
        <v>1456.22</v>
      </c>
      <c r="E113" s="1393">
        <v>1.0220072916308196</v>
      </c>
      <c r="F113" s="1393">
        <v>3.3341934603892365</v>
      </c>
      <c r="K113" s="1473">
        <v>42170</v>
      </c>
      <c r="L113" s="1474" t="s">
        <v>2123</v>
      </c>
      <c r="M113" s="1475">
        <v>5.0788E-2</v>
      </c>
      <c r="N113" s="1476">
        <v>1.0352561413882722</v>
      </c>
      <c r="O113" s="1476">
        <v>1.0352561413882722</v>
      </c>
    </row>
    <row r="114" spans="2:15">
      <c r="B114" s="1392">
        <v>35886</v>
      </c>
      <c r="C114" s="1393">
        <v>147.821</v>
      </c>
      <c r="D114" s="1393">
        <v>1459.71</v>
      </c>
      <c r="E114" s="1393">
        <v>1.0199031041694671</v>
      </c>
      <c r="F114" s="1393">
        <v>3.4005542601525192</v>
      </c>
      <c r="K114" s="1473">
        <v>42171</v>
      </c>
      <c r="L114" s="1474" t="s">
        <v>2123</v>
      </c>
      <c r="M114" s="1475">
        <v>5.0788E-2</v>
      </c>
      <c r="N114" s="1476">
        <v>1.0357819272773605</v>
      </c>
      <c r="O114" s="1476">
        <v>1.0357819272773605</v>
      </c>
    </row>
    <row r="115" spans="2:15">
      <c r="B115" s="1392">
        <v>35916</v>
      </c>
      <c r="C115" s="1393">
        <v>148.02099999999999</v>
      </c>
      <c r="D115" s="1393">
        <v>1467.01</v>
      </c>
      <c r="E115" s="1393">
        <v>1.0171306475499944</v>
      </c>
      <c r="F115" s="1393">
        <v>3.4588079566578238</v>
      </c>
      <c r="K115" s="1473">
        <v>42172</v>
      </c>
      <c r="L115" s="1474" t="s">
        <v>2123</v>
      </c>
      <c r="M115" s="1475">
        <v>5.0788E-2</v>
      </c>
      <c r="N115" s="1476">
        <v>1.0363079802025861</v>
      </c>
      <c r="O115" s="1476">
        <v>1.0363079802025861</v>
      </c>
    </row>
    <row r="116" spans="2:15">
      <c r="B116" s="1392">
        <v>35947</v>
      </c>
      <c r="C116" s="1393">
        <v>148.58799999999999</v>
      </c>
      <c r="D116" s="1393">
        <v>1467.3</v>
      </c>
      <c r="E116" s="1393">
        <v>1.0167959651913006</v>
      </c>
      <c r="F116" s="1393">
        <v>3.5169019747012422</v>
      </c>
      <c r="K116" s="1473">
        <v>42173</v>
      </c>
      <c r="L116" s="1474" t="s">
        <v>2123</v>
      </c>
      <c r="M116" s="1475">
        <v>5.0788E-2</v>
      </c>
      <c r="N116" s="1476">
        <v>1.0368343002995715</v>
      </c>
      <c r="O116" s="1476">
        <v>1.0368343002995715</v>
      </c>
    </row>
    <row r="117" spans="2:15">
      <c r="B117" s="1392">
        <v>35977</v>
      </c>
      <c r="C117" s="1393">
        <v>148.339</v>
      </c>
      <c r="D117" s="1393">
        <v>1465.54</v>
      </c>
      <c r="E117" s="1393">
        <v>1.0170373206405035</v>
      </c>
      <c r="F117" s="1393">
        <v>3.5768205613054471</v>
      </c>
      <c r="K117" s="1473">
        <v>42174</v>
      </c>
      <c r="L117" s="1474" t="s">
        <v>2123</v>
      </c>
      <c r="M117" s="1475">
        <v>5.0788E-2</v>
      </c>
      <c r="N117" s="1476">
        <v>1.0373608877040077</v>
      </c>
      <c r="O117" s="1476">
        <v>1.0373608877040077</v>
      </c>
    </row>
    <row r="118" spans="2:15">
      <c r="B118" s="1392">
        <v>36008</v>
      </c>
      <c r="C118" s="1393">
        <v>148.10900000000001</v>
      </c>
      <c r="D118" s="1393">
        <v>1458.07</v>
      </c>
      <c r="E118" s="1393">
        <v>1.0147631694962493</v>
      </c>
      <c r="F118" s="1393">
        <v>3.6296257695096692</v>
      </c>
      <c r="K118" s="1473">
        <v>42175</v>
      </c>
      <c r="L118" s="1474"/>
      <c r="M118" s="1475">
        <v>0</v>
      </c>
      <c r="N118" s="1476">
        <v>1.0373608877040077</v>
      </c>
      <c r="O118" s="1476">
        <v>1.0373608877040077</v>
      </c>
    </row>
    <row r="119" spans="2:15">
      <c r="B119" s="1392">
        <v>36039</v>
      </c>
      <c r="C119" s="1393">
        <v>147.98400000000001</v>
      </c>
      <c r="D119" s="1393">
        <v>1454.86</v>
      </c>
      <c r="E119" s="1393">
        <v>1.0255896332244516</v>
      </c>
      <c r="F119" s="1393">
        <v>3.7225065616934394</v>
      </c>
      <c r="K119" s="1473">
        <v>42176</v>
      </c>
      <c r="L119" s="1474"/>
      <c r="M119" s="1475">
        <v>0</v>
      </c>
      <c r="N119" s="1476">
        <v>1.0373608877040077</v>
      </c>
      <c r="O119" s="1476">
        <v>1.0373608877040077</v>
      </c>
    </row>
    <row r="120" spans="2:15">
      <c r="B120" s="1392">
        <v>36069</v>
      </c>
      <c r="C120" s="1393">
        <v>148.1</v>
      </c>
      <c r="D120" s="1393">
        <v>1455.15</v>
      </c>
      <c r="E120" s="1393">
        <v>1.0308188720930029</v>
      </c>
      <c r="F120" s="1393">
        <v>3.8372300152836338</v>
      </c>
      <c r="K120" s="1473">
        <v>42177</v>
      </c>
      <c r="L120" s="1474" t="s">
        <v>2123</v>
      </c>
      <c r="M120" s="1475">
        <v>5.0788E-2</v>
      </c>
      <c r="N120" s="1476">
        <v>1.0378877425516548</v>
      </c>
      <c r="O120" s="1476">
        <v>1.0378877425516548</v>
      </c>
    </row>
    <row r="121" spans="2:15">
      <c r="B121" s="1392">
        <v>36100</v>
      </c>
      <c r="C121" s="1393">
        <v>147.62799999999999</v>
      </c>
      <c r="D121" s="1393">
        <v>1453.4</v>
      </c>
      <c r="E121" s="1393">
        <v>1.0277678356785036</v>
      </c>
      <c r="F121" s="1393">
        <v>3.9437815878086515</v>
      </c>
      <c r="K121" s="1473">
        <v>42178</v>
      </c>
      <c r="L121" s="1474" t="s">
        <v>2123</v>
      </c>
      <c r="M121" s="1475">
        <v>5.0788E-2</v>
      </c>
      <c r="N121" s="1476">
        <v>1.038414864978342</v>
      </c>
      <c r="O121" s="1476">
        <v>1.038414864978342</v>
      </c>
    </row>
    <row r="122" spans="2:15">
      <c r="B122" s="1392">
        <v>36130</v>
      </c>
      <c r="C122" s="1393">
        <v>148.291</v>
      </c>
      <c r="D122" s="1393">
        <v>1458.2</v>
      </c>
      <c r="E122" s="1393">
        <v>1.025049538167373</v>
      </c>
      <c r="F122" s="1393">
        <v>4.0425714952162473</v>
      </c>
      <c r="K122" s="1473">
        <v>42179</v>
      </c>
      <c r="L122" s="1474" t="s">
        <v>2123</v>
      </c>
      <c r="M122" s="1475">
        <v>5.0788E-2</v>
      </c>
      <c r="N122" s="1476">
        <v>1.0389422551199672</v>
      </c>
      <c r="O122" s="1476">
        <v>1.0389422551199672</v>
      </c>
    </row>
    <row r="123" spans="2:15">
      <c r="B123" s="1392">
        <v>36161</v>
      </c>
      <c r="C123" s="1393">
        <v>149.53299999999999</v>
      </c>
      <c r="D123" s="1393">
        <v>1468.41</v>
      </c>
      <c r="E123" s="1393">
        <v>1.022811290449001</v>
      </c>
      <c r="F123" s="1393">
        <v>4.1347877677544771</v>
      </c>
      <c r="K123" s="1473">
        <v>42180</v>
      </c>
      <c r="L123" s="1474" t="s">
        <v>2123</v>
      </c>
      <c r="M123" s="1475">
        <v>5.0788E-2</v>
      </c>
      <c r="N123" s="1476">
        <v>1.0394699131124976</v>
      </c>
      <c r="O123" s="1476">
        <v>1.0394699131124976</v>
      </c>
    </row>
    <row r="124" spans="2:15">
      <c r="B124" s="1392">
        <v>36192</v>
      </c>
      <c r="C124" s="1393">
        <v>154.93299999999999</v>
      </c>
      <c r="D124" s="1393">
        <v>1483.83</v>
      </c>
      <c r="E124" s="1393">
        <v>1.0264662861429437</v>
      </c>
      <c r="F124" s="1393">
        <v>4.2442202439562102</v>
      </c>
      <c r="K124" s="1473">
        <v>42181</v>
      </c>
      <c r="L124" s="1474" t="s">
        <v>2123</v>
      </c>
      <c r="M124" s="1475">
        <v>5.0788E-2</v>
      </c>
      <c r="N124" s="1476">
        <v>1.0399978390919691</v>
      </c>
      <c r="O124" s="1476">
        <v>1.0399978390919691</v>
      </c>
    </row>
    <row r="125" spans="2:15">
      <c r="B125" s="1392">
        <v>36220</v>
      </c>
      <c r="C125" s="1393">
        <v>159.32499999999999</v>
      </c>
      <c r="D125" s="1393">
        <v>1500.15</v>
      </c>
      <c r="E125" s="1393">
        <v>1.033345195070198</v>
      </c>
      <c r="F125" s="1393">
        <v>4.3857445959118131</v>
      </c>
      <c r="K125" s="1473">
        <v>42182</v>
      </c>
      <c r="L125" s="1474"/>
      <c r="M125" s="1475">
        <v>0</v>
      </c>
      <c r="N125" s="1476">
        <v>1.0399978390919691</v>
      </c>
      <c r="O125" s="1476">
        <v>1.0399978390919691</v>
      </c>
    </row>
    <row r="126" spans="2:15">
      <c r="B126" s="1392">
        <v>36251</v>
      </c>
      <c r="C126" s="1393">
        <v>160.459</v>
      </c>
      <c r="D126" s="1393">
        <v>1508.55</v>
      </c>
      <c r="E126" s="1393">
        <v>1.027563660965396</v>
      </c>
      <c r="F126" s="1393">
        <v>4.5066317730343437</v>
      </c>
      <c r="K126" s="1473">
        <v>42183</v>
      </c>
      <c r="L126" s="1474"/>
      <c r="M126" s="1475">
        <v>0</v>
      </c>
      <c r="N126" s="1476">
        <v>1.0399978390919691</v>
      </c>
      <c r="O126" s="1476">
        <v>1.0399978390919691</v>
      </c>
    </row>
    <row r="127" spans="2:15">
      <c r="B127" s="1392">
        <v>36281</v>
      </c>
      <c r="C127" s="1393">
        <v>159.99600000000001</v>
      </c>
      <c r="D127" s="1393">
        <v>1513.08</v>
      </c>
      <c r="E127" s="1393">
        <v>1.0201883000304468</v>
      </c>
      <c r="F127" s="1393">
        <v>4.5976130073951058</v>
      </c>
      <c r="K127" s="1473">
        <v>42184</v>
      </c>
      <c r="L127" s="1474" t="s">
        <v>2123</v>
      </c>
      <c r="M127" s="1475">
        <v>5.0788E-2</v>
      </c>
      <c r="N127" s="1476">
        <v>1.0405260331944872</v>
      </c>
      <c r="O127" s="1476">
        <v>1.0405260331944872</v>
      </c>
    </row>
    <row r="128" spans="2:15">
      <c r="B128" s="1392">
        <v>36312</v>
      </c>
      <c r="C128" s="1393">
        <v>160.57300000000001</v>
      </c>
      <c r="D128" s="1393">
        <v>1515.95</v>
      </c>
      <c r="E128" s="1393">
        <v>1.0175637707499077</v>
      </c>
      <c r="F128" s="1393">
        <v>4.6783644282537873</v>
      </c>
      <c r="K128" s="1473">
        <v>42185</v>
      </c>
      <c r="L128" s="1474" t="s">
        <v>2123</v>
      </c>
      <c r="M128" s="1475">
        <v>5.0788E-2</v>
      </c>
      <c r="N128" s="1476">
        <v>1.041054495556226</v>
      </c>
      <c r="O128" s="1476">
        <v>1.041054495556226</v>
      </c>
    </row>
    <row r="129" spans="2:15">
      <c r="B129" s="1392">
        <v>36342</v>
      </c>
      <c r="C129" s="1393">
        <v>163.06</v>
      </c>
      <c r="D129" s="1393">
        <v>1532.47</v>
      </c>
      <c r="E129" s="1393">
        <v>1.0165876375704719</v>
      </c>
      <c r="F129" s="1393">
        <v>4.7559674418122491</v>
      </c>
      <c r="K129" s="1473">
        <v>42186</v>
      </c>
      <c r="L129" s="1474" t="s">
        <v>2123</v>
      </c>
      <c r="M129" s="1475">
        <v>5.0788E-2</v>
      </c>
      <c r="N129" s="1476">
        <v>1.041583226313429</v>
      </c>
      <c r="O129" s="1476">
        <v>1.041583226313429</v>
      </c>
    </row>
    <row r="130" spans="2:15">
      <c r="B130" s="1392">
        <v>36373</v>
      </c>
      <c r="C130" s="1393">
        <v>165.60300000000001</v>
      </c>
      <c r="D130" s="1393">
        <v>1541.05</v>
      </c>
      <c r="E130" s="1393">
        <v>1.0156847483880824</v>
      </c>
      <c r="F130" s="1393">
        <v>4.8305635944789866</v>
      </c>
      <c r="K130" s="1473">
        <v>42187</v>
      </c>
      <c r="L130" s="1474" t="s">
        <v>2123</v>
      </c>
      <c r="M130" s="1475">
        <v>5.0788E-2</v>
      </c>
      <c r="N130" s="1476">
        <v>1.0421122256024091</v>
      </c>
      <c r="O130" s="1476">
        <v>1.0421122256024091</v>
      </c>
    </row>
    <row r="131" spans="2:15">
      <c r="B131" s="1392">
        <v>36404</v>
      </c>
      <c r="C131" s="1393">
        <v>167.99700000000001</v>
      </c>
      <c r="D131" s="1393">
        <v>1545.83</v>
      </c>
      <c r="E131" s="1393">
        <v>1.0155901672784533</v>
      </c>
      <c r="F131" s="1393">
        <v>4.9058728889661207</v>
      </c>
      <c r="K131" s="1473">
        <v>42188</v>
      </c>
      <c r="L131" s="1474" t="s">
        <v>2123</v>
      </c>
      <c r="M131" s="1475">
        <v>5.0788E-2</v>
      </c>
      <c r="N131" s="1476">
        <v>1.042641493559548</v>
      </c>
      <c r="O131" s="1476">
        <v>1.042641493559548</v>
      </c>
    </row>
    <row r="132" spans="2:15">
      <c r="B132" s="1392">
        <v>36434</v>
      </c>
      <c r="C132" s="1393">
        <v>170.86099999999999</v>
      </c>
      <c r="D132" s="1393">
        <v>1564.23</v>
      </c>
      <c r="E132" s="1393">
        <v>1.0145370189540868</v>
      </c>
      <c r="F132" s="1393">
        <v>4.9771896561393616</v>
      </c>
      <c r="K132" s="1473">
        <v>42189</v>
      </c>
      <c r="L132" s="1474"/>
      <c r="M132" s="1475">
        <v>0</v>
      </c>
      <c r="N132" s="1476">
        <v>1.042641493559548</v>
      </c>
      <c r="O132" s="1476">
        <v>1.042641493559548</v>
      </c>
    </row>
    <row r="133" spans="2:15">
      <c r="B133" s="1392">
        <v>36465</v>
      </c>
      <c r="C133" s="1393">
        <v>174.93899999999999</v>
      </c>
      <c r="D133" s="1393">
        <v>1579.09</v>
      </c>
      <c r="E133" s="1393">
        <v>1.0152599173733607</v>
      </c>
      <c r="F133" s="1393">
        <v>5.0531411590435944</v>
      </c>
      <c r="K133" s="1473">
        <v>42190</v>
      </c>
      <c r="L133" s="1474"/>
      <c r="M133" s="1475">
        <v>0</v>
      </c>
      <c r="N133" s="1476">
        <v>1.042641493559548</v>
      </c>
      <c r="O133" s="1476">
        <v>1.042641493559548</v>
      </c>
    </row>
    <row r="134" spans="2:15">
      <c r="B134" s="1392">
        <v>36495</v>
      </c>
      <c r="C134" s="1393">
        <v>178.09899999999999</v>
      </c>
      <c r="D134" s="1393">
        <v>1588.56</v>
      </c>
      <c r="E134" s="1393">
        <v>1.0159962861507461</v>
      </c>
      <c r="F134" s="1393">
        <v>5.1339726509837682</v>
      </c>
      <c r="K134" s="1473">
        <v>42191</v>
      </c>
      <c r="L134" s="1474" t="s">
        <v>2123</v>
      </c>
      <c r="M134" s="1475">
        <v>5.0788E-2</v>
      </c>
      <c r="N134" s="1476">
        <v>1.0431710303212971</v>
      </c>
      <c r="O134" s="1476">
        <v>1.0431710303212971</v>
      </c>
    </row>
    <row r="135" spans="2:15">
      <c r="B135" s="1392">
        <v>36526</v>
      </c>
      <c r="C135" s="1393">
        <v>180.30099999999999</v>
      </c>
      <c r="D135" s="1393">
        <v>1598.41</v>
      </c>
      <c r="E135" s="1393">
        <v>1.0145573263269665</v>
      </c>
      <c r="F135" s="1393">
        <v>5.20870956621786</v>
      </c>
      <c r="K135" s="1473">
        <v>42192</v>
      </c>
      <c r="L135" s="1474" t="s">
        <v>2123</v>
      </c>
      <c r="M135" s="1475">
        <v>5.0788E-2</v>
      </c>
      <c r="N135" s="1476">
        <v>1.0437008360241766</v>
      </c>
      <c r="O135" s="1476">
        <v>1.0437008360241766</v>
      </c>
    </row>
    <row r="136" spans="2:15">
      <c r="B136" s="1392">
        <v>36557</v>
      </c>
      <c r="C136" s="1393">
        <v>180.935</v>
      </c>
      <c r="D136" s="1393">
        <v>1600.49</v>
      </c>
      <c r="E136" s="1393">
        <v>1.0145089461247463</v>
      </c>
      <c r="F136" s="1393">
        <v>5.2842824526935654</v>
      </c>
      <c r="K136" s="1473">
        <v>42193</v>
      </c>
      <c r="L136" s="1474" t="s">
        <v>2123</v>
      </c>
      <c r="M136" s="1475">
        <v>5.0788E-2</v>
      </c>
      <c r="N136" s="1476">
        <v>1.0442309108047767</v>
      </c>
      <c r="O136" s="1476">
        <v>1.0442309108047767</v>
      </c>
    </row>
    <row r="137" spans="2:15">
      <c r="B137" s="1392">
        <v>36586</v>
      </c>
      <c r="C137" s="1393">
        <v>181.214</v>
      </c>
      <c r="D137" s="1393">
        <v>1604.01</v>
      </c>
      <c r="E137" s="1393">
        <v>1.0158860407835757</v>
      </c>
      <c r="F137" s="1393">
        <v>5.3682287792489891</v>
      </c>
      <c r="K137" s="1473">
        <v>42194</v>
      </c>
      <c r="L137" s="1474" t="s">
        <v>2123</v>
      </c>
      <c r="M137" s="1475">
        <v>5.0788E-2</v>
      </c>
      <c r="N137" s="1476">
        <v>1.0447612547997562</v>
      </c>
      <c r="O137" s="1476">
        <v>1.0447612547997562</v>
      </c>
    </row>
    <row r="138" spans="2:15">
      <c r="B138" s="1392">
        <v>36617</v>
      </c>
      <c r="C138" s="1393">
        <v>181.63499999999999</v>
      </c>
      <c r="D138" s="1393">
        <v>1610.75</v>
      </c>
      <c r="E138" s="1393">
        <v>1.0136441914221253</v>
      </c>
      <c r="F138" s="1393">
        <v>5.4414739203108242</v>
      </c>
      <c r="K138" s="1473">
        <v>42195</v>
      </c>
      <c r="L138" s="1474" t="s">
        <v>2123</v>
      </c>
      <c r="M138" s="1475">
        <v>5.0788E-2</v>
      </c>
      <c r="N138" s="1476">
        <v>1.0452918681458438</v>
      </c>
      <c r="O138" s="1476">
        <v>1.0452918681458438</v>
      </c>
    </row>
    <row r="139" spans="2:15">
      <c r="B139" s="1392">
        <v>36647</v>
      </c>
      <c r="C139" s="1393">
        <v>182.18899999999999</v>
      </c>
      <c r="D139" s="1393">
        <v>1610.91</v>
      </c>
      <c r="E139" s="1393">
        <v>1.0156265899953318</v>
      </c>
      <c r="F139" s="1393">
        <v>5.5265056022338124</v>
      </c>
      <c r="K139" s="1473">
        <v>42196</v>
      </c>
      <c r="L139" s="1474"/>
      <c r="M139" s="1475">
        <v>0</v>
      </c>
      <c r="N139" s="1476">
        <v>1.0452918681458438</v>
      </c>
      <c r="O139" s="1476">
        <v>1.0452918681458438</v>
      </c>
    </row>
    <row r="140" spans="2:15">
      <c r="B140" s="1392">
        <v>36678</v>
      </c>
      <c r="C140" s="1393">
        <v>183.745</v>
      </c>
      <c r="D140" s="1393">
        <v>1614.62</v>
      </c>
      <c r="E140" s="1393">
        <v>1.0145668910909638</v>
      </c>
      <c r="F140" s="1393">
        <v>5.6070096074551534</v>
      </c>
      <c r="K140" s="1473">
        <v>42197</v>
      </c>
      <c r="L140" s="1474"/>
      <c r="M140" s="1475">
        <v>0</v>
      </c>
      <c r="N140" s="1476">
        <v>1.0452918681458438</v>
      </c>
      <c r="O140" s="1476">
        <v>1.0452918681458438</v>
      </c>
    </row>
    <row r="141" spans="2:15">
      <c r="B141" s="1392">
        <v>36708</v>
      </c>
      <c r="C141" s="1393">
        <v>186.63399999999999</v>
      </c>
      <c r="D141" s="1393">
        <v>1640.62</v>
      </c>
      <c r="E141" s="1393">
        <v>1.0130599958288005</v>
      </c>
      <c r="F141" s="1393">
        <v>5.6802371295405623</v>
      </c>
      <c r="K141" s="1473">
        <v>42198</v>
      </c>
      <c r="L141" s="1474" t="s">
        <v>2123</v>
      </c>
      <c r="M141" s="1475">
        <v>5.0788E-2</v>
      </c>
      <c r="N141" s="1476">
        <v>1.0458227509798377</v>
      </c>
      <c r="O141" s="1476">
        <v>1.0458227509798377</v>
      </c>
    </row>
    <row r="142" spans="2:15">
      <c r="B142" s="1392">
        <v>36739</v>
      </c>
      <c r="C142" s="1393">
        <v>191.08699999999999</v>
      </c>
      <c r="D142" s="1393">
        <v>1662.11</v>
      </c>
      <c r="E142" s="1393">
        <v>1.0140543715890855</v>
      </c>
      <c r="F142" s="1393">
        <v>5.7600692928732462</v>
      </c>
      <c r="K142" s="1473">
        <v>42199</v>
      </c>
      <c r="L142" s="1474" t="s">
        <v>2123</v>
      </c>
      <c r="M142" s="1475">
        <v>5.0788E-2</v>
      </c>
      <c r="N142" s="1476">
        <v>1.0463539034386053</v>
      </c>
      <c r="O142" s="1476">
        <v>1.0463539034386053</v>
      </c>
    </row>
    <row r="143" spans="2:15">
      <c r="B143" s="1392">
        <v>36770</v>
      </c>
      <c r="C143" s="1393">
        <v>193.297</v>
      </c>
      <c r="D143" s="1393">
        <v>1665.93</v>
      </c>
      <c r="E143" s="1393">
        <v>1.0128508890656427</v>
      </c>
      <c r="F143" s="1393">
        <v>5.8340913043663756</v>
      </c>
      <c r="K143" s="1473">
        <v>42200</v>
      </c>
      <c r="L143" s="1474" t="s">
        <v>2123</v>
      </c>
      <c r="M143" s="1475">
        <v>5.0788E-2</v>
      </c>
      <c r="N143" s="1476">
        <v>1.0468853256590838</v>
      </c>
      <c r="O143" s="1476">
        <v>1.0468853256590838</v>
      </c>
    </row>
    <row r="144" spans="2:15">
      <c r="B144" s="1392">
        <v>36800</v>
      </c>
      <c r="C144" s="1393">
        <v>194.04</v>
      </c>
      <c r="D144" s="1393">
        <v>1668.26</v>
      </c>
      <c r="E144" s="1393">
        <v>1.013495295624836</v>
      </c>
      <c r="F144" s="1393">
        <v>5.9128240912210845</v>
      </c>
      <c r="K144" s="1473">
        <v>42201</v>
      </c>
      <c r="L144" s="1474" t="s">
        <v>2123</v>
      </c>
      <c r="M144" s="1475">
        <v>5.0788E-2</v>
      </c>
      <c r="N144" s="1476">
        <v>1.0474170177782796</v>
      </c>
      <c r="O144" s="1476">
        <v>1.0474170177782796</v>
      </c>
    </row>
    <row r="145" spans="2:15">
      <c r="B145" s="1392">
        <v>36831</v>
      </c>
      <c r="C145" s="1393">
        <v>194.59899999999999</v>
      </c>
      <c r="D145" s="1393">
        <v>1673.6</v>
      </c>
      <c r="E145" s="1393">
        <v>1.013431060777086</v>
      </c>
      <c r="F145" s="1393">
        <v>5.992239590954493</v>
      </c>
      <c r="K145" s="1473">
        <v>42202</v>
      </c>
      <c r="L145" s="1474" t="s">
        <v>2123</v>
      </c>
      <c r="M145" s="1475">
        <v>5.0788E-2</v>
      </c>
      <c r="N145" s="1476">
        <v>1.0479489799332689</v>
      </c>
      <c r="O145" s="1476">
        <v>1.0479489799332689</v>
      </c>
    </row>
    <row r="146" spans="2:15">
      <c r="B146" s="1392">
        <v>36861</v>
      </c>
      <c r="C146" s="1393">
        <v>195.827</v>
      </c>
      <c r="D146" s="1393">
        <v>1683.47</v>
      </c>
      <c r="E146" s="1393">
        <v>1.0125716392096709</v>
      </c>
      <c r="F146" s="1393">
        <v>6.0675718651498789</v>
      </c>
      <c r="K146" s="1473">
        <v>42203</v>
      </c>
      <c r="L146" s="1474"/>
      <c r="M146" s="1475">
        <v>0</v>
      </c>
      <c r="N146" s="1476">
        <v>1.0479489799332689</v>
      </c>
      <c r="O146" s="1476">
        <v>1.0479489799332689</v>
      </c>
    </row>
    <row r="147" spans="2:15">
      <c r="B147" s="1392">
        <v>36892</v>
      </c>
      <c r="C147" s="1393">
        <v>197.04499999999999</v>
      </c>
      <c r="D147" s="1393">
        <v>1693.07</v>
      </c>
      <c r="E147" s="1393">
        <v>1.0126506879847863</v>
      </c>
      <c r="F147" s="1393">
        <v>6.144330823641158</v>
      </c>
      <c r="K147" s="1473">
        <v>42204</v>
      </c>
      <c r="L147" s="1474"/>
      <c r="M147" s="1475">
        <v>0</v>
      </c>
      <c r="N147" s="1476">
        <v>1.0479489799332689</v>
      </c>
      <c r="O147" s="1476">
        <v>1.0479489799332689</v>
      </c>
    </row>
    <row r="148" spans="2:15">
      <c r="B148" s="1392">
        <v>36923</v>
      </c>
      <c r="C148" s="1393">
        <v>197.49100000000001</v>
      </c>
      <c r="D148" s="1393">
        <v>1700.86</v>
      </c>
      <c r="E148" s="1393">
        <v>1.0101583510827936</v>
      </c>
      <c r="F148" s="1393">
        <v>6.206747093316535</v>
      </c>
      <c r="K148" s="1473">
        <v>42205</v>
      </c>
      <c r="L148" s="1474" t="s">
        <v>2123</v>
      </c>
      <c r="M148" s="1475">
        <v>5.0788E-2</v>
      </c>
      <c r="N148" s="1476">
        <v>1.0484812122611973</v>
      </c>
      <c r="O148" s="1476">
        <v>1.0484812122611973</v>
      </c>
    </row>
    <row r="149" spans="2:15">
      <c r="B149" s="1392">
        <v>36951</v>
      </c>
      <c r="C149" s="1393">
        <v>198.60599999999999</v>
      </c>
      <c r="D149" s="1393">
        <v>1707.32</v>
      </c>
      <c r="E149" s="1393">
        <v>1.0125785495836725</v>
      </c>
      <c r="F149" s="1393">
        <v>6.2848189693831324</v>
      </c>
      <c r="K149" s="1473">
        <v>42206</v>
      </c>
      <c r="L149" s="1474" t="s">
        <v>2123</v>
      </c>
      <c r="M149" s="1475">
        <v>5.0788E-2</v>
      </c>
      <c r="N149" s="1476">
        <v>1.0490137148992804</v>
      </c>
      <c r="O149" s="1476">
        <v>1.0490137148992804</v>
      </c>
    </row>
    <row r="150" spans="2:15">
      <c r="B150" s="1392">
        <v>36982</v>
      </c>
      <c r="C150" s="1393">
        <v>200.59100000000001</v>
      </c>
      <c r="D150" s="1393">
        <v>1717.22</v>
      </c>
      <c r="E150" s="1393">
        <v>1.0118637336714187</v>
      </c>
      <c r="F150" s="1393">
        <v>6.3593803878089741</v>
      </c>
      <c r="K150" s="1473">
        <v>42207</v>
      </c>
      <c r="L150" s="1474" t="s">
        <v>2123</v>
      </c>
      <c r="M150" s="1475">
        <v>5.0788E-2</v>
      </c>
      <c r="N150" s="1476">
        <v>1.0495464879848035</v>
      </c>
      <c r="O150" s="1476">
        <v>1.0495464879848035</v>
      </c>
    </row>
    <row r="151" spans="2:15">
      <c r="B151" s="1392">
        <v>37012</v>
      </c>
      <c r="C151" s="1393">
        <v>202.32400000000001</v>
      </c>
      <c r="D151" s="1393">
        <v>1724.26</v>
      </c>
      <c r="E151" s="1393">
        <v>1.0133677002760824</v>
      </c>
      <c r="F151" s="1393">
        <v>6.4443906787748011</v>
      </c>
      <c r="K151" s="1473">
        <v>42208</v>
      </c>
      <c r="L151" s="1474" t="s">
        <v>2123</v>
      </c>
      <c r="M151" s="1475">
        <v>5.0788E-2</v>
      </c>
      <c r="N151" s="1476">
        <v>1.0500795316551212</v>
      </c>
      <c r="O151" s="1476">
        <v>1.0500795316551212</v>
      </c>
    </row>
    <row r="152" spans="2:15">
      <c r="B152" s="1392">
        <v>37043</v>
      </c>
      <c r="C152" s="1393">
        <v>204.31</v>
      </c>
      <c r="D152" s="1393">
        <v>1733.23</v>
      </c>
      <c r="E152" s="1393">
        <v>1.0127331554566117</v>
      </c>
      <c r="F152" s="1393">
        <v>6.5264481071107801</v>
      </c>
      <c r="K152" s="1473">
        <v>42209</v>
      </c>
      <c r="L152" s="1474" t="s">
        <v>2123</v>
      </c>
      <c r="M152" s="1475">
        <v>5.0788E-2</v>
      </c>
      <c r="N152" s="1476">
        <v>1.0506128460476583</v>
      </c>
      <c r="O152" s="1476">
        <v>1.0506128460476583</v>
      </c>
    </row>
    <row r="153" spans="2:15">
      <c r="B153" s="1392">
        <v>37073</v>
      </c>
      <c r="C153" s="1393">
        <v>207.34100000000001</v>
      </c>
      <c r="D153" s="1393">
        <v>1756.28</v>
      </c>
      <c r="E153" s="1393">
        <v>1.014979822756394</v>
      </c>
      <c r="F153" s="1393">
        <v>6.6242131429841029</v>
      </c>
      <c r="K153" s="1473">
        <v>42210</v>
      </c>
      <c r="L153" s="1474"/>
      <c r="M153" s="1475">
        <v>0</v>
      </c>
      <c r="N153" s="1476">
        <v>1.0506128460476583</v>
      </c>
      <c r="O153" s="1476">
        <v>1.0506128460476583</v>
      </c>
    </row>
    <row r="154" spans="2:15">
      <c r="B154" s="1392">
        <v>37104</v>
      </c>
      <c r="C154" s="1393">
        <v>210.21100000000001</v>
      </c>
      <c r="D154" s="1393">
        <v>1768.57</v>
      </c>
      <c r="E154" s="1393">
        <v>1.0160000122718875</v>
      </c>
      <c r="F154" s="1393">
        <v>6.7302006345634471</v>
      </c>
      <c r="K154" s="1473">
        <v>42211</v>
      </c>
      <c r="L154" s="1474"/>
      <c r="M154" s="1475">
        <v>0</v>
      </c>
      <c r="N154" s="1476">
        <v>1.0506128460476583</v>
      </c>
      <c r="O154" s="1476">
        <v>1.0506128460476583</v>
      </c>
    </row>
    <row r="155" spans="2:15">
      <c r="B155" s="1392">
        <v>37135</v>
      </c>
      <c r="C155" s="1393">
        <v>210.85300000000001</v>
      </c>
      <c r="D155" s="1393">
        <v>1773.52</v>
      </c>
      <c r="E155" s="1393">
        <v>1.013243107438228</v>
      </c>
      <c r="F155" s="1393">
        <v>6.8193294046478012</v>
      </c>
      <c r="K155" s="1473">
        <v>42212</v>
      </c>
      <c r="L155" s="1474" t="s">
        <v>2123</v>
      </c>
      <c r="M155" s="1475">
        <v>5.0788E-2</v>
      </c>
      <c r="N155" s="1476">
        <v>1.051146431299909</v>
      </c>
      <c r="O155" s="1476">
        <v>1.051146431299909</v>
      </c>
    </row>
    <row r="156" spans="2:15">
      <c r="B156" s="1392">
        <v>37165</v>
      </c>
      <c r="C156" s="1393">
        <v>213.339</v>
      </c>
      <c r="D156" s="1393">
        <v>1788.24</v>
      </c>
      <c r="E156" s="1393">
        <v>1.0153493751182632</v>
      </c>
      <c r="F156" s="1393">
        <v>6.9240018497347426</v>
      </c>
      <c r="K156" s="1473">
        <v>42213</v>
      </c>
      <c r="L156" s="1474" t="s">
        <v>2123</v>
      </c>
      <c r="M156" s="1475">
        <v>5.0788E-2</v>
      </c>
      <c r="N156" s="1476">
        <v>1.0516802875494375</v>
      </c>
      <c r="O156" s="1476">
        <v>1.0516802875494375</v>
      </c>
    </row>
    <row r="157" spans="2:15">
      <c r="B157" s="1392">
        <v>37196</v>
      </c>
      <c r="C157" s="1393">
        <v>215.685</v>
      </c>
      <c r="D157" s="1393">
        <v>1800.94</v>
      </c>
      <c r="E157" s="1393">
        <v>1.0139343824698488</v>
      </c>
      <c r="F157" s="1393">
        <v>7.0204835397308871</v>
      </c>
      <c r="K157" s="1473">
        <v>42214</v>
      </c>
      <c r="L157" s="1474" t="s">
        <v>2123</v>
      </c>
      <c r="M157" s="1475">
        <v>5.0788E-2</v>
      </c>
      <c r="N157" s="1476">
        <v>1.0522144149338781</v>
      </c>
      <c r="O157" s="1476">
        <v>1.0522144149338781</v>
      </c>
    </row>
    <row r="158" spans="2:15">
      <c r="B158" s="1392">
        <v>37226</v>
      </c>
      <c r="C158" s="1393">
        <v>216.16300000000001</v>
      </c>
      <c r="D158" s="1393">
        <v>1812.65</v>
      </c>
      <c r="E158" s="1393">
        <v>1.0139354159682339</v>
      </c>
      <c r="F158" s="1393">
        <v>7.1183168981551761</v>
      </c>
      <c r="K158" s="1473">
        <v>42215</v>
      </c>
      <c r="L158" s="1474" t="s">
        <v>2123</v>
      </c>
      <c r="M158" s="1475">
        <v>5.2531000000000001E-2</v>
      </c>
      <c r="N158" s="1476">
        <v>1.0527671536881871</v>
      </c>
      <c r="O158" s="1476">
        <v>1.0527671536881871</v>
      </c>
    </row>
    <row r="159" spans="2:15">
      <c r="B159" s="1392">
        <v>37257</v>
      </c>
      <c r="C159" s="1393">
        <v>216.94399999999999</v>
      </c>
      <c r="D159" s="1393">
        <v>1822.08</v>
      </c>
      <c r="E159" s="1393">
        <v>1.0153395939759675</v>
      </c>
      <c r="F159" s="1393">
        <v>7.2275089891651447</v>
      </c>
      <c r="K159" s="1473">
        <v>42216</v>
      </c>
      <c r="L159" s="1474" t="s">
        <v>2123</v>
      </c>
      <c r="M159" s="1475">
        <v>5.2531000000000001E-2</v>
      </c>
      <c r="N159" s="1476">
        <v>1.0533201828016909</v>
      </c>
      <c r="O159" s="1476">
        <v>1.0533201828016909</v>
      </c>
    </row>
    <row r="160" spans="2:15">
      <c r="B160" s="1392">
        <v>37288</v>
      </c>
      <c r="C160" s="1393">
        <v>217.07400000000001</v>
      </c>
      <c r="D160" s="1393">
        <v>1828.64</v>
      </c>
      <c r="E160" s="1393">
        <v>1.012482154231837</v>
      </c>
      <c r="F160" s="1393">
        <v>7.3177238710798918</v>
      </c>
      <c r="K160" s="1473">
        <v>42217</v>
      </c>
      <c r="L160" s="1474"/>
      <c r="M160" s="1475">
        <v>0</v>
      </c>
      <c r="N160" s="1476">
        <v>1.0533201828016909</v>
      </c>
      <c r="O160" s="1476">
        <v>1.0533201828016909</v>
      </c>
    </row>
    <row r="161" spans="2:15">
      <c r="B161" s="1392">
        <v>37316</v>
      </c>
      <c r="C161" s="1393">
        <v>217.27600000000001</v>
      </c>
      <c r="D161" s="1393">
        <v>1839.61</v>
      </c>
      <c r="E161" s="1393">
        <v>1.013713327882185</v>
      </c>
      <c r="F161" s="1393">
        <v>7.4180742178753025</v>
      </c>
      <c r="K161" s="1473">
        <v>42218</v>
      </c>
      <c r="L161" s="1474"/>
      <c r="M161" s="1475">
        <v>0</v>
      </c>
      <c r="N161" s="1476">
        <v>1.0533201828016909</v>
      </c>
      <c r="O161" s="1476">
        <v>1.0533201828016909</v>
      </c>
    </row>
    <row r="162" spans="2:15">
      <c r="B162" s="1392">
        <v>37347</v>
      </c>
      <c r="C162" s="1393">
        <v>218.48599999999999</v>
      </c>
      <c r="D162" s="1393">
        <v>1854.33</v>
      </c>
      <c r="E162" s="1393">
        <v>1.0148356719718208</v>
      </c>
      <c r="F162" s="1393">
        <v>7.5281263336343214</v>
      </c>
      <c r="K162" s="1473">
        <v>42219</v>
      </c>
      <c r="L162" s="1474" t="s">
        <v>2123</v>
      </c>
      <c r="M162" s="1475">
        <v>5.2531000000000001E-2</v>
      </c>
      <c r="N162" s="1476">
        <v>1.0538735024269186</v>
      </c>
      <c r="O162" s="1476">
        <v>1.0538735024269186</v>
      </c>
    </row>
    <row r="163" spans="2:15">
      <c r="B163" s="1392">
        <v>37377</v>
      </c>
      <c r="C163" s="1393">
        <v>220.292</v>
      </c>
      <c r="D163" s="1393">
        <v>1858.22</v>
      </c>
      <c r="E163" s="1393">
        <v>1.0141498936566418</v>
      </c>
      <c r="F163" s="1393">
        <v>7.6346485206890113</v>
      </c>
      <c r="K163" s="1473">
        <v>42220</v>
      </c>
      <c r="L163" s="1474" t="s">
        <v>2123</v>
      </c>
      <c r="M163" s="1475">
        <v>5.2531000000000001E-2</v>
      </c>
      <c r="N163" s="1476">
        <v>1.0544271127164784</v>
      </c>
      <c r="O163" s="1476">
        <v>1.0544271127164784</v>
      </c>
    </row>
    <row r="164" spans="2:15">
      <c r="B164" s="1392">
        <v>37408</v>
      </c>
      <c r="C164" s="1393">
        <v>223.68799999999999</v>
      </c>
      <c r="D164" s="1393">
        <v>1866.02</v>
      </c>
      <c r="E164" s="1393">
        <v>1.0132903281280037</v>
      </c>
      <c r="F164" s="1393">
        <v>7.7361155046709458</v>
      </c>
      <c r="K164" s="1473">
        <v>42221</v>
      </c>
      <c r="L164" s="1474" t="s">
        <v>2123</v>
      </c>
      <c r="M164" s="1475">
        <v>5.2531000000000001E-2</v>
      </c>
      <c r="N164" s="1476">
        <v>1.0549810138230595</v>
      </c>
      <c r="O164" s="1476">
        <v>1.0549810138230595</v>
      </c>
    </row>
    <row r="165" spans="2:15">
      <c r="B165" s="1392">
        <v>37438</v>
      </c>
      <c r="C165" s="1393">
        <v>228.05699999999999</v>
      </c>
      <c r="D165" s="1393">
        <v>1888.23</v>
      </c>
      <c r="E165" s="1393">
        <v>1.0153543455443825</v>
      </c>
      <c r="F165" s="1393">
        <v>7.8548984953009189</v>
      </c>
      <c r="K165" s="1473">
        <v>42222</v>
      </c>
      <c r="L165" s="1474" t="s">
        <v>2123</v>
      </c>
      <c r="M165" s="1475">
        <v>5.2531000000000001E-2</v>
      </c>
      <c r="N165" s="1476">
        <v>1.055535205899431</v>
      </c>
      <c r="O165" s="1476">
        <v>1.055535205899431</v>
      </c>
    </row>
    <row r="166" spans="2:15">
      <c r="B166" s="1392">
        <v>37469</v>
      </c>
      <c r="C166" s="1393">
        <v>233.34800000000001</v>
      </c>
      <c r="D166" s="1393">
        <v>1900.5</v>
      </c>
      <c r="E166" s="1393">
        <v>1.0144340404848073</v>
      </c>
      <c r="F166" s="1393">
        <v>7.9682764181861447</v>
      </c>
      <c r="K166" s="1473">
        <v>42223</v>
      </c>
      <c r="L166" s="1474" t="s">
        <v>2123</v>
      </c>
      <c r="M166" s="1475">
        <v>5.2531000000000001E-2</v>
      </c>
      <c r="N166" s="1476">
        <v>1.0560896890984419</v>
      </c>
      <c r="O166" s="1476">
        <v>1.0560896890984419</v>
      </c>
    </row>
    <row r="167" spans="2:15">
      <c r="B167" s="1392">
        <v>37500</v>
      </c>
      <c r="C167" s="1393">
        <v>238.94300000000001</v>
      </c>
      <c r="D167" s="1393">
        <v>1914.18</v>
      </c>
      <c r="E167" s="1393">
        <v>1.0138126637754254</v>
      </c>
      <c r="F167" s="1393">
        <v>8.0783395412202008</v>
      </c>
      <c r="K167" s="1473">
        <v>42224</v>
      </c>
      <c r="L167" s="1474"/>
      <c r="M167" s="1475">
        <v>0</v>
      </c>
      <c r="N167" s="1476">
        <v>1.0560896890984419</v>
      </c>
      <c r="O167" s="1476">
        <v>1.0560896890984419</v>
      </c>
    </row>
    <row r="168" spans="2:15">
      <c r="B168" s="1392">
        <v>37530</v>
      </c>
      <c r="C168" s="1393">
        <v>248.19900000000001</v>
      </c>
      <c r="D168" s="1393">
        <v>1939.26</v>
      </c>
      <c r="E168" s="1393">
        <v>1.0164592520111337</v>
      </c>
      <c r="F168" s="1393">
        <v>8.2113029675606501</v>
      </c>
      <c r="K168" s="1473">
        <v>42225</v>
      </c>
      <c r="L168" s="1474"/>
      <c r="M168" s="1475">
        <v>0</v>
      </c>
      <c r="N168" s="1476">
        <v>1.0560896890984419</v>
      </c>
      <c r="O168" s="1476">
        <v>1.0560896890984419</v>
      </c>
    </row>
    <row r="169" spans="2:15">
      <c r="B169" s="1392">
        <v>37561</v>
      </c>
      <c r="C169" s="1393">
        <v>261.08</v>
      </c>
      <c r="D169" s="1393">
        <v>1997.83</v>
      </c>
      <c r="E169" s="1393">
        <v>1.0154093077816833</v>
      </c>
      <c r="F169" s="1393">
        <v>8.337833462276441</v>
      </c>
      <c r="K169" s="1473">
        <v>42226</v>
      </c>
      <c r="L169" s="1474" t="s">
        <v>2123</v>
      </c>
      <c r="M169" s="1475">
        <v>5.2531000000000001E-2</v>
      </c>
      <c r="N169" s="1476">
        <v>1.0566444635730223</v>
      </c>
      <c r="O169" s="1476">
        <v>1.0566444635730223</v>
      </c>
    </row>
    <row r="170" spans="2:15">
      <c r="B170" s="1392">
        <v>37591</v>
      </c>
      <c r="C170" s="1393">
        <v>270.86700000000002</v>
      </c>
      <c r="D170" s="1393">
        <v>2039.78</v>
      </c>
      <c r="E170" s="1393">
        <v>1.0174244857414556</v>
      </c>
      <c r="F170" s="1393">
        <v>8.483115922554509</v>
      </c>
      <c r="K170" s="1473">
        <v>42227</v>
      </c>
      <c r="L170" s="1474" t="s">
        <v>2123</v>
      </c>
      <c r="M170" s="1475">
        <v>5.2531000000000001E-2</v>
      </c>
      <c r="N170" s="1476">
        <v>1.0571995294761818</v>
      </c>
      <c r="O170" s="1476">
        <v>1.0571995294761818</v>
      </c>
    </row>
    <row r="171" spans="2:15">
      <c r="B171" s="1392">
        <v>37622</v>
      </c>
      <c r="C171" s="1393">
        <v>277.173</v>
      </c>
      <c r="D171" s="1393">
        <v>2085.6799999999998</v>
      </c>
      <c r="E171" s="1393">
        <v>1.0197126646415859</v>
      </c>
      <c r="F171" s="1393">
        <v>8.6503407418515241</v>
      </c>
      <c r="K171" s="1473">
        <v>42228</v>
      </c>
      <c r="L171" s="1474" t="s">
        <v>2123</v>
      </c>
      <c r="M171" s="1475">
        <v>5.2531000000000001E-2</v>
      </c>
      <c r="N171" s="1476">
        <v>1.0577548869610109</v>
      </c>
      <c r="O171" s="1476">
        <v>1.0577548869610109</v>
      </c>
    </row>
    <row r="172" spans="2:15">
      <c r="B172" s="1392">
        <v>37653</v>
      </c>
      <c r="C172" s="1393">
        <v>283.50599999999997</v>
      </c>
      <c r="D172" s="1393">
        <v>2118.4299999999998</v>
      </c>
      <c r="E172" s="1393">
        <v>1.0183037986307939</v>
      </c>
      <c r="F172" s="1393">
        <v>8.8086748368781276</v>
      </c>
      <c r="K172" s="1473">
        <v>42229</v>
      </c>
      <c r="L172" s="1474" t="s">
        <v>2123</v>
      </c>
      <c r="M172" s="1475">
        <v>5.2531000000000001E-2</v>
      </c>
      <c r="N172" s="1476">
        <v>1.0583105361806804</v>
      </c>
      <c r="O172" s="1476">
        <v>1.0583105361806804</v>
      </c>
    </row>
    <row r="173" spans="2:15">
      <c r="B173" s="1392">
        <v>37681</v>
      </c>
      <c r="C173" s="1393">
        <v>287.85500000000002</v>
      </c>
      <c r="D173" s="1393">
        <v>2144.4899999999998</v>
      </c>
      <c r="E173" s="1393">
        <v>1.0177701866474056</v>
      </c>
      <c r="F173" s="1393">
        <v>8.9652066328457565</v>
      </c>
      <c r="K173" s="1473">
        <v>42230</v>
      </c>
      <c r="L173" s="1474" t="s">
        <v>2123</v>
      </c>
      <c r="M173" s="1475">
        <v>5.2531000000000001E-2</v>
      </c>
      <c r="N173" s="1476">
        <v>1.0588664772884415</v>
      </c>
      <c r="O173" s="1476">
        <v>1.0588664772884415</v>
      </c>
    </row>
    <row r="174" spans="2:15">
      <c r="B174" s="1392">
        <v>37712</v>
      </c>
      <c r="C174" s="1393">
        <v>290.512</v>
      </c>
      <c r="D174" s="1393">
        <v>2165.29</v>
      </c>
      <c r="E174" s="1393">
        <v>1.0187159495984839</v>
      </c>
      <c r="F174" s="1393">
        <v>9.1329989883260918</v>
      </c>
      <c r="K174" s="1473">
        <v>42231</v>
      </c>
      <c r="L174" s="1474"/>
      <c r="M174" s="1475">
        <v>0</v>
      </c>
      <c r="N174" s="1476">
        <v>1.0588664772884415</v>
      </c>
      <c r="O174" s="1476">
        <v>1.0588664772884415</v>
      </c>
    </row>
    <row r="175" spans="2:15">
      <c r="B175" s="1392">
        <v>37742</v>
      </c>
      <c r="C175" s="1393">
        <v>289.74700000000001</v>
      </c>
      <c r="D175" s="1393">
        <v>2178.5</v>
      </c>
      <c r="E175" s="1393">
        <v>1.0196535248447016</v>
      </c>
      <c r="F175" s="1393">
        <v>9.312494610849793</v>
      </c>
      <c r="K175" s="1473">
        <v>42232</v>
      </c>
      <c r="L175" s="1474"/>
      <c r="M175" s="1475">
        <v>0</v>
      </c>
      <c r="N175" s="1476">
        <v>1.0588664772884415</v>
      </c>
      <c r="O175" s="1476">
        <v>1.0588664772884415</v>
      </c>
    </row>
    <row r="176" spans="2:15">
      <c r="B176" s="1392">
        <v>37773</v>
      </c>
      <c r="C176" s="1393">
        <v>286.84300000000002</v>
      </c>
      <c r="D176" s="1393">
        <v>2175.23</v>
      </c>
      <c r="E176" s="1393">
        <v>1.0185667947451373</v>
      </c>
      <c r="F176" s="1393">
        <v>9.4853977868546391</v>
      </c>
      <c r="K176" s="1473">
        <v>42233</v>
      </c>
      <c r="L176" s="1474" t="s">
        <v>2123</v>
      </c>
      <c r="M176" s="1475">
        <v>5.2531000000000001E-2</v>
      </c>
      <c r="N176" s="1476">
        <v>1.0594227104376259</v>
      </c>
      <c r="O176" s="1476">
        <v>1.0594227104376259</v>
      </c>
    </row>
    <row r="177" spans="2:15">
      <c r="B177" s="1392">
        <v>37803</v>
      </c>
      <c r="C177" s="1393">
        <v>285.649</v>
      </c>
      <c r="D177" s="1393">
        <v>2179.58</v>
      </c>
      <c r="E177" s="1393">
        <v>1.0208424747911398</v>
      </c>
      <c r="F177" s="1393">
        <v>9.6830969511110894</v>
      </c>
      <c r="K177" s="1473">
        <v>42234</v>
      </c>
      <c r="L177" s="1474" t="s">
        <v>2123</v>
      </c>
      <c r="M177" s="1475">
        <v>5.2531000000000001E-2</v>
      </c>
      <c r="N177" s="1476">
        <v>1.059979235781646</v>
      </c>
      <c r="O177" s="1476">
        <v>1.059979235781646</v>
      </c>
    </row>
    <row r="178" spans="2:15">
      <c r="B178" s="1392">
        <v>37834</v>
      </c>
      <c r="C178" s="1393">
        <v>286.73500000000001</v>
      </c>
      <c r="D178" s="1393">
        <v>2186.9899999999998</v>
      </c>
      <c r="E178" s="1393">
        <v>1.0177426111342931</v>
      </c>
      <c r="F178" s="1393">
        <v>9.8549003748903132</v>
      </c>
      <c r="K178" s="1473">
        <v>42235</v>
      </c>
      <c r="L178" s="1474" t="s">
        <v>2123</v>
      </c>
      <c r="M178" s="1475">
        <v>5.2531000000000001E-2</v>
      </c>
      <c r="N178" s="1476">
        <v>1.0605360534739945</v>
      </c>
      <c r="O178" s="1476">
        <v>1.0605360534739945</v>
      </c>
    </row>
    <row r="179" spans="2:15">
      <c r="B179" s="1392">
        <v>37865</v>
      </c>
      <c r="C179" s="1393">
        <v>290.12700000000001</v>
      </c>
      <c r="D179" s="1393">
        <v>2204.0500000000002</v>
      </c>
      <c r="E179" s="1393">
        <v>1.0167950902831471</v>
      </c>
      <c r="F179" s="1393">
        <v>10.020414316418016</v>
      </c>
      <c r="K179" s="1473">
        <v>42236</v>
      </c>
      <c r="L179" s="1474" t="s">
        <v>2123</v>
      </c>
      <c r="M179" s="1475">
        <v>5.2531000000000001E-2</v>
      </c>
      <c r="N179" s="1476">
        <v>1.061093163668245</v>
      </c>
      <c r="O179" s="1476">
        <v>1.061093163668245</v>
      </c>
    </row>
    <row r="180" spans="2:15">
      <c r="B180" s="1392">
        <v>37895</v>
      </c>
      <c r="C180" s="1393">
        <v>291.22899999999998</v>
      </c>
      <c r="D180" s="1393">
        <v>2210.44</v>
      </c>
      <c r="E180" s="1393">
        <v>1.0164205992977207</v>
      </c>
      <c r="F180" s="1393">
        <v>10.18495552470506</v>
      </c>
      <c r="K180" s="1473">
        <v>42237</v>
      </c>
      <c r="L180" s="1474" t="s">
        <v>2123</v>
      </c>
      <c r="M180" s="1475">
        <v>5.2531000000000001E-2</v>
      </c>
      <c r="N180" s="1476">
        <v>1.0616505665180516</v>
      </c>
      <c r="O180" s="1476">
        <v>1.0616505665180516</v>
      </c>
    </row>
    <row r="181" spans="2:15">
      <c r="B181" s="1392">
        <v>37926</v>
      </c>
      <c r="C181" s="1393">
        <v>292.65699999999998</v>
      </c>
      <c r="D181" s="1393">
        <v>2217.96</v>
      </c>
      <c r="E181" s="1393">
        <v>1.0134353138584866</v>
      </c>
      <c r="F181" s="1393">
        <v>10.3217935988142</v>
      </c>
      <c r="K181" s="1473">
        <v>42238</v>
      </c>
      <c r="L181" s="1474"/>
      <c r="M181" s="1475">
        <v>0</v>
      </c>
      <c r="N181" s="1476">
        <v>1.0616505665180516</v>
      </c>
      <c r="O181" s="1476">
        <v>1.0616505665180516</v>
      </c>
    </row>
    <row r="182" spans="2:15">
      <c r="B182" s="1392">
        <v>37956</v>
      </c>
      <c r="C182" s="1393">
        <v>294.45499999999998</v>
      </c>
      <c r="D182" s="1393">
        <v>2229.4899999999998</v>
      </c>
      <c r="E182" s="1393">
        <v>1.0137325047762002</v>
      </c>
      <c r="F182" s="1393">
        <v>10.463537678708869</v>
      </c>
      <c r="K182" s="1473">
        <v>42239</v>
      </c>
      <c r="L182" s="1474"/>
      <c r="M182" s="1475">
        <v>0</v>
      </c>
      <c r="N182" s="1476">
        <v>1.0616505665180516</v>
      </c>
      <c r="O182" s="1476">
        <v>1.0616505665180516</v>
      </c>
    </row>
    <row r="183" spans="2:15">
      <c r="B183" s="1392">
        <v>37987</v>
      </c>
      <c r="C183" s="1393">
        <v>297.03899999999999</v>
      </c>
      <c r="D183" s="1393">
        <v>2246.4299999999998</v>
      </c>
      <c r="E183" s="1393">
        <v>1.0126755135884871</v>
      </c>
      <c r="F183" s="1393">
        <v>10.59616839273899</v>
      </c>
      <c r="K183" s="1473">
        <v>42240</v>
      </c>
      <c r="L183" s="1474" t="s">
        <v>2123</v>
      </c>
      <c r="M183" s="1475">
        <v>5.2531000000000001E-2</v>
      </c>
      <c r="N183" s="1476">
        <v>1.0622082621771491</v>
      </c>
      <c r="O183" s="1476">
        <v>1.0622082621771491</v>
      </c>
    </row>
    <row r="184" spans="2:15">
      <c r="B184" s="1392">
        <v>38018</v>
      </c>
      <c r="C184" s="1393">
        <v>299.09699999999998</v>
      </c>
      <c r="D184" s="1393">
        <v>2260.13</v>
      </c>
      <c r="E184" s="1393">
        <v>1.0108439419169848</v>
      </c>
      <c r="F184" s="1393">
        <v>10.711072627332442</v>
      </c>
      <c r="K184" s="1473">
        <v>42241</v>
      </c>
      <c r="L184" s="1474" t="s">
        <v>2123</v>
      </c>
      <c r="M184" s="1475">
        <v>5.2531000000000001E-2</v>
      </c>
      <c r="N184" s="1476">
        <v>1.0627662507993534</v>
      </c>
      <c r="O184" s="1476">
        <v>1.0627662507993534</v>
      </c>
    </row>
    <row r="185" spans="2:15">
      <c r="B185" s="1392">
        <v>38047</v>
      </c>
      <c r="C185" s="1393">
        <v>302.48399999999998</v>
      </c>
      <c r="D185" s="1393">
        <v>2270.75</v>
      </c>
      <c r="E185" s="1393">
        <v>1.0137912342986635</v>
      </c>
      <c r="F185" s="1393">
        <v>10.858791539525985</v>
      </c>
      <c r="K185" s="1473">
        <v>42242</v>
      </c>
      <c r="L185" s="1474" t="s">
        <v>2123</v>
      </c>
      <c r="M185" s="1475">
        <v>5.2531000000000001E-2</v>
      </c>
      <c r="N185" s="1476">
        <v>1.0633245325385607</v>
      </c>
      <c r="O185" s="1476">
        <v>1.0633245325385607</v>
      </c>
    </row>
    <row r="186" spans="2:15">
      <c r="B186" s="1392">
        <v>38078</v>
      </c>
      <c r="C186" s="1393">
        <v>306.15100000000001</v>
      </c>
      <c r="D186" s="1393">
        <v>2279.15</v>
      </c>
      <c r="E186" s="1393">
        <v>1.011818501098614</v>
      </c>
      <c r="F186" s="1393">
        <v>10.987126179265493</v>
      </c>
      <c r="K186" s="1473">
        <v>42243</v>
      </c>
      <c r="L186" s="1474" t="s">
        <v>2123</v>
      </c>
      <c r="M186" s="1475">
        <v>5.2531000000000001E-2</v>
      </c>
      <c r="N186" s="1476">
        <v>1.0638831075487485</v>
      </c>
      <c r="O186" s="1476">
        <v>1.0638831075487485</v>
      </c>
    </row>
    <row r="187" spans="2:15">
      <c r="B187" s="1392">
        <v>38108</v>
      </c>
      <c r="C187" s="1393">
        <v>310.15199999999999</v>
      </c>
      <c r="D187" s="1393">
        <v>2290.77</v>
      </c>
      <c r="E187" s="1393">
        <v>1.0122780474663127</v>
      </c>
      <c r="F187" s="1393">
        <v>11.122026636012881</v>
      </c>
      <c r="K187" s="1473">
        <v>42244</v>
      </c>
      <c r="L187" s="1474" t="s">
        <v>2123</v>
      </c>
      <c r="M187" s="1475">
        <v>5.2531000000000001E-2</v>
      </c>
      <c r="N187" s="1476">
        <v>1.0644419759839749</v>
      </c>
      <c r="O187" s="1476">
        <v>1.0644419759839749</v>
      </c>
    </row>
    <row r="188" spans="2:15">
      <c r="B188" s="1392">
        <v>38139</v>
      </c>
      <c r="C188" s="1393">
        <v>314.41899999999998</v>
      </c>
      <c r="D188" s="1393">
        <v>2307.0300000000002</v>
      </c>
      <c r="E188" s="1393">
        <v>1.0122988884857291</v>
      </c>
      <c r="F188" s="1393">
        <v>11.258815201344513</v>
      </c>
      <c r="K188" s="1473">
        <v>42245</v>
      </c>
      <c r="L188" s="1474"/>
      <c r="M188" s="1475">
        <v>0</v>
      </c>
      <c r="N188" s="1476">
        <v>1.0644419759839749</v>
      </c>
      <c r="O188" s="1476">
        <v>1.0644419759839749</v>
      </c>
    </row>
    <row r="189" spans="2:15">
      <c r="B189" s="1392">
        <v>38169</v>
      </c>
      <c r="C189" s="1393">
        <v>318.53199999999998</v>
      </c>
      <c r="D189" s="1393">
        <v>2328.02</v>
      </c>
      <c r="E189" s="1393">
        <v>1.012868893920805</v>
      </c>
      <c r="F189" s="1393">
        <v>11.403703699844563</v>
      </c>
      <c r="K189" s="1473">
        <v>42246</v>
      </c>
      <c r="L189" s="1474"/>
      <c r="M189" s="1475">
        <v>0</v>
      </c>
      <c r="N189" s="1476">
        <v>1.0644419759839749</v>
      </c>
      <c r="O189" s="1476">
        <v>1.0644419759839749</v>
      </c>
    </row>
    <row r="190" spans="2:15">
      <c r="B190" s="1392">
        <v>38200</v>
      </c>
      <c r="C190" s="1393">
        <v>322.41199999999998</v>
      </c>
      <c r="D190" s="1393">
        <v>2344.08</v>
      </c>
      <c r="E190" s="1393">
        <v>1.0129358583775749</v>
      </c>
      <c r="F190" s="1393">
        <v>11.551220395885579</v>
      </c>
      <c r="K190" s="1473">
        <v>42247</v>
      </c>
      <c r="L190" s="1474" t="s">
        <v>2123</v>
      </c>
      <c r="M190" s="1475">
        <v>5.2531000000000001E-2</v>
      </c>
      <c r="N190" s="1476">
        <v>1.065001137998379</v>
      </c>
      <c r="O190" s="1476">
        <v>1.065001137998379</v>
      </c>
    </row>
    <row r="191" spans="2:15">
      <c r="B191" s="1392">
        <v>38231</v>
      </c>
      <c r="C191" s="1393">
        <v>324.65100000000001</v>
      </c>
      <c r="D191" s="1393">
        <v>2351.8200000000002</v>
      </c>
      <c r="E191" s="1393">
        <v>1.0125132709021758</v>
      </c>
      <c r="F191" s="1393">
        <v>11.695763945950034</v>
      </c>
      <c r="K191" s="1473">
        <v>42248</v>
      </c>
      <c r="L191" s="1474" t="s">
        <v>2123</v>
      </c>
      <c r="M191" s="1475">
        <v>5.2531000000000001E-2</v>
      </c>
      <c r="N191" s="1476">
        <v>1.065560593746181</v>
      </c>
      <c r="O191" s="1476">
        <v>1.065560593746181</v>
      </c>
    </row>
    <row r="192" spans="2:15">
      <c r="B192" s="1392">
        <v>38261</v>
      </c>
      <c r="C192" s="1393">
        <v>325.92500000000001</v>
      </c>
      <c r="D192" s="1393">
        <v>2362.17</v>
      </c>
      <c r="E192" s="1393">
        <v>1.0121322386789289</v>
      </c>
      <c r="F192" s="1393">
        <v>11.837659745674712</v>
      </c>
      <c r="K192" s="1473">
        <v>42249</v>
      </c>
      <c r="L192" s="1474" t="s">
        <v>2123</v>
      </c>
      <c r="M192" s="1475">
        <v>5.2531000000000001E-2</v>
      </c>
      <c r="N192" s="1476">
        <v>1.0661203433816817</v>
      </c>
      <c r="O192" s="1476">
        <v>1.0661203433816817</v>
      </c>
    </row>
    <row r="193" spans="2:15">
      <c r="B193" s="1392">
        <v>38292</v>
      </c>
      <c r="C193" s="1393">
        <v>328.58800000000002</v>
      </c>
      <c r="D193" s="1393">
        <v>2378.4699999999998</v>
      </c>
      <c r="E193" s="1393">
        <v>1.0125098562166484</v>
      </c>
      <c r="F193" s="1393">
        <v>11.985747167034708</v>
      </c>
      <c r="K193" s="1473">
        <v>42250</v>
      </c>
      <c r="L193" s="1474" t="s">
        <v>2123</v>
      </c>
      <c r="M193" s="1475">
        <v>5.2531000000000001E-2</v>
      </c>
      <c r="N193" s="1476">
        <v>1.0666803870592636</v>
      </c>
      <c r="O193" s="1476">
        <v>1.0666803870592636</v>
      </c>
    </row>
    <row r="194" spans="2:15">
      <c r="B194" s="1392">
        <v>38322</v>
      </c>
      <c r="C194" s="1393">
        <v>331.005</v>
      </c>
      <c r="D194" s="1393">
        <v>2398.92</v>
      </c>
      <c r="E194" s="1393">
        <v>1.0148282315457626</v>
      </c>
      <c r="F194" s="1393">
        <v>12.163474601276468</v>
      </c>
      <c r="K194" s="1473">
        <v>42251</v>
      </c>
      <c r="L194" s="1474" t="s">
        <v>2123</v>
      </c>
      <c r="M194" s="1475">
        <v>5.2531000000000001E-2</v>
      </c>
      <c r="N194" s="1476">
        <v>1.0672407249333897</v>
      </c>
      <c r="O194" s="1476">
        <v>1.0672407249333897</v>
      </c>
    </row>
    <row r="195" spans="2:15">
      <c r="B195" s="1392">
        <v>38353</v>
      </c>
      <c r="C195" s="1393">
        <v>332.298</v>
      </c>
      <c r="D195" s="1393">
        <v>2412.83</v>
      </c>
      <c r="E195" s="1393">
        <v>1.0138388229391033</v>
      </c>
      <c r="F195" s="1393">
        <v>12.331802772607814</v>
      </c>
      <c r="K195" s="1473">
        <v>42252</v>
      </c>
      <c r="L195" s="1474"/>
      <c r="M195" s="1475">
        <v>0</v>
      </c>
      <c r="N195" s="1476">
        <v>1.0672407249333897</v>
      </c>
      <c r="O195" s="1476">
        <v>1.0672407249333897</v>
      </c>
    </row>
    <row r="196" spans="2:15">
      <c r="B196" s="1392">
        <v>38384</v>
      </c>
      <c r="C196" s="1393">
        <v>333.28800000000001</v>
      </c>
      <c r="D196" s="1393">
        <v>2427.0700000000002</v>
      </c>
      <c r="E196" s="1393">
        <v>1.0121818576713373</v>
      </c>
      <c r="F196" s="1393">
        <v>12.482027038814724</v>
      </c>
      <c r="K196" s="1473">
        <v>42253</v>
      </c>
      <c r="L196" s="1474"/>
      <c r="M196" s="1475">
        <v>0</v>
      </c>
      <c r="N196" s="1476">
        <v>1.0672407249333897</v>
      </c>
      <c r="O196" s="1476">
        <v>1.0672407249333897</v>
      </c>
    </row>
    <row r="197" spans="2:15">
      <c r="B197" s="1392">
        <v>38412</v>
      </c>
      <c r="C197" s="1393">
        <v>336.12299999999999</v>
      </c>
      <c r="D197" s="1393">
        <v>2441.87</v>
      </c>
      <c r="E197" s="1393">
        <v>1.0152817807540921</v>
      </c>
      <c r="F197" s="1393">
        <v>12.672774639388541</v>
      </c>
      <c r="G197" s="67"/>
      <c r="K197" s="1473">
        <v>42254</v>
      </c>
      <c r="L197" s="1474"/>
      <c r="M197" s="1475">
        <v>0</v>
      </c>
      <c r="N197" s="1476">
        <v>1.0672407249333897</v>
      </c>
      <c r="O197" s="1476">
        <v>1.0672407249333897</v>
      </c>
    </row>
    <row r="198" spans="2:15">
      <c r="B198" s="1392">
        <v>38443</v>
      </c>
      <c r="C198" s="1393">
        <v>339.03</v>
      </c>
      <c r="D198" s="1393">
        <v>2463.11</v>
      </c>
      <c r="E198" s="1393">
        <v>1.0141152901477553</v>
      </c>
      <c r="F198" s="1393">
        <v>12.851654530400625</v>
      </c>
      <c r="K198" s="1473">
        <v>42255</v>
      </c>
      <c r="L198" s="1474" t="s">
        <v>2123</v>
      </c>
      <c r="M198" s="1475">
        <v>5.2531000000000001E-2</v>
      </c>
      <c r="N198" s="1476">
        <v>1.0678013571586045</v>
      </c>
      <c r="O198" s="1476">
        <v>1.0678013571586045</v>
      </c>
    </row>
    <row r="199" spans="2:15">
      <c r="B199" s="1392">
        <v>38473</v>
      </c>
      <c r="C199" s="1393">
        <v>338.29899999999998</v>
      </c>
      <c r="D199" s="1393">
        <v>2475.1799999999998</v>
      </c>
      <c r="E199" s="1393">
        <v>1.0150306502044895</v>
      </c>
      <c r="F199" s="1393">
        <v>13.044823254196018</v>
      </c>
      <c r="K199" s="1473">
        <v>42256</v>
      </c>
      <c r="L199" s="1474" t="s">
        <v>2123</v>
      </c>
      <c r="M199" s="1475">
        <v>5.2531000000000001E-2</v>
      </c>
      <c r="N199" s="1476">
        <v>1.0683622838895335</v>
      </c>
      <c r="O199" s="1476">
        <v>1.0683622838895335</v>
      </c>
    </row>
    <row r="200" spans="2:15">
      <c r="B200" s="1392">
        <v>38504</v>
      </c>
      <c r="C200" s="1393">
        <v>336.80099999999999</v>
      </c>
      <c r="D200" s="1393">
        <v>2474.6799999999998</v>
      </c>
      <c r="E200" s="1393">
        <v>1.0158560276185216</v>
      </c>
      <c r="F200" s="1393">
        <v>13.251662331993282</v>
      </c>
      <c r="K200" s="1473">
        <v>42257</v>
      </c>
      <c r="L200" s="1474" t="s">
        <v>2123</v>
      </c>
      <c r="M200" s="1475">
        <v>5.2531000000000001E-2</v>
      </c>
      <c r="N200" s="1476">
        <v>1.0689235052808834</v>
      </c>
      <c r="O200" s="1476">
        <v>1.0689235052808834</v>
      </c>
    </row>
    <row r="201" spans="2:15">
      <c r="B201" s="1392">
        <v>38534</v>
      </c>
      <c r="C201" s="1393">
        <v>335.66300000000001</v>
      </c>
      <c r="D201" s="1393">
        <v>2480.87</v>
      </c>
      <c r="E201" s="1393">
        <v>1.0151134516871545</v>
      </c>
      <c r="F201" s="1393">
        <v>13.451940690422347</v>
      </c>
      <c r="K201" s="1473">
        <v>42258</v>
      </c>
      <c r="L201" s="1474" t="s">
        <v>2123</v>
      </c>
      <c r="M201" s="1475">
        <v>5.2531000000000001E-2</v>
      </c>
      <c r="N201" s="1476">
        <v>1.0694850214874425</v>
      </c>
      <c r="O201" s="1476">
        <v>1.0694850214874425</v>
      </c>
    </row>
    <row r="202" spans="2:15">
      <c r="B202" s="1392">
        <v>38565</v>
      </c>
      <c r="C202" s="1393">
        <v>333.47399999999999</v>
      </c>
      <c r="D202" s="1393">
        <v>2485.09</v>
      </c>
      <c r="E202" s="1393">
        <v>1.0165848332092207</v>
      </c>
      <c r="F202" s="1393">
        <v>13.675038883113331</v>
      </c>
      <c r="K202" s="1473">
        <v>42259</v>
      </c>
      <c r="L202" s="1474"/>
      <c r="M202" s="1475">
        <v>0</v>
      </c>
      <c r="N202" s="1476">
        <v>1.0694850214874425</v>
      </c>
      <c r="O202" s="1476">
        <v>1.0694850214874425</v>
      </c>
    </row>
    <row r="203" spans="2:15">
      <c r="B203" s="1392">
        <v>38596</v>
      </c>
      <c r="C203" s="1393">
        <v>331.69</v>
      </c>
      <c r="D203" s="1393">
        <v>2493.79</v>
      </c>
      <c r="E203" s="1393">
        <v>1.0150313602253485</v>
      </c>
      <c r="F203" s="1393">
        <v>13.880593318661054</v>
      </c>
      <c r="K203" s="1473">
        <v>42260</v>
      </c>
      <c r="L203" s="1474"/>
      <c r="M203" s="1475">
        <v>0</v>
      </c>
      <c r="N203" s="1476">
        <v>1.0694850214874425</v>
      </c>
      <c r="O203" s="1476">
        <v>1.0694850214874425</v>
      </c>
    </row>
    <row r="204" spans="2:15">
      <c r="B204" s="1392">
        <v>38626</v>
      </c>
      <c r="C204" s="1393">
        <v>333.69400000000002</v>
      </c>
      <c r="D204" s="1393">
        <v>2512.4899999999998</v>
      </c>
      <c r="E204" s="1393">
        <v>1.0140716431638075</v>
      </c>
      <c r="F204" s="1393">
        <v>14.075916074743184</v>
      </c>
      <c r="K204" s="1473">
        <v>42261</v>
      </c>
      <c r="L204" s="1474" t="s">
        <v>2123</v>
      </c>
      <c r="M204" s="1475">
        <v>5.2531000000000001E-2</v>
      </c>
      <c r="N204" s="1476">
        <v>1.0700468326640802</v>
      </c>
      <c r="O204" s="1476">
        <v>1.0700468326640802</v>
      </c>
    </row>
    <row r="205" spans="2:15">
      <c r="B205" s="1392">
        <v>38657</v>
      </c>
      <c r="C205" s="1393">
        <v>335.03300000000002</v>
      </c>
      <c r="D205" s="1393">
        <v>2526.31</v>
      </c>
      <c r="E205" s="1393">
        <v>1.0138104099310956</v>
      </c>
      <c r="F205" s="1393">
        <v>14.270310245891086</v>
      </c>
      <c r="K205" s="1473">
        <v>42262</v>
      </c>
      <c r="L205" s="1474" t="s">
        <v>2123</v>
      </c>
      <c r="M205" s="1475">
        <v>5.2531000000000001E-2</v>
      </c>
      <c r="N205" s="1476">
        <v>1.0706089389657469</v>
      </c>
      <c r="O205" s="1476">
        <v>1.0706089389657469</v>
      </c>
    </row>
    <row r="206" spans="2:15">
      <c r="B206" s="1392">
        <v>38687</v>
      </c>
      <c r="C206" s="1393">
        <v>335.00599999999997</v>
      </c>
      <c r="D206" s="1393">
        <v>2535.4</v>
      </c>
      <c r="E206" s="1393">
        <v>1.0147357208231795</v>
      </c>
      <c r="F206" s="1393">
        <v>14.480593553734694</v>
      </c>
      <c r="K206" s="1473">
        <v>42263</v>
      </c>
      <c r="L206" s="1474" t="s">
        <v>2123</v>
      </c>
      <c r="M206" s="1475">
        <v>5.2531000000000001E-2</v>
      </c>
      <c r="N206" s="1476">
        <v>1.071171340547475</v>
      </c>
      <c r="O206" s="1476">
        <v>1.071171340547475</v>
      </c>
    </row>
    <row r="207" spans="2:15">
      <c r="B207" s="1392">
        <v>38718</v>
      </c>
      <c r="C207" s="1393">
        <v>338.08300000000003</v>
      </c>
      <c r="D207" s="1393">
        <v>2550.36</v>
      </c>
      <c r="E207" s="1393">
        <v>1.0142931741687891</v>
      </c>
      <c r="F207" s="1393">
        <v>14.687567199465668</v>
      </c>
      <c r="K207" s="1473">
        <v>42264</v>
      </c>
      <c r="L207" s="1474" t="s">
        <v>2123</v>
      </c>
      <c r="M207" s="1475">
        <v>5.2531000000000001E-2</v>
      </c>
      <c r="N207" s="1476">
        <v>1.071734037564378</v>
      </c>
      <c r="O207" s="1476">
        <v>1.071734037564378</v>
      </c>
    </row>
    <row r="208" spans="2:15">
      <c r="B208" s="1392">
        <v>38749</v>
      </c>
      <c r="C208" s="1393">
        <v>338.12799999999999</v>
      </c>
      <c r="D208" s="1393">
        <v>2560.8200000000002</v>
      </c>
      <c r="E208" s="1393">
        <v>1.0114506306443078</v>
      </c>
      <c r="F208" s="1393">
        <v>14.855749106530201</v>
      </c>
      <c r="K208" s="1473">
        <v>42265</v>
      </c>
      <c r="L208" s="1474" t="s">
        <v>2123</v>
      </c>
      <c r="M208" s="1475">
        <v>5.2531000000000001E-2</v>
      </c>
      <c r="N208" s="1476">
        <v>1.072297030171651</v>
      </c>
      <c r="O208" s="1476">
        <v>1.072297030171651</v>
      </c>
    </row>
    <row r="209" spans="2:15">
      <c r="B209" s="1392">
        <v>38777</v>
      </c>
      <c r="C209" s="1393">
        <v>337.339</v>
      </c>
      <c r="D209" s="1393">
        <v>2571.83</v>
      </c>
      <c r="E209" s="1393">
        <v>1.0142230199009199</v>
      </c>
      <c r="F209" s="1393">
        <v>15.067042721715453</v>
      </c>
      <c r="K209" s="1473">
        <v>42266</v>
      </c>
      <c r="L209" s="1474"/>
      <c r="M209" s="1475">
        <v>0</v>
      </c>
      <c r="N209" s="1476">
        <v>1.072297030171651</v>
      </c>
      <c r="O209" s="1476">
        <v>1.072297030171651</v>
      </c>
    </row>
    <row r="210" spans="2:15">
      <c r="B210" s="1392">
        <v>38808</v>
      </c>
      <c r="C210" s="1393">
        <v>335.92099999999999</v>
      </c>
      <c r="D210" s="1393">
        <v>2577.23</v>
      </c>
      <c r="E210" s="1393">
        <v>1.0107787821533378</v>
      </c>
      <c r="F210" s="1393">
        <v>15.229447092907858</v>
      </c>
      <c r="K210" s="1473">
        <v>42267</v>
      </c>
      <c r="L210" s="1474"/>
      <c r="M210" s="1475">
        <v>0</v>
      </c>
      <c r="N210" s="1476">
        <v>1.072297030171651</v>
      </c>
      <c r="O210" s="1476">
        <v>1.072297030171651</v>
      </c>
    </row>
    <row r="211" spans="2:15">
      <c r="B211" s="1392">
        <v>38838</v>
      </c>
      <c r="C211" s="1393">
        <v>337.185</v>
      </c>
      <c r="D211" s="1393">
        <v>2579.81</v>
      </c>
      <c r="E211" s="1393">
        <v>1.0128136552027243</v>
      </c>
      <c r="F211" s="1393">
        <v>15.424591976884511</v>
      </c>
      <c r="K211" s="1473">
        <v>42268</v>
      </c>
      <c r="L211" s="1474" t="s">
        <v>2123</v>
      </c>
      <c r="M211" s="1475">
        <v>5.2531000000000001E-2</v>
      </c>
      <c r="N211" s="1476">
        <v>1.0728603185245704</v>
      </c>
      <c r="O211" s="1476">
        <v>1.0728603185245704</v>
      </c>
    </row>
    <row r="212" spans="2:15">
      <c r="B212" s="1392">
        <v>38869</v>
      </c>
      <c r="C212" s="1393">
        <v>339.71199999999999</v>
      </c>
      <c r="D212" s="1393">
        <v>2574.39</v>
      </c>
      <c r="E212" s="1393">
        <v>1.0118439390435949</v>
      </c>
      <c r="F212" s="1393">
        <v>15.607279904031055</v>
      </c>
      <c r="K212" s="1473">
        <v>42269</v>
      </c>
      <c r="L212" s="1474" t="s">
        <v>2123</v>
      </c>
      <c r="M212" s="1475">
        <v>5.2531000000000001E-2</v>
      </c>
      <c r="N212" s="1476">
        <v>1.0734239027784946</v>
      </c>
      <c r="O212" s="1476">
        <v>1.0734239027784946</v>
      </c>
    </row>
    <row r="213" spans="2:15">
      <c r="B213" s="1392">
        <v>38899</v>
      </c>
      <c r="C213" s="1393">
        <v>340.31200000000001</v>
      </c>
      <c r="D213" s="1393">
        <v>2579.2800000000002</v>
      </c>
      <c r="E213" s="1393">
        <v>1.0116996590630269</v>
      </c>
      <c r="F213" s="1393">
        <v>15.78987975780945</v>
      </c>
      <c r="K213" s="1473">
        <v>42270</v>
      </c>
      <c r="L213" s="1474" t="s">
        <v>2123</v>
      </c>
      <c r="M213" s="1475">
        <v>5.2531000000000001E-2</v>
      </c>
      <c r="N213" s="1476">
        <v>1.0739877830888631</v>
      </c>
      <c r="O213" s="1476">
        <v>1.0739877830888631</v>
      </c>
    </row>
    <row r="214" spans="2:15">
      <c r="B214" s="1392">
        <v>38930</v>
      </c>
      <c r="C214" s="1393">
        <v>341.57400000000001</v>
      </c>
      <c r="D214" s="1393">
        <v>2580.5700000000002</v>
      </c>
      <c r="E214" s="1393">
        <v>1.012562646303421</v>
      </c>
      <c r="F214" s="1393">
        <v>15.988242432380357</v>
      </c>
      <c r="K214" s="1473">
        <v>42271</v>
      </c>
      <c r="L214" s="1474" t="s">
        <v>2123</v>
      </c>
      <c r="M214" s="1475">
        <v>5.2531000000000001E-2</v>
      </c>
      <c r="N214" s="1476">
        <v>1.0745519596111974</v>
      </c>
      <c r="O214" s="1476">
        <v>1.0745519596111974</v>
      </c>
    </row>
    <row r="215" spans="2:15" ht="13.5" customHeight="1">
      <c r="B215" s="1392">
        <v>38961</v>
      </c>
      <c r="C215" s="1393">
        <v>342.56099999999998</v>
      </c>
      <c r="D215" s="1393">
        <v>2585.9899999999998</v>
      </c>
      <c r="E215" s="1393">
        <v>1.0105730983323107</v>
      </c>
      <c r="F215" s="1393">
        <v>16.157287691778738</v>
      </c>
      <c r="K215" s="1473">
        <v>42272</v>
      </c>
      <c r="L215" s="1474" t="s">
        <v>2123</v>
      </c>
      <c r="M215" s="1475">
        <v>5.2531000000000001E-2</v>
      </c>
      <c r="N215" s="1476">
        <v>1.0751164325011009</v>
      </c>
      <c r="O215" s="1476">
        <v>1.0751164325011009</v>
      </c>
    </row>
    <row r="216" spans="2:15">
      <c r="B216" s="1392">
        <v>38991</v>
      </c>
      <c r="C216" s="1393">
        <v>344.15499999999997</v>
      </c>
      <c r="D216" s="1393">
        <v>2594.52</v>
      </c>
      <c r="E216" s="1393">
        <v>1.0109424441222723</v>
      </c>
      <c r="F216" s="1393">
        <v>16.334087909513503</v>
      </c>
      <c r="K216" s="1473">
        <v>42273</v>
      </c>
      <c r="L216" s="1474"/>
      <c r="M216" s="1475">
        <v>0</v>
      </c>
      <c r="N216" s="1476">
        <v>1.0751164325011009</v>
      </c>
      <c r="O216" s="1476">
        <v>1.0751164325011009</v>
      </c>
    </row>
    <row r="217" spans="2:15">
      <c r="B217" s="1392">
        <v>39022</v>
      </c>
      <c r="C217" s="1393">
        <v>346.74599999999998</v>
      </c>
      <c r="D217" s="1393">
        <v>2602.56</v>
      </c>
      <c r="E217" s="1393">
        <v>1.0102060517349183</v>
      </c>
      <c r="F217" s="1393">
        <v>16.500794455760701</v>
      </c>
      <c r="K217" s="1473">
        <v>42274</v>
      </c>
      <c r="L217" s="1474"/>
      <c r="M217" s="1475">
        <v>0</v>
      </c>
      <c r="N217" s="1476">
        <v>1.0751164325011009</v>
      </c>
      <c r="O217" s="1476">
        <v>1.0751164325011009</v>
      </c>
    </row>
    <row r="218" spans="2:15">
      <c r="B218" s="1392">
        <v>39052</v>
      </c>
      <c r="C218" s="1393">
        <v>347.84199999999998</v>
      </c>
      <c r="D218" s="1393">
        <v>2615.0500000000002</v>
      </c>
      <c r="E218" s="1393">
        <v>1.0098788606332807</v>
      </c>
      <c r="F218" s="1393">
        <v>16.663803504527571</v>
      </c>
      <c r="K218" s="1473">
        <v>42275</v>
      </c>
      <c r="L218" s="1474" t="s">
        <v>2123</v>
      </c>
      <c r="M218" s="1475">
        <v>5.2531000000000001E-2</v>
      </c>
      <c r="N218" s="1476">
        <v>1.0756812019142581</v>
      </c>
      <c r="O218" s="1476">
        <v>1.0756812019142581</v>
      </c>
    </row>
    <row r="219" spans="2:15">
      <c r="B219" s="1392">
        <v>39083</v>
      </c>
      <c r="C219" s="1393">
        <v>349.59300000000002</v>
      </c>
      <c r="D219" s="1393">
        <v>2626.56</v>
      </c>
      <c r="E219" s="1393">
        <v>1.0108280266006449</v>
      </c>
      <c r="F219" s="1393">
        <v>16.844239612142516</v>
      </c>
      <c r="K219" s="1473">
        <v>42276</v>
      </c>
      <c r="L219" s="1474" t="s">
        <v>2123</v>
      </c>
      <c r="M219" s="1475">
        <v>5.2531000000000001E-2</v>
      </c>
      <c r="N219" s="1476">
        <v>1.0762462680064357</v>
      </c>
      <c r="O219" s="1476">
        <v>1.0762462680064357</v>
      </c>
    </row>
    <row r="220" spans="2:15">
      <c r="B220" s="1392">
        <v>39114</v>
      </c>
      <c r="C220" s="1393">
        <v>350.524</v>
      </c>
      <c r="D220" s="1393">
        <v>2638.12</v>
      </c>
      <c r="E220" s="1393">
        <v>1.008724844950982</v>
      </c>
      <c r="F220" s="1393">
        <v>16.991202991075649</v>
      </c>
      <c r="K220" s="1473">
        <v>42277</v>
      </c>
      <c r="L220" s="1474" t="s">
        <v>2123</v>
      </c>
      <c r="M220" s="1475">
        <v>5.2531000000000001E-2</v>
      </c>
      <c r="N220" s="1476">
        <v>1.0768116309334823</v>
      </c>
      <c r="O220" s="1476">
        <v>1.0768116309334823</v>
      </c>
    </row>
    <row r="221" spans="2:15">
      <c r="B221" s="1392">
        <v>39142</v>
      </c>
      <c r="C221" s="1393">
        <v>351.71699999999998</v>
      </c>
      <c r="D221" s="1393">
        <v>2647.88</v>
      </c>
      <c r="E221" s="1393">
        <v>1.0105222327764332</v>
      </c>
      <c r="F221" s="1393">
        <v>17.169988384099376</v>
      </c>
      <c r="K221" s="1473">
        <v>42278</v>
      </c>
      <c r="L221" s="1474" t="s">
        <v>2123</v>
      </c>
      <c r="M221" s="1475">
        <v>5.2531000000000001E-2</v>
      </c>
      <c r="N221" s="1476">
        <v>1.0773772908513279</v>
      </c>
      <c r="O221" s="1476">
        <v>1.0773772908513279</v>
      </c>
    </row>
    <row r="222" spans="2:15">
      <c r="B222" s="1392">
        <v>39173</v>
      </c>
      <c r="C222" s="1393">
        <v>351.86900000000003</v>
      </c>
      <c r="D222" s="1393">
        <v>2654.5</v>
      </c>
      <c r="E222" s="1393">
        <v>1.0094482340398951</v>
      </c>
      <c r="F222" s="1393">
        <v>17.332214452814629</v>
      </c>
      <c r="K222" s="1473">
        <v>42279</v>
      </c>
      <c r="L222" s="1474" t="s">
        <v>2123</v>
      </c>
      <c r="M222" s="1475">
        <v>5.2531000000000001E-2</v>
      </c>
      <c r="N222" s="1476">
        <v>1.0779432479159849</v>
      </c>
      <c r="O222" s="1476">
        <v>1.0779432479159849</v>
      </c>
    </row>
    <row r="223" spans="2:15">
      <c r="B223" s="1392">
        <v>39203</v>
      </c>
      <c r="C223" s="1393">
        <v>352.02</v>
      </c>
      <c r="D223" s="1393">
        <v>2661.93</v>
      </c>
      <c r="E223" s="1393">
        <v>1.0102807696314628</v>
      </c>
      <c r="F223" s="1393">
        <v>17.510402956807127</v>
      </c>
      <c r="K223" s="1473">
        <v>42280</v>
      </c>
      <c r="L223" s="1474"/>
      <c r="M223" s="1475">
        <v>0</v>
      </c>
      <c r="N223" s="1476">
        <v>1.0779432479159849</v>
      </c>
      <c r="O223" s="1476">
        <v>1.0779432479159849</v>
      </c>
    </row>
    <row r="224" spans="2:15">
      <c r="B224" s="1392">
        <v>39234</v>
      </c>
      <c r="C224" s="1393">
        <v>352.93599999999998</v>
      </c>
      <c r="D224" s="1393">
        <v>2669.38</v>
      </c>
      <c r="E224" s="1393">
        <v>1.0090562894719608</v>
      </c>
      <c r="F224" s="1393">
        <v>17.668982234754651</v>
      </c>
      <c r="K224" s="1473">
        <v>42281</v>
      </c>
      <c r="L224" s="1474"/>
      <c r="M224" s="1475">
        <v>0</v>
      </c>
      <c r="N224" s="1476">
        <v>1.0779432479159849</v>
      </c>
      <c r="O224" s="1476">
        <v>1.0779432479159849</v>
      </c>
    </row>
    <row r="225" spans="2:15">
      <c r="B225" s="1392">
        <v>39264</v>
      </c>
      <c r="C225" s="1393">
        <v>353.92</v>
      </c>
      <c r="D225" s="1393">
        <v>2675.79</v>
      </c>
      <c r="E225" s="1393">
        <v>1.0097263257608722</v>
      </c>
      <c r="F225" s="1393">
        <v>17.840836511832936</v>
      </c>
      <c r="K225" s="1473">
        <v>42282</v>
      </c>
      <c r="L225" s="1474" t="s">
        <v>2123</v>
      </c>
      <c r="M225" s="1475">
        <v>5.2531000000000001E-2</v>
      </c>
      <c r="N225" s="1476">
        <v>1.0785095022835478</v>
      </c>
      <c r="O225" s="1476">
        <v>1.0785095022835478</v>
      </c>
    </row>
    <row r="226" spans="2:15">
      <c r="B226" s="1392">
        <v>39295</v>
      </c>
      <c r="C226" s="1393">
        <v>357.404</v>
      </c>
      <c r="D226" s="1393">
        <v>2688.37</v>
      </c>
      <c r="E226" s="1393">
        <v>1.0099263513682912</v>
      </c>
      <c r="F226" s="1393">
        <v>18.017930923753628</v>
      </c>
      <c r="K226" s="1473">
        <v>42283</v>
      </c>
      <c r="L226" s="1474" t="s">
        <v>2123</v>
      </c>
      <c r="M226" s="1475">
        <v>5.2531000000000001E-2</v>
      </c>
      <c r="N226" s="1476">
        <v>1.0790760541101925</v>
      </c>
      <c r="O226" s="1476">
        <v>1.0790760541101925</v>
      </c>
    </row>
    <row r="227" spans="2:15">
      <c r="B227" s="1392">
        <v>39326</v>
      </c>
      <c r="C227" s="1393">
        <v>361.99700000000001</v>
      </c>
      <c r="D227" s="1393">
        <v>2693.21</v>
      </c>
      <c r="E227" s="1393">
        <v>1.0080496134415582</v>
      </c>
      <c r="F227" s="1393">
        <v>18.162968302706542</v>
      </c>
      <c r="K227" s="1473">
        <v>42284</v>
      </c>
      <c r="L227" s="1474" t="s">
        <v>2123</v>
      </c>
      <c r="M227" s="1475">
        <v>5.2531000000000001E-2</v>
      </c>
      <c r="N227" s="1476">
        <v>1.0796429035521771</v>
      </c>
      <c r="O227" s="1476">
        <v>1.0796429035521771</v>
      </c>
    </row>
    <row r="228" spans="2:15">
      <c r="B228" s="1392">
        <v>39356</v>
      </c>
      <c r="C228" s="1393">
        <v>365.79399999999998</v>
      </c>
      <c r="D228" s="1393">
        <v>2701.29</v>
      </c>
      <c r="E228" s="1393">
        <v>1.0092949262855189</v>
      </c>
      <c r="F228" s="1393">
        <v>18.331791754206414</v>
      </c>
      <c r="K228" s="1473">
        <v>42285</v>
      </c>
      <c r="L228" s="1474" t="s">
        <v>2123</v>
      </c>
      <c r="M228" s="1475">
        <v>5.2531000000000001E-2</v>
      </c>
      <c r="N228" s="1476">
        <v>1.0802100507658421</v>
      </c>
      <c r="O228" s="1476">
        <v>1.0802100507658421</v>
      </c>
    </row>
    <row r="229" spans="2:15">
      <c r="B229" s="1392">
        <v>39387</v>
      </c>
      <c r="C229" s="1393">
        <v>368.334</v>
      </c>
      <c r="D229" s="1393">
        <v>2711.55</v>
      </c>
      <c r="E229" s="1393">
        <v>1.0084467048252397</v>
      </c>
      <c r="F229" s="1393">
        <v>18.486634988071959</v>
      </c>
      <c r="K229" s="1473">
        <v>42286</v>
      </c>
      <c r="L229" s="1474" t="s">
        <v>2123</v>
      </c>
      <c r="M229" s="1475">
        <v>5.2531000000000001E-2</v>
      </c>
      <c r="N229" s="1476">
        <v>1.08077749590761</v>
      </c>
      <c r="O229" s="1476">
        <v>1.08077749590761</v>
      </c>
    </row>
    <row r="230" spans="2:15">
      <c r="B230" s="1392">
        <v>39417</v>
      </c>
      <c r="C230" s="1393">
        <v>374.815</v>
      </c>
      <c r="D230" s="1393">
        <v>2731.62</v>
      </c>
      <c r="E230" s="1393">
        <v>1.0084467048252395</v>
      </c>
      <c r="F230" s="1393">
        <v>18.642786137028146</v>
      </c>
      <c r="K230" s="1473">
        <v>42287</v>
      </c>
      <c r="L230" s="1474"/>
      <c r="M230" s="1475">
        <v>0</v>
      </c>
      <c r="N230" s="1476">
        <v>1.08077749590761</v>
      </c>
      <c r="O230" s="1476">
        <v>1.08077749590761</v>
      </c>
    </row>
    <row r="231" spans="2:15">
      <c r="B231" s="1392">
        <v>39448</v>
      </c>
      <c r="C231" s="1393">
        <v>378.9</v>
      </c>
      <c r="D231" s="1393">
        <v>2746.37</v>
      </c>
      <c r="E231" s="1393">
        <v>1.0092938367057227</v>
      </c>
      <c r="F231" s="1393">
        <v>18.816049147125398</v>
      </c>
      <c r="K231" s="1473">
        <v>42288</v>
      </c>
      <c r="L231" s="1474"/>
      <c r="M231" s="1475">
        <v>0</v>
      </c>
      <c r="N231" s="1476">
        <v>1.08077749590761</v>
      </c>
      <c r="O231" s="1476">
        <v>1.08077749590761</v>
      </c>
    </row>
    <row r="232" spans="2:15">
      <c r="B232" s="1392">
        <v>39479</v>
      </c>
      <c r="C232" s="1393">
        <v>380.90600000000001</v>
      </c>
      <c r="D232" s="1393">
        <v>2759.83</v>
      </c>
      <c r="E232" s="1393">
        <v>1.0080223173492819</v>
      </c>
      <c r="F232" s="1393">
        <v>18.966997464643324</v>
      </c>
      <c r="K232" s="1473">
        <v>42289</v>
      </c>
      <c r="L232" s="1474"/>
      <c r="M232" s="1475">
        <v>0</v>
      </c>
      <c r="N232" s="1476">
        <v>1.08077749590761</v>
      </c>
      <c r="O232" s="1476">
        <v>1.08077749590761</v>
      </c>
    </row>
    <row r="233" spans="2:15">
      <c r="B233" s="1392">
        <v>39508</v>
      </c>
      <c r="C233" s="1393">
        <v>383.73099999999999</v>
      </c>
      <c r="D233" s="1393">
        <v>2773.08</v>
      </c>
      <c r="E233" s="1393">
        <v>1.0084459790490408</v>
      </c>
      <c r="F233" s="1393">
        <v>19.12719232785291</v>
      </c>
      <c r="K233" s="1473">
        <v>42290</v>
      </c>
      <c r="L233" s="1474" t="s">
        <v>2123</v>
      </c>
      <c r="M233" s="1475">
        <v>5.2531000000000001E-2</v>
      </c>
      <c r="N233" s="1476">
        <v>1.0813452391339853</v>
      </c>
      <c r="O233" s="1476">
        <v>1.0813452391339853</v>
      </c>
    </row>
    <row r="234" spans="2:15">
      <c r="B234" s="1392">
        <v>39539</v>
      </c>
      <c r="C234" s="1393">
        <v>386.38</v>
      </c>
      <c r="D234" s="1393">
        <v>2788.33</v>
      </c>
      <c r="E234" s="1393">
        <v>1.0090142575644072</v>
      </c>
      <c r="F234" s="1393">
        <v>19.299609765980129</v>
      </c>
      <c r="K234" s="1473">
        <v>42291</v>
      </c>
      <c r="L234" s="1474" t="s">
        <v>2123</v>
      </c>
      <c r="M234" s="1475">
        <v>5.2531000000000001E-2</v>
      </c>
      <c r="N234" s="1476">
        <v>1.0819132806015548</v>
      </c>
      <c r="O234" s="1476">
        <v>1.0819132806015548</v>
      </c>
    </row>
    <row r="235" spans="2:15">
      <c r="B235" s="1392">
        <v>39569</v>
      </c>
      <c r="C235" s="1393">
        <v>392.59199999999998</v>
      </c>
      <c r="D235" s="1393">
        <v>2810.36</v>
      </c>
      <c r="E235" s="1393">
        <v>1.0087678287685495</v>
      </c>
      <c r="F235" s="1393">
        <v>19.46882543970807</v>
      </c>
      <c r="K235" s="1473">
        <v>42292</v>
      </c>
      <c r="L235" s="1474" t="s">
        <v>2123</v>
      </c>
      <c r="M235" s="1475">
        <v>5.2531000000000001E-2</v>
      </c>
      <c r="N235" s="1476">
        <v>1.0824816204669876</v>
      </c>
      <c r="O235" s="1476">
        <v>1.0824816204669876</v>
      </c>
    </row>
    <row r="236" spans="2:15">
      <c r="B236" s="1392">
        <v>39600</v>
      </c>
      <c r="C236" s="1393">
        <v>400.38200000000001</v>
      </c>
      <c r="D236" s="1393">
        <v>2831.16</v>
      </c>
      <c r="E236" s="1393">
        <v>1.0095559246898425</v>
      </c>
      <c r="F236" s="1393">
        <v>19.654868069409609</v>
      </c>
      <c r="K236" s="1473">
        <v>42293</v>
      </c>
      <c r="L236" s="1474" t="s">
        <v>2123</v>
      </c>
      <c r="M236" s="1475">
        <v>5.2531000000000001E-2</v>
      </c>
      <c r="N236" s="1476">
        <v>1.0830502588870352</v>
      </c>
      <c r="O236" s="1476">
        <v>1.0830502588870352</v>
      </c>
    </row>
    <row r="237" spans="2:15">
      <c r="B237" s="1392">
        <v>39630</v>
      </c>
      <c r="C237" s="1393">
        <v>407.44600000000003</v>
      </c>
      <c r="D237" s="1393">
        <v>2846.16</v>
      </c>
      <c r="E237" s="1393">
        <v>1.0106967121371</v>
      </c>
      <c r="F237" s="1393">
        <v>19.865110535240763</v>
      </c>
      <c r="K237" s="1473">
        <v>42294</v>
      </c>
      <c r="L237" s="1474"/>
      <c r="M237" s="1475">
        <v>0</v>
      </c>
      <c r="N237" s="1476">
        <v>1.0830502588870352</v>
      </c>
      <c r="O237" s="1476">
        <v>1.0830502588870352</v>
      </c>
    </row>
    <row r="238" spans="2:15">
      <c r="B238" s="1392">
        <v>39661</v>
      </c>
      <c r="C238" s="1393">
        <v>406.12700000000001</v>
      </c>
      <c r="D238" s="1393">
        <v>2854.13</v>
      </c>
      <c r="E238" s="1393">
        <v>1.0101765713502602</v>
      </c>
      <c r="F238" s="1393">
        <v>20.067269249983447</v>
      </c>
      <c r="K238" s="1473">
        <v>42295</v>
      </c>
      <c r="L238" s="1474"/>
      <c r="M238" s="1475">
        <v>0</v>
      </c>
      <c r="N238" s="1476">
        <v>1.0830502588870352</v>
      </c>
      <c r="O238" s="1476">
        <v>1.0830502588870352</v>
      </c>
    </row>
    <row r="239" spans="2:15">
      <c r="B239" s="1392">
        <v>39692</v>
      </c>
      <c r="C239" s="1393">
        <v>406.55700000000002</v>
      </c>
      <c r="D239" s="1393">
        <v>2861.55</v>
      </c>
      <c r="E239" s="1393">
        <v>1.011030909274969</v>
      </c>
      <c r="F239" s="1393">
        <v>20.288629476476387</v>
      </c>
      <c r="K239" s="1473">
        <v>42296</v>
      </c>
      <c r="L239" s="1474" t="s">
        <v>2123</v>
      </c>
      <c r="M239" s="1475">
        <v>5.2531000000000001E-2</v>
      </c>
      <c r="N239" s="1476">
        <v>1.0836191960185311</v>
      </c>
      <c r="O239" s="1476">
        <v>1.0836191960185311</v>
      </c>
    </row>
    <row r="240" spans="2:15">
      <c r="B240" s="1392">
        <v>39722</v>
      </c>
      <c r="C240" s="1393">
        <v>410.524</v>
      </c>
      <c r="D240" s="1393">
        <v>2874.43</v>
      </c>
      <c r="E240" s="1393">
        <v>1.0117587656900342</v>
      </c>
      <c r="F240" s="1393">
        <v>20.527198716662195</v>
      </c>
      <c r="K240" s="1473">
        <v>42297</v>
      </c>
      <c r="L240" s="1474" t="s">
        <v>2123</v>
      </c>
      <c r="M240" s="1475">
        <v>5.2531000000000001E-2</v>
      </c>
      <c r="N240" s="1476">
        <v>1.0841884320183917</v>
      </c>
      <c r="O240" s="1476">
        <v>1.0841884320183917</v>
      </c>
    </row>
    <row r="241" spans="2:15">
      <c r="B241" s="1392">
        <v>39753</v>
      </c>
      <c r="C241" s="1393">
        <v>412.10399999999998</v>
      </c>
      <c r="D241" s="1393">
        <v>2884.78</v>
      </c>
      <c r="E241" s="1393">
        <v>1.0101996908301405</v>
      </c>
      <c r="F241" s="1393">
        <v>20.736569797181005</v>
      </c>
      <c r="K241" s="1473">
        <v>42298</v>
      </c>
      <c r="L241" s="1474" t="s">
        <v>2123</v>
      </c>
      <c r="M241" s="1475">
        <v>5.2531000000000001E-2</v>
      </c>
      <c r="N241" s="1476">
        <v>1.0847579670436152</v>
      </c>
      <c r="O241" s="1476">
        <v>1.0847579670436152</v>
      </c>
    </row>
    <row r="242" spans="2:15">
      <c r="B242" s="1392">
        <v>39783</v>
      </c>
      <c r="C242" s="1393">
        <v>411.57499999999999</v>
      </c>
      <c r="D242" s="1393">
        <v>2892.86</v>
      </c>
      <c r="E242" s="1393">
        <v>1.0112409294280835</v>
      </c>
      <c r="F242" s="1393">
        <v>20.969668114851643</v>
      </c>
      <c r="K242" s="1473">
        <v>42299</v>
      </c>
      <c r="L242" s="1474" t="s">
        <v>2123</v>
      </c>
      <c r="M242" s="1475">
        <v>5.2531000000000001E-2</v>
      </c>
      <c r="N242" s="1476">
        <v>1.0853278012512828</v>
      </c>
      <c r="O242" s="1476">
        <v>1.0853278012512828</v>
      </c>
    </row>
    <row r="243" spans="2:15">
      <c r="B243" s="1392">
        <v>39814</v>
      </c>
      <c r="C243" s="1393">
        <v>409.78199999999998</v>
      </c>
      <c r="D243" s="1393">
        <v>2906.74</v>
      </c>
      <c r="E243" s="1393">
        <v>1.0104780743150839</v>
      </c>
      <c r="F243" s="1393">
        <v>21.189389855721704</v>
      </c>
      <c r="K243" s="1473">
        <v>42300</v>
      </c>
      <c r="L243" s="1474" t="s">
        <v>2123</v>
      </c>
      <c r="M243" s="1475">
        <v>5.2531000000000001E-2</v>
      </c>
      <c r="N243" s="1476">
        <v>1.0858979347985582</v>
      </c>
      <c r="O243" s="1476">
        <v>1.0858979347985582</v>
      </c>
    </row>
    <row r="244" spans="2:15">
      <c r="B244" s="1392">
        <v>39845</v>
      </c>
      <c r="C244" s="1393">
        <v>410.84899999999999</v>
      </c>
      <c r="D244" s="1393">
        <v>2922.73</v>
      </c>
      <c r="E244" s="1393">
        <v>1.0085508573858042</v>
      </c>
      <c r="F244" s="1393">
        <v>21.370577306470185</v>
      </c>
      <c r="K244" s="1473">
        <v>42301</v>
      </c>
      <c r="L244" s="1474"/>
      <c r="M244" s="1475">
        <v>0</v>
      </c>
      <c r="N244" s="1476">
        <v>1.0858979347985582</v>
      </c>
      <c r="O244" s="1476">
        <v>1.0858979347985582</v>
      </c>
    </row>
    <row r="245" spans="2:15">
      <c r="B245" s="1392">
        <v>39873</v>
      </c>
      <c r="C245" s="1393">
        <v>407.80799999999999</v>
      </c>
      <c r="D245" s="1393">
        <v>2928.57</v>
      </c>
      <c r="E245" s="1393">
        <v>1.0097088387156097</v>
      </c>
      <c r="F245" s="1393">
        <v>21.578060794798173</v>
      </c>
      <c r="K245" s="1473">
        <v>42302</v>
      </c>
      <c r="L245" s="1474"/>
      <c r="M245" s="1475">
        <v>0</v>
      </c>
      <c r="N245" s="1476">
        <v>1.0858979347985582</v>
      </c>
      <c r="O245" s="1476">
        <v>1.0858979347985582</v>
      </c>
    </row>
    <row r="246" spans="2:15">
      <c r="B246" s="1392">
        <v>39904</v>
      </c>
      <c r="C246" s="1393">
        <v>407.18099999999998</v>
      </c>
      <c r="D246" s="1393">
        <v>2942.63</v>
      </c>
      <c r="E246" s="1393">
        <v>1.008395669248594</v>
      </c>
      <c r="F246" s="1393">
        <v>21.759223056257351</v>
      </c>
      <c r="K246" s="1473">
        <v>42303</v>
      </c>
      <c r="L246" s="1474" t="s">
        <v>2123</v>
      </c>
      <c r="M246" s="1475">
        <v>5.2531000000000001E-2</v>
      </c>
      <c r="N246" s="1476">
        <v>1.0864683678426872</v>
      </c>
      <c r="O246" s="1476">
        <v>1.0864683678426872</v>
      </c>
    </row>
    <row r="247" spans="2:15">
      <c r="B247" s="1392">
        <v>39934</v>
      </c>
      <c r="C247" s="1393">
        <v>406.88499999999999</v>
      </c>
      <c r="D247" s="1393">
        <v>2956.46</v>
      </c>
      <c r="E247" s="1393">
        <v>1.0077089274459567</v>
      </c>
      <c r="F247" s="1393">
        <v>21.926963328078429</v>
      </c>
      <c r="K247" s="1473">
        <v>42304</v>
      </c>
      <c r="L247" s="1474" t="s">
        <v>2123</v>
      </c>
      <c r="M247" s="1475">
        <v>5.2531000000000001E-2</v>
      </c>
      <c r="N247" s="1476">
        <v>1.0870391005409987</v>
      </c>
      <c r="O247" s="1476">
        <v>1.0870391005409987</v>
      </c>
    </row>
    <row r="248" spans="2:15">
      <c r="B248" s="1392">
        <v>39965</v>
      </c>
      <c r="C248" s="1393">
        <v>406.48599999999999</v>
      </c>
      <c r="D248" s="1393">
        <v>2967.1</v>
      </c>
      <c r="E248" s="1393">
        <v>1.0076218232644543</v>
      </c>
      <c r="F248" s="1393">
        <v>22.094086767291213</v>
      </c>
      <c r="K248" s="1473">
        <v>42305</v>
      </c>
      <c r="L248" s="1474" t="s">
        <v>2123</v>
      </c>
      <c r="M248" s="1475">
        <v>5.2531000000000001E-2</v>
      </c>
      <c r="N248" s="1476">
        <v>1.0876101330509038</v>
      </c>
      <c r="O248" s="1476">
        <v>1.0876101330509038</v>
      </c>
    </row>
    <row r="249" spans="2:15">
      <c r="B249" s="1392">
        <v>39995</v>
      </c>
      <c r="C249" s="1393">
        <v>404.71800000000002</v>
      </c>
      <c r="D249" s="1393">
        <v>2974.22</v>
      </c>
      <c r="E249" s="1393">
        <v>1.0079014252372847</v>
      </c>
      <c r="F249" s="1393">
        <v>22.268661542069044</v>
      </c>
      <c r="K249" s="1473">
        <v>42306</v>
      </c>
      <c r="L249" s="1474" t="s">
        <v>2123</v>
      </c>
      <c r="M249" s="1475">
        <v>5.2531000000000001E-2</v>
      </c>
      <c r="N249" s="1476">
        <v>1.0881814655298967</v>
      </c>
      <c r="O249" s="1476">
        <v>1.0881814655298967</v>
      </c>
    </row>
    <row r="250" spans="2:15">
      <c r="B250" s="1392">
        <v>40026</v>
      </c>
      <c r="C250" s="1393">
        <v>403.25299999999999</v>
      </c>
      <c r="D250" s="1393">
        <v>2978.68</v>
      </c>
      <c r="E250" s="1393">
        <v>1.0069374854840563</v>
      </c>
      <c r="F250" s="1393">
        <v>22.423150058266511</v>
      </c>
      <c r="K250" s="1473">
        <v>42307</v>
      </c>
      <c r="L250" s="1474" t="s">
        <v>2123</v>
      </c>
      <c r="M250" s="1475">
        <v>5.2531000000000001E-2</v>
      </c>
      <c r="N250" s="1476">
        <v>1.0887530981355542</v>
      </c>
      <c r="O250" s="1476">
        <v>1.0887530981355542</v>
      </c>
    </row>
    <row r="251" spans="2:15">
      <c r="B251" s="1392">
        <v>40057</v>
      </c>
      <c r="C251" s="1393">
        <v>404.94499999999999</v>
      </c>
      <c r="D251" s="1393">
        <v>2985.83</v>
      </c>
      <c r="E251" s="1393">
        <v>1.0069374854840563</v>
      </c>
      <c r="F251" s="1393">
        <v>22.578710336302549</v>
      </c>
      <c r="K251" s="1473">
        <v>42308</v>
      </c>
      <c r="L251" s="1474"/>
      <c r="M251" s="1475">
        <v>0</v>
      </c>
      <c r="N251" s="1476">
        <v>1.0887530981355542</v>
      </c>
      <c r="O251" s="1476">
        <v>1.0887530981355542</v>
      </c>
    </row>
    <row r="252" spans="2:15">
      <c r="B252" s="1392">
        <v>40087</v>
      </c>
      <c r="C252" s="1393">
        <v>405.12900000000002</v>
      </c>
      <c r="D252" s="1393">
        <v>2994.19</v>
      </c>
      <c r="E252" s="1393">
        <v>1.006937485484056</v>
      </c>
      <c r="F252" s="1393">
        <v>22.735349811509355</v>
      </c>
      <c r="K252" s="1473">
        <v>42309</v>
      </c>
      <c r="L252" s="1474"/>
      <c r="M252" s="1475">
        <v>0</v>
      </c>
      <c r="N252" s="1476">
        <v>1.0887530981355542</v>
      </c>
      <c r="O252" s="1476">
        <v>1.0887530981355542</v>
      </c>
    </row>
    <row r="253" spans="2:15">
      <c r="B253" s="1392">
        <v>40118</v>
      </c>
      <c r="C253" s="1393">
        <v>405.548</v>
      </c>
      <c r="D253" s="1393">
        <v>3006.47</v>
      </c>
      <c r="E253" s="1393">
        <v>1.006606040313162</v>
      </c>
      <c r="F253" s="1393">
        <v>22.885540448898027</v>
      </c>
      <c r="K253" s="1473">
        <v>42310</v>
      </c>
      <c r="L253" s="1474"/>
      <c r="M253" s="1475">
        <v>0</v>
      </c>
      <c r="N253" s="1476">
        <v>1.0887530981355542</v>
      </c>
      <c r="O253" s="1476">
        <v>1.0887530981355542</v>
      </c>
    </row>
    <row r="254" spans="2:15">
      <c r="B254" s="1392">
        <v>40148</v>
      </c>
      <c r="C254" s="1393">
        <v>404.49900000000002</v>
      </c>
      <c r="D254" s="1393">
        <v>3017.59</v>
      </c>
      <c r="E254" s="1393">
        <v>1.0072686672230315</v>
      </c>
      <c r="F254" s="1393">
        <v>23.051887826640293</v>
      </c>
      <c r="K254" s="1473">
        <v>42311</v>
      </c>
      <c r="L254" s="1474" t="s">
        <v>2123</v>
      </c>
      <c r="M254" s="1475">
        <v>5.2531000000000001E-2</v>
      </c>
      <c r="N254" s="1476">
        <v>1.0893250310255358</v>
      </c>
      <c r="O254" s="1476">
        <v>1.0893250310255358</v>
      </c>
    </row>
    <row r="255" spans="2:15">
      <c r="B255" s="1392">
        <v>40179</v>
      </c>
      <c r="C255" s="1393">
        <v>407.04899999999998</v>
      </c>
      <c r="D255" s="1393">
        <v>3040.22</v>
      </c>
      <c r="E255" s="1393">
        <v>1.0066056679915218</v>
      </c>
      <c r="F255" s="1393">
        <v>23.204160944200883</v>
      </c>
      <c r="K255" s="1473">
        <v>42312</v>
      </c>
      <c r="L255" s="1474" t="s">
        <v>2123</v>
      </c>
      <c r="M255" s="1475">
        <v>5.2531000000000001E-2</v>
      </c>
      <c r="N255" s="1476">
        <v>1.0898972643575837</v>
      </c>
      <c r="O255" s="1476">
        <v>1.0898972643575837</v>
      </c>
    </row>
    <row r="256" spans="2:15">
      <c r="B256" s="1392">
        <v>40210</v>
      </c>
      <c r="C256" s="1393">
        <v>411.84300000000002</v>
      </c>
      <c r="D256" s="1393">
        <v>3063.93</v>
      </c>
      <c r="E256" s="1393">
        <v>1.0059434772325486</v>
      </c>
      <c r="F256" s="1393">
        <v>23.342074346473133</v>
      </c>
      <c r="K256" s="1473">
        <v>42313</v>
      </c>
      <c r="L256" s="1474" t="s">
        <v>2123</v>
      </c>
      <c r="M256" s="1475">
        <v>5.2531000000000001E-2</v>
      </c>
      <c r="N256" s="1476">
        <v>1.0904697982895235</v>
      </c>
      <c r="O256" s="1476">
        <v>1.0904697982895235</v>
      </c>
    </row>
    <row r="257" spans="2:15">
      <c r="B257" s="1392">
        <v>40238</v>
      </c>
      <c r="C257" s="1393">
        <v>415.73399999999998</v>
      </c>
      <c r="D257" s="1393">
        <v>3079.86</v>
      </c>
      <c r="E257" s="1393">
        <v>1.0076007032666325</v>
      </c>
      <c r="F257" s="1393">
        <v>23.519490527208351</v>
      </c>
      <c r="K257" s="1473">
        <v>42314</v>
      </c>
      <c r="L257" s="1474" t="s">
        <v>2123</v>
      </c>
      <c r="M257" s="1475">
        <v>5.2531000000000001E-2</v>
      </c>
      <c r="N257" s="1476">
        <v>1.0910426329792631</v>
      </c>
      <c r="O257" s="1476">
        <v>1.0910426329792631</v>
      </c>
    </row>
    <row r="258" spans="2:15">
      <c r="B258" s="1392">
        <v>40269</v>
      </c>
      <c r="C258" s="1393">
        <v>418.91699999999997</v>
      </c>
      <c r="D258" s="1393">
        <v>3097.42</v>
      </c>
      <c r="E258" s="1393">
        <v>1.0066591320264642</v>
      </c>
      <c r="F258" s="1393">
        <v>23.676109919824206</v>
      </c>
      <c r="K258" s="1473">
        <v>42315</v>
      </c>
      <c r="L258" s="1474"/>
      <c r="M258" s="1475">
        <v>0</v>
      </c>
      <c r="N258" s="1476">
        <v>1.0910426329792631</v>
      </c>
      <c r="O258" s="1476">
        <v>1.0910426329792631</v>
      </c>
    </row>
    <row r="259" spans="2:15">
      <c r="B259" s="1392">
        <v>40299</v>
      </c>
      <c r="C259" s="1393">
        <v>423.88499999999999</v>
      </c>
      <c r="D259" s="1393">
        <v>3110.74</v>
      </c>
      <c r="E259" s="1393">
        <v>1.0075136425194853</v>
      </c>
      <c r="F259" s="1393">
        <v>23.854003746013806</v>
      </c>
      <c r="K259" s="1473">
        <v>42316</v>
      </c>
      <c r="L259" s="1474"/>
      <c r="M259" s="1475">
        <v>0</v>
      </c>
      <c r="N259" s="1476">
        <v>1.0910426329792631</v>
      </c>
      <c r="O259" s="1476">
        <v>1.0910426329792631</v>
      </c>
    </row>
    <row r="260" spans="2:15">
      <c r="B260" s="1392">
        <v>40330</v>
      </c>
      <c r="C260" s="1393">
        <v>427.48899999999998</v>
      </c>
      <c r="D260" s="1393">
        <v>3110.74</v>
      </c>
      <c r="E260" s="1393">
        <v>1.0079257581819461</v>
      </c>
      <c r="F260" s="1393">
        <v>24.043064811375949</v>
      </c>
      <c r="K260" s="1473">
        <v>42317</v>
      </c>
      <c r="L260" s="1474" t="s">
        <v>2123</v>
      </c>
      <c r="M260" s="1475">
        <v>5.2531000000000001E-2</v>
      </c>
      <c r="N260" s="1476">
        <v>1.0916157685847934</v>
      </c>
      <c r="O260" s="1476">
        <v>1.0916157685847934</v>
      </c>
    </row>
    <row r="261" spans="2:15">
      <c r="B261" s="1392">
        <v>40360</v>
      </c>
      <c r="C261" s="1393">
        <v>428.15</v>
      </c>
      <c r="D261" s="1393">
        <v>3111.05</v>
      </c>
      <c r="E261" s="1393">
        <v>1.0086102956499179</v>
      </c>
      <c r="F261" s="1393">
        <v>24.250082707732034</v>
      </c>
      <c r="K261" s="1473">
        <v>42318</v>
      </c>
      <c r="L261" s="1474" t="s">
        <v>2123</v>
      </c>
      <c r="M261" s="1475">
        <v>5.2531000000000001E-2</v>
      </c>
      <c r="N261" s="1476">
        <v>1.0921892052641886</v>
      </c>
      <c r="O261" s="1476">
        <v>1.0921892052641886</v>
      </c>
    </row>
    <row r="262" spans="2:15">
      <c r="B262" s="1392">
        <v>40391</v>
      </c>
      <c r="C262" s="1393">
        <v>431.44499999999999</v>
      </c>
      <c r="D262" s="1393">
        <v>3112.29</v>
      </c>
      <c r="E262" s="1393">
        <v>1.0088820963555043</v>
      </c>
      <c r="F262" s="1393">
        <v>24.465474278971058</v>
      </c>
      <c r="K262" s="1473">
        <v>42319</v>
      </c>
      <c r="L262" s="1474" t="s">
        <v>2123</v>
      </c>
      <c r="M262" s="1475">
        <v>5.2531000000000001E-2</v>
      </c>
      <c r="N262" s="1476">
        <v>1.0927629431756058</v>
      </c>
      <c r="O262" s="1476">
        <v>1.0927629431756058</v>
      </c>
    </row>
    <row r="263" spans="2:15">
      <c r="B263" s="1392">
        <v>40422</v>
      </c>
      <c r="C263" s="1393">
        <v>436.423</v>
      </c>
      <c r="D263" s="1393">
        <v>3126.29</v>
      </c>
      <c r="E263" s="1393">
        <v>1.0084766584844942</v>
      </c>
      <c r="F263" s="1393">
        <v>24.672859749095071</v>
      </c>
      <c r="K263" s="1473">
        <v>42320</v>
      </c>
      <c r="L263" s="1474" t="s">
        <v>2123</v>
      </c>
      <c r="M263" s="1475">
        <v>5.2531000000000001E-2</v>
      </c>
      <c r="N263" s="1476">
        <v>1.0933369824772854</v>
      </c>
      <c r="O263" s="1476">
        <v>1.0933369824772854</v>
      </c>
    </row>
    <row r="264" spans="2:15">
      <c r="B264" s="1392">
        <v>40452</v>
      </c>
      <c r="C264" s="1393">
        <v>440.82900000000001</v>
      </c>
      <c r="D264" s="1393">
        <v>3149.74</v>
      </c>
      <c r="E264" s="1393">
        <v>1.0080713835461668</v>
      </c>
      <c r="F264" s="1393">
        <v>24.872003863310798</v>
      </c>
      <c r="K264" s="1473">
        <v>42321</v>
      </c>
      <c r="L264" s="1474" t="s">
        <v>2123</v>
      </c>
      <c r="M264" s="1475">
        <v>5.2531000000000001E-2</v>
      </c>
      <c r="N264" s="1476">
        <v>1.0939113233275506</v>
      </c>
      <c r="O264" s="1476">
        <v>1.0939113233275506</v>
      </c>
    </row>
    <row r="265" spans="2:15">
      <c r="B265" s="1392">
        <v>40483</v>
      </c>
      <c r="C265" s="1393">
        <v>447.20600000000002</v>
      </c>
      <c r="D265" s="1393">
        <v>3175.88</v>
      </c>
      <c r="E265" s="1393">
        <v>1.008071383546167</v>
      </c>
      <c r="F265" s="1393">
        <v>25.072755346053327</v>
      </c>
      <c r="K265" s="1473">
        <v>42322</v>
      </c>
      <c r="L265" s="1474"/>
      <c r="M265" s="1475">
        <v>0</v>
      </c>
      <c r="N265" s="1476">
        <v>1.0939113233275506</v>
      </c>
      <c r="O265" s="1476">
        <v>1.0939113233275506</v>
      </c>
    </row>
    <row r="266" spans="2:15">
      <c r="B266" s="1392">
        <v>40513</v>
      </c>
      <c r="C266" s="1393">
        <v>450.30099999999999</v>
      </c>
      <c r="D266" s="1393">
        <v>3195.89</v>
      </c>
      <c r="E266" s="1393">
        <v>1.0092887868177591</v>
      </c>
      <c r="F266" s="1393">
        <v>25.305650825396647</v>
      </c>
      <c r="K266" s="1473">
        <v>42323</v>
      </c>
      <c r="L266" s="1474"/>
      <c r="M266" s="1475">
        <v>0</v>
      </c>
      <c r="N266" s="1476">
        <v>1.0939113233275506</v>
      </c>
      <c r="O266" s="1476">
        <v>1.0939113233275506</v>
      </c>
    </row>
    <row r="267" spans="2:15">
      <c r="B267" s="1392">
        <v>40544</v>
      </c>
      <c r="C267" s="1393">
        <v>453.875</v>
      </c>
      <c r="D267" s="1393">
        <v>3222.42</v>
      </c>
      <c r="E267" s="1393">
        <v>1.0086232010755674</v>
      </c>
      <c r="F267" s="1393">
        <v>25.52386654081214</v>
      </c>
      <c r="K267" s="1473">
        <v>42324</v>
      </c>
      <c r="L267" s="1474" t="s">
        <v>2123</v>
      </c>
      <c r="M267" s="1475">
        <v>5.2531000000000001E-2</v>
      </c>
      <c r="N267" s="1476">
        <v>1.0944859658848078</v>
      </c>
      <c r="O267" s="1476">
        <v>1.0944859658848078</v>
      </c>
    </row>
    <row r="268" spans="2:15">
      <c r="B268" s="1392">
        <v>40575</v>
      </c>
      <c r="C268" s="1393">
        <v>458.39699999999999</v>
      </c>
      <c r="D268" s="1393">
        <v>3248.2</v>
      </c>
      <c r="E268" s="1393">
        <v>1.0084390842010735</v>
      </c>
      <c r="F268" s="1393">
        <v>25.739264599687019</v>
      </c>
      <c r="K268" s="1473">
        <v>42325</v>
      </c>
      <c r="L268" s="1474" t="s">
        <v>2123</v>
      </c>
      <c r="M268" s="1475">
        <v>5.2531000000000001E-2</v>
      </c>
      <c r="N268" s="1476">
        <v>1.0950609103075468</v>
      </c>
      <c r="O268" s="1476">
        <v>1.0950609103075468</v>
      </c>
    </row>
    <row r="269" spans="2:15">
      <c r="B269" s="1392">
        <v>40603</v>
      </c>
      <c r="C269" s="1393">
        <v>461.24900000000002</v>
      </c>
      <c r="D269" s="1393">
        <v>3273.86</v>
      </c>
      <c r="E269" s="1393">
        <v>1.0092045846073012</v>
      </c>
      <c r="F269" s="1393">
        <v>25.97618383842455</v>
      </c>
      <c r="K269" s="1473">
        <v>42326</v>
      </c>
      <c r="L269" s="1474" t="s">
        <v>2123</v>
      </c>
      <c r="M269" s="1475">
        <v>5.2531000000000001E-2</v>
      </c>
      <c r="N269" s="1476">
        <v>1.0956361567543405</v>
      </c>
      <c r="O269" s="1476">
        <v>1.0956361567543405</v>
      </c>
    </row>
    <row r="270" spans="2:15">
      <c r="B270" s="1392">
        <v>40634</v>
      </c>
      <c r="C270" s="1393">
        <v>463.31099999999998</v>
      </c>
      <c r="D270" s="1393">
        <v>3299.07</v>
      </c>
      <c r="E270" s="1393">
        <v>1.0084015541577225</v>
      </c>
      <c r="F270" s="1393">
        <v>26.194424153754028</v>
      </c>
      <c r="K270" s="1473">
        <v>42327</v>
      </c>
      <c r="L270" s="1474" t="s">
        <v>2123</v>
      </c>
      <c r="M270" s="1475">
        <v>5.2531000000000001E-2</v>
      </c>
      <c r="N270" s="1476">
        <v>1.0962117053838452</v>
      </c>
      <c r="O270" s="1476">
        <v>1.0962117053838452</v>
      </c>
    </row>
    <row r="271" spans="2:15">
      <c r="B271" s="1392">
        <v>40664</v>
      </c>
      <c r="C271" s="1393">
        <v>465.31099999999998</v>
      </c>
      <c r="D271" s="1393">
        <v>3314.58</v>
      </c>
      <c r="E271" s="1393">
        <v>1.0098798495673293</v>
      </c>
      <c r="F271" s="1393">
        <v>26.453221123895936</v>
      </c>
      <c r="K271" s="1473">
        <v>42328</v>
      </c>
      <c r="L271" s="1474" t="s">
        <v>2123</v>
      </c>
      <c r="M271" s="1475">
        <v>5.2531000000000001E-2</v>
      </c>
      <c r="N271" s="1476">
        <v>1.0967875563548004</v>
      </c>
      <c r="O271" s="1476">
        <v>1.0967875563548004</v>
      </c>
    </row>
    <row r="272" spans="2:15">
      <c r="B272" s="1392">
        <v>40695</v>
      </c>
      <c r="C272" s="1393">
        <v>464.46300000000002</v>
      </c>
      <c r="D272" s="1393">
        <v>3319.55</v>
      </c>
      <c r="E272" s="1393">
        <v>1.0095627565914342</v>
      </c>
      <c r="F272" s="1393">
        <v>26.706186838563141</v>
      </c>
      <c r="K272" s="1473">
        <v>42329</v>
      </c>
      <c r="L272" s="1474"/>
      <c r="M272" s="1475">
        <v>0</v>
      </c>
      <c r="N272" s="1476">
        <v>1.0967875563548004</v>
      </c>
      <c r="O272" s="1476">
        <v>1.0967875563548004</v>
      </c>
    </row>
    <row r="273" spans="2:15">
      <c r="B273" s="1392">
        <v>40725</v>
      </c>
      <c r="C273" s="1393">
        <v>463.92700000000002</v>
      </c>
      <c r="D273" s="1393">
        <v>3324.86</v>
      </c>
      <c r="E273" s="1393">
        <v>1.0096788504099796</v>
      </c>
      <c r="F273" s="1393">
        <v>26.96467202599456</v>
      </c>
      <c r="K273" s="1473">
        <v>42330</v>
      </c>
      <c r="L273" s="1474"/>
      <c r="M273" s="1475">
        <v>0</v>
      </c>
      <c r="N273" s="1476">
        <v>1.0967875563548004</v>
      </c>
      <c r="O273" s="1476">
        <v>1.0967875563548004</v>
      </c>
    </row>
    <row r="274" spans="2:15">
      <c r="B274" s="1392">
        <v>40756</v>
      </c>
      <c r="C274" s="1393">
        <v>465.96800000000002</v>
      </c>
      <c r="D274" s="1393">
        <v>3337.16</v>
      </c>
      <c r="E274" s="1393">
        <v>1.0107406292787873</v>
      </c>
      <c r="F274" s="1393">
        <v>27.254289571849853</v>
      </c>
      <c r="K274" s="1473">
        <v>42331</v>
      </c>
      <c r="L274" s="1474" t="s">
        <v>2123</v>
      </c>
      <c r="M274" s="1475">
        <v>5.2531000000000001E-2</v>
      </c>
      <c r="N274" s="1476">
        <v>1.0973637098260292</v>
      </c>
      <c r="O274" s="1476">
        <v>1.0973637098260292</v>
      </c>
    </row>
    <row r="275" spans="2:15">
      <c r="B275" s="1392">
        <v>40787</v>
      </c>
      <c r="C275" s="1393">
        <v>468.97500000000002</v>
      </c>
      <c r="D275" s="1393">
        <v>3354.85</v>
      </c>
      <c r="E275" s="1393">
        <v>1.00941760689889</v>
      </c>
      <c r="F275" s="1393">
        <v>27.510959757346054</v>
      </c>
      <c r="K275" s="1473">
        <v>42332</v>
      </c>
      <c r="L275" s="1474" t="s">
        <v>2123</v>
      </c>
      <c r="M275" s="1475">
        <v>5.2531000000000001E-2</v>
      </c>
      <c r="N275" s="1476">
        <v>1.0979401659564378</v>
      </c>
      <c r="O275" s="1476">
        <v>1.0979401659564378</v>
      </c>
    </row>
    <row r="276" spans="2:15">
      <c r="B276" s="1392">
        <v>40817</v>
      </c>
      <c r="C276" s="1393">
        <v>471.46600000000001</v>
      </c>
      <c r="D276" s="1393">
        <v>3369.28</v>
      </c>
      <c r="E276" s="1393">
        <v>1.0088195463919019</v>
      </c>
      <c r="F276" s="1393">
        <v>27.753593943211712</v>
      </c>
      <c r="K276" s="1473">
        <v>42333</v>
      </c>
      <c r="L276" s="1474" t="s">
        <v>2123</v>
      </c>
      <c r="M276" s="1475">
        <v>5.2531000000000001E-2</v>
      </c>
      <c r="N276" s="1476">
        <v>1.0985169249050164</v>
      </c>
      <c r="O276" s="1476">
        <v>1.0985169249050164</v>
      </c>
    </row>
    <row r="277" spans="2:15">
      <c r="B277" s="1392">
        <v>40848</v>
      </c>
      <c r="C277" s="1393">
        <v>473.80799999999999</v>
      </c>
      <c r="D277" s="1393">
        <v>3386.8</v>
      </c>
      <c r="E277" s="1393">
        <v>1.0086047745492386</v>
      </c>
      <c r="F277" s="1393">
        <v>27.992407362024164</v>
      </c>
      <c r="K277" s="1473">
        <v>42334</v>
      </c>
      <c r="L277" s="1474" t="s">
        <v>2123</v>
      </c>
      <c r="M277" s="1475">
        <v>5.2531000000000001E-2</v>
      </c>
      <c r="N277" s="1476">
        <v>1.0990939868308383</v>
      </c>
      <c r="O277" s="1476">
        <v>1.0990939868308383</v>
      </c>
    </row>
    <row r="278" spans="2:15">
      <c r="B278" s="1392">
        <v>40878</v>
      </c>
      <c r="C278" s="1393">
        <v>473.25200000000001</v>
      </c>
      <c r="D278" s="1393">
        <v>3403.73</v>
      </c>
      <c r="E278" s="1393">
        <v>1.0090732804800764</v>
      </c>
      <c r="F278" s="1393">
        <v>28.246390325332364</v>
      </c>
      <c r="K278" s="1473">
        <v>42335</v>
      </c>
      <c r="L278" s="1474" t="s">
        <v>2123</v>
      </c>
      <c r="M278" s="1475">
        <v>5.2531000000000001E-2</v>
      </c>
      <c r="N278" s="1476">
        <v>1.0996713518930603</v>
      </c>
      <c r="O278" s="1476">
        <v>1.0996713518930603</v>
      </c>
    </row>
    <row r="279" spans="2:15">
      <c r="B279" s="1392">
        <v>40909</v>
      </c>
      <c r="C279" s="1393">
        <v>474.42899999999997</v>
      </c>
      <c r="D279" s="1393">
        <v>3422.79</v>
      </c>
      <c r="E279" s="1393">
        <v>1.0089101617717657</v>
      </c>
      <c r="F279" s="1393">
        <v>28.498070232599513</v>
      </c>
      <c r="K279" s="1473">
        <v>42336</v>
      </c>
      <c r="L279" s="1474"/>
      <c r="M279" s="1475">
        <v>0</v>
      </c>
      <c r="N279" s="1476">
        <v>1.0996713518930603</v>
      </c>
      <c r="O279" s="1476">
        <v>1.0996713518930603</v>
      </c>
    </row>
    <row r="280" spans="2:15">
      <c r="B280" s="1392">
        <v>40940</v>
      </c>
      <c r="C280" s="1393">
        <v>474.13799999999998</v>
      </c>
      <c r="D280" s="1393">
        <v>3438.19</v>
      </c>
      <c r="E280" s="1393">
        <v>1.0074877292470876</v>
      </c>
      <c r="F280" s="1393">
        <v>28.711456066565706</v>
      </c>
      <c r="K280" s="1473">
        <v>42337</v>
      </c>
      <c r="L280" s="1474"/>
      <c r="M280" s="1475">
        <v>0</v>
      </c>
      <c r="N280" s="1476">
        <v>1.0996713518930603</v>
      </c>
      <c r="O280" s="1476">
        <v>1.0996713518930603</v>
      </c>
    </row>
    <row r="281" spans="2:15">
      <c r="B281" s="1392">
        <v>40969</v>
      </c>
      <c r="C281" s="1393">
        <v>476.166</v>
      </c>
      <c r="D281" s="1393">
        <v>3445.41</v>
      </c>
      <c r="E281" s="1393">
        <v>1.0082113884808406</v>
      </c>
      <c r="F281" s="1393">
        <v>28.947216986178862</v>
      </c>
      <c r="K281" s="1473">
        <v>42338</v>
      </c>
      <c r="L281" s="1474" t="s">
        <v>2123</v>
      </c>
      <c r="M281" s="1475">
        <v>5.2531000000000001E-2</v>
      </c>
      <c r="N281" s="1476">
        <v>1.1002490202509232</v>
      </c>
      <c r="O281" s="1476">
        <v>1.1002490202509232</v>
      </c>
    </row>
    <row r="282" spans="2:15">
      <c r="B282" s="1392">
        <v>41000</v>
      </c>
      <c r="C282" s="1393">
        <v>480.22899999999998</v>
      </c>
      <c r="D282" s="1393">
        <v>3467.46</v>
      </c>
      <c r="E282" s="1393">
        <v>1.0071187588624242</v>
      </c>
      <c r="F282" s="1393">
        <v>29.15328524364174</v>
      </c>
      <c r="K282" s="1473">
        <v>42339</v>
      </c>
      <c r="L282" s="1474" t="s">
        <v>2123</v>
      </c>
      <c r="M282" s="1475">
        <v>5.2531000000000001E-2</v>
      </c>
      <c r="N282" s="1476">
        <v>1.1008269920637512</v>
      </c>
      <c r="O282" s="1476">
        <v>1.1008269920637512</v>
      </c>
    </row>
    <row r="283" spans="2:15">
      <c r="B283" s="1392">
        <v>41030</v>
      </c>
      <c r="C283" s="1393">
        <v>485.14</v>
      </c>
      <c r="D283" s="1393">
        <v>3479.94</v>
      </c>
      <c r="E283" s="1393">
        <v>1.007447242329657</v>
      </c>
      <c r="F283" s="1393">
        <v>29.370396823556753</v>
      </c>
      <c r="G283" s="11"/>
      <c r="K283" s="1473">
        <v>42340</v>
      </c>
      <c r="L283" s="1474" t="s">
        <v>2123</v>
      </c>
      <c r="M283" s="1475">
        <v>5.2531000000000001E-2</v>
      </c>
      <c r="N283" s="1476">
        <v>1.1014052674909522</v>
      </c>
      <c r="O283" s="1476">
        <v>1.1014052674909522</v>
      </c>
    </row>
    <row r="284" spans="2:15">
      <c r="B284" s="1392">
        <v>41061</v>
      </c>
      <c r="C284" s="1393">
        <v>488.34199999999998</v>
      </c>
      <c r="D284" s="1393">
        <v>3482.72</v>
      </c>
      <c r="E284" s="1393">
        <v>1.0064150263426446</v>
      </c>
      <c r="F284" s="1393">
        <v>29.558808692873793</v>
      </c>
      <c r="K284" s="1473">
        <v>42341</v>
      </c>
      <c r="L284" s="1474" t="s">
        <v>2123</v>
      </c>
      <c r="M284" s="1475">
        <v>5.2531000000000001E-2</v>
      </c>
      <c r="N284" s="1476">
        <v>1.101983846692018</v>
      </c>
      <c r="O284" s="1476">
        <v>1.101983846692018</v>
      </c>
    </row>
    <row r="285" spans="2:15">
      <c r="B285" s="1392">
        <v>41091</v>
      </c>
      <c r="C285" s="1393">
        <v>494.89100000000002</v>
      </c>
      <c r="D285" s="1393">
        <v>3497.7</v>
      </c>
      <c r="E285" s="1393">
        <v>1.0067996486835762</v>
      </c>
      <c r="F285" s="1393">
        <v>29.759798207490373</v>
      </c>
      <c r="K285" s="1473">
        <v>42342</v>
      </c>
      <c r="L285" s="1474" t="s">
        <v>2123</v>
      </c>
      <c r="M285" s="1475">
        <v>5.2531000000000001E-2</v>
      </c>
      <c r="N285" s="1476">
        <v>1.1025627298265237</v>
      </c>
      <c r="O285" s="1476">
        <v>1.1025627298265237</v>
      </c>
    </row>
    <row r="286" spans="2:15">
      <c r="B286" s="1392">
        <v>41122</v>
      </c>
      <c r="C286" s="1393">
        <v>501.95699999999999</v>
      </c>
      <c r="D286" s="1393">
        <v>3512.04</v>
      </c>
      <c r="E286" s="1393">
        <v>1.0069181066014252</v>
      </c>
      <c r="F286" s="1393">
        <v>29.965679663926696</v>
      </c>
      <c r="K286" s="1473">
        <v>42343</v>
      </c>
      <c r="L286" s="1474"/>
      <c r="M286" s="1475">
        <v>0</v>
      </c>
      <c r="N286" s="1476">
        <v>1.1025627298265237</v>
      </c>
      <c r="O286" s="1476">
        <v>1.1025627298265237</v>
      </c>
    </row>
    <row r="287" spans="2:15">
      <c r="B287" s="1392">
        <v>41153</v>
      </c>
      <c r="C287" s="1393">
        <v>506.80399999999997</v>
      </c>
      <c r="D287" s="1393">
        <v>3532.06</v>
      </c>
      <c r="E287" s="1393">
        <v>1.0053899533259578</v>
      </c>
      <c r="F287" s="1393">
        <v>30.127193278695866</v>
      </c>
      <c r="K287" s="1473">
        <v>42344</v>
      </c>
      <c r="L287" s="1474"/>
      <c r="M287" s="1475">
        <v>0</v>
      </c>
      <c r="N287" s="1476">
        <v>1.1025627298265237</v>
      </c>
      <c r="O287" s="1476">
        <v>1.1025627298265237</v>
      </c>
    </row>
    <row r="288" spans="2:15">
      <c r="B288" s="1392">
        <v>41183</v>
      </c>
      <c r="C288" s="1393">
        <v>506.92599999999999</v>
      </c>
      <c r="D288" s="1393">
        <v>3552.9</v>
      </c>
      <c r="E288" s="1393">
        <v>1.0061133864051108</v>
      </c>
      <c r="F288" s="1393">
        <v>30.311372452509993</v>
      </c>
      <c r="K288" s="1473">
        <v>42345</v>
      </c>
      <c r="L288" s="1474" t="s">
        <v>2123</v>
      </c>
      <c r="M288" s="1475">
        <v>5.2531000000000001E-2</v>
      </c>
      <c r="N288" s="1476">
        <v>1.1031419170541288</v>
      </c>
      <c r="O288" s="1476">
        <v>1.1031419170541288</v>
      </c>
    </row>
    <row r="289" spans="2:15">
      <c r="B289" s="1392">
        <v>41214</v>
      </c>
      <c r="C289" s="1393">
        <v>506.79500000000002</v>
      </c>
      <c r="D289" s="1393">
        <v>3574.22</v>
      </c>
      <c r="E289" s="1393">
        <v>1.0054884576647556</v>
      </c>
      <c r="F289" s="1393">
        <v>30.477735136976232</v>
      </c>
      <c r="K289" s="1473">
        <v>42346</v>
      </c>
      <c r="L289" s="1474" t="s">
        <v>2123</v>
      </c>
      <c r="M289" s="1475">
        <v>5.2531000000000001E-2</v>
      </c>
      <c r="N289" s="1476">
        <v>1.1037214085345766</v>
      </c>
      <c r="O289" s="1476">
        <v>1.1037214085345766</v>
      </c>
    </row>
    <row r="290" spans="2:15">
      <c r="B290" s="1392">
        <v>41244</v>
      </c>
      <c r="C290" s="1393">
        <v>510.25200000000001</v>
      </c>
      <c r="D290" s="1393">
        <v>3602.46</v>
      </c>
      <c r="E290" s="1393">
        <v>1.0055015154231364</v>
      </c>
      <c r="F290" s="1393">
        <v>30.645408866894574</v>
      </c>
      <c r="K290" s="1473">
        <v>42347</v>
      </c>
      <c r="L290" s="1474" t="s">
        <v>2123</v>
      </c>
      <c r="M290" s="1475">
        <v>5.2531000000000001E-2</v>
      </c>
      <c r="N290" s="1476">
        <v>1.1043012044276939</v>
      </c>
      <c r="O290" s="1476">
        <v>1.1043012044276939</v>
      </c>
    </row>
    <row r="291" spans="2:15">
      <c r="B291" s="1392">
        <v>41275</v>
      </c>
      <c r="C291" s="1393">
        <v>511.97699999999998</v>
      </c>
      <c r="D291" s="1393">
        <v>3633.44</v>
      </c>
      <c r="E291" s="1393">
        <v>1.0060143970219473</v>
      </c>
      <c r="F291" s="1393">
        <v>30.82972252271998</v>
      </c>
      <c r="K291" s="1473">
        <v>42348</v>
      </c>
      <c r="L291" s="1474" t="s">
        <v>2123</v>
      </c>
      <c r="M291" s="1475">
        <v>5.2531000000000001E-2</v>
      </c>
      <c r="N291" s="1476">
        <v>1.1048813048933919</v>
      </c>
      <c r="O291" s="1476">
        <v>1.1048813048933919</v>
      </c>
    </row>
    <row r="292" spans="2:15">
      <c r="B292" s="1392">
        <v>41306</v>
      </c>
      <c r="C292" s="1393">
        <v>513.46699999999998</v>
      </c>
      <c r="D292" s="1393">
        <v>3655.24</v>
      </c>
      <c r="E292" s="1393">
        <v>1.0049274991744226</v>
      </c>
      <c r="F292" s="1393">
        <v>30.98163595499836</v>
      </c>
      <c r="K292" s="1473">
        <v>42349</v>
      </c>
      <c r="L292" s="1474" t="s">
        <v>2123</v>
      </c>
      <c r="M292" s="1475">
        <v>5.2531000000000001E-2</v>
      </c>
      <c r="N292" s="1476">
        <v>1.1054617100916655</v>
      </c>
      <c r="O292" s="1476">
        <v>1.1054617100916655</v>
      </c>
    </row>
    <row r="293" spans="2:15">
      <c r="B293" s="1392">
        <v>41334</v>
      </c>
      <c r="C293" s="1393">
        <v>514.52599999999995</v>
      </c>
      <c r="D293" s="1393">
        <v>3672.42</v>
      </c>
      <c r="E293" s="1393">
        <v>1.0054940366101026</v>
      </c>
      <c r="F293" s="1393">
        <v>31.151850197175992</v>
      </c>
      <c r="K293" s="1473">
        <v>42350</v>
      </c>
      <c r="L293" s="1474"/>
      <c r="M293" s="1475">
        <v>0</v>
      </c>
      <c r="N293" s="1476">
        <v>1.1054617100916655</v>
      </c>
      <c r="O293" s="1476">
        <v>1.1054617100916655</v>
      </c>
    </row>
    <row r="294" spans="2:15">
      <c r="B294" s="1392">
        <v>41365</v>
      </c>
      <c r="C294" s="1393">
        <v>515.27599999999995</v>
      </c>
      <c r="D294" s="1393">
        <v>3692.62</v>
      </c>
      <c r="E294" s="1393">
        <v>1.0061364605097283</v>
      </c>
      <c r="F294" s="1393">
        <v>31.343012295715933</v>
      </c>
      <c r="K294" s="1473">
        <v>42351</v>
      </c>
      <c r="L294" s="1474"/>
      <c r="M294" s="1475">
        <v>0</v>
      </c>
      <c r="N294" s="1476">
        <v>1.1054617100916655</v>
      </c>
      <c r="O294" s="1476">
        <v>1.1054617100916655</v>
      </c>
    </row>
    <row r="295" spans="2:15">
      <c r="B295" s="1392">
        <v>41395</v>
      </c>
      <c r="C295" s="1393">
        <v>515.29899999999998</v>
      </c>
      <c r="D295" s="1393">
        <v>3706.28</v>
      </c>
      <c r="E295" s="1393">
        <v>1.0059853629993882</v>
      </c>
      <c r="F295" s="1393">
        <v>31.530611601800082</v>
      </c>
      <c r="K295" s="1473">
        <v>42352</v>
      </c>
      <c r="L295" s="1474" t="s">
        <v>2123</v>
      </c>
      <c r="M295" s="1475">
        <v>5.2531000000000001E-2</v>
      </c>
      <c r="N295" s="1476">
        <v>1.1060424201825938</v>
      </c>
      <c r="O295" s="1476">
        <v>1.1060424201825938</v>
      </c>
    </row>
    <row r="296" spans="2:15">
      <c r="B296" s="1392">
        <v>41426</v>
      </c>
      <c r="C296" s="1393">
        <v>519.15300000000002</v>
      </c>
      <c r="D296" s="1393">
        <v>3715.92</v>
      </c>
      <c r="E296" s="1393">
        <v>1.0060527337434972</v>
      </c>
      <c r="F296" s="1393">
        <v>31.721457998595405</v>
      </c>
      <c r="G296" s="66"/>
      <c r="K296" s="1473">
        <v>42353</v>
      </c>
      <c r="L296" s="1474" t="s">
        <v>2123</v>
      </c>
      <c r="M296" s="1475">
        <v>5.2531000000000001E-2</v>
      </c>
      <c r="N296" s="1476">
        <v>1.10662343532634</v>
      </c>
      <c r="O296" s="1476">
        <v>1.10662343532634</v>
      </c>
    </row>
    <row r="297" spans="2:15">
      <c r="B297" s="1392">
        <v>41456</v>
      </c>
      <c r="C297" s="1393">
        <v>520.50800000000004</v>
      </c>
      <c r="D297" s="1393">
        <v>3717.03</v>
      </c>
      <c r="E297" s="1393">
        <v>1.0072409169740031</v>
      </c>
      <c r="F297" s="1393">
        <v>31.951150442257561</v>
      </c>
      <c r="K297" s="1473">
        <v>42354</v>
      </c>
      <c r="L297" s="1474" t="s">
        <v>2123</v>
      </c>
      <c r="M297" s="1475">
        <v>5.2531000000000001E-2</v>
      </c>
      <c r="N297" s="1476">
        <v>1.1072047556831512</v>
      </c>
      <c r="O297" s="1476">
        <v>1.1072047556831512</v>
      </c>
    </row>
    <row r="298" spans="2:15">
      <c r="B298" s="1392">
        <v>41487</v>
      </c>
      <c r="C298" s="1393">
        <v>521.27</v>
      </c>
      <c r="D298" s="1393">
        <v>3725.95</v>
      </c>
      <c r="E298" s="1393">
        <v>1.0071031495053051</v>
      </c>
      <c r="F298" s="1393">
        <v>32.178104240715413</v>
      </c>
      <c r="K298" s="1473">
        <v>42355</v>
      </c>
      <c r="L298" s="1474" t="s">
        <v>2123</v>
      </c>
      <c r="M298" s="1475">
        <v>5.2531000000000001E-2</v>
      </c>
      <c r="N298" s="1476">
        <v>1.1077863814133591</v>
      </c>
      <c r="O298" s="1476">
        <v>1.1077863814133591</v>
      </c>
    </row>
    <row r="299" spans="2:15">
      <c r="B299" s="1392">
        <v>41518</v>
      </c>
      <c r="C299" s="1393">
        <v>529.08500000000004</v>
      </c>
      <c r="D299" s="1393">
        <v>3738.99</v>
      </c>
      <c r="E299" s="1393">
        <v>1.0071302882501354</v>
      </c>
      <c r="F299" s="1393">
        <v>32.407543399294617</v>
      </c>
      <c r="K299" s="1473">
        <v>42356</v>
      </c>
      <c r="L299" s="1474" t="s">
        <v>2123</v>
      </c>
      <c r="M299" s="1475">
        <v>5.2531000000000001E-2</v>
      </c>
      <c r="N299" s="1476">
        <v>1.1083683126773793</v>
      </c>
      <c r="O299" s="1476">
        <v>1.1083683126773793</v>
      </c>
    </row>
    <row r="300" spans="2:15">
      <c r="B300" s="1392">
        <v>41548</v>
      </c>
      <c r="C300" s="1393">
        <v>533.62099999999998</v>
      </c>
      <c r="D300" s="1393">
        <v>3760.3</v>
      </c>
      <c r="E300" s="1393">
        <v>1.0081051023495244</v>
      </c>
      <c r="F300" s="1393">
        <v>32.670209855442558</v>
      </c>
      <c r="G300" s="67"/>
      <c r="K300" s="1473">
        <v>42357</v>
      </c>
      <c r="L300" s="1474"/>
      <c r="M300" s="1475">
        <v>0</v>
      </c>
      <c r="N300" s="1476">
        <v>1.1083683126773793</v>
      </c>
      <c r="O300" s="1476">
        <v>1.1083683126773793</v>
      </c>
    </row>
    <row r="301" spans="2:15">
      <c r="B301" s="1392">
        <v>41579</v>
      </c>
      <c r="C301" s="1393">
        <v>535.16800000000001</v>
      </c>
      <c r="D301" s="1393">
        <v>3780.61</v>
      </c>
      <c r="E301" s="1393">
        <v>1.0071920752752215</v>
      </c>
      <c r="F301" s="1393">
        <v>32.905176463980183</v>
      </c>
      <c r="G301" s="67"/>
      <c r="K301" s="1473">
        <v>42358</v>
      </c>
      <c r="L301" s="1474"/>
      <c r="M301" s="1475">
        <v>0</v>
      </c>
      <c r="N301" s="1476">
        <v>1.1083683126773793</v>
      </c>
      <c r="O301" s="1476">
        <v>1.1083683126773793</v>
      </c>
    </row>
    <row r="302" spans="2:15">
      <c r="B302" s="1392">
        <v>41609</v>
      </c>
      <c r="C302" s="1393">
        <v>538.37</v>
      </c>
      <c r="D302" s="1393">
        <v>3815.39</v>
      </c>
      <c r="E302" s="1393">
        <v>1.0078974581644051</v>
      </c>
      <c r="F302" s="1393">
        <v>33.165043718496833</v>
      </c>
      <c r="G302" s="66"/>
      <c r="K302" s="1473">
        <v>42359</v>
      </c>
      <c r="L302" s="1474" t="s">
        <v>2123</v>
      </c>
      <c r="M302" s="1475">
        <v>5.2531000000000001E-2</v>
      </c>
      <c r="N302" s="1476">
        <v>1.1089505496357119</v>
      </c>
      <c r="O302" s="1476">
        <v>1.1089505496357119</v>
      </c>
    </row>
    <row r="303" spans="2:15">
      <c r="B303" s="1392">
        <v>41640</v>
      </c>
      <c r="C303" s="1393">
        <v>540.95899999999995</v>
      </c>
      <c r="D303" s="1393">
        <v>3836.38</v>
      </c>
      <c r="E303" s="1393">
        <v>1.0084934395272054</v>
      </c>
      <c r="F303" s="1393">
        <v>33.446729011737006</v>
      </c>
      <c r="K303" s="1473">
        <v>42360</v>
      </c>
      <c r="L303" s="1474" t="s">
        <v>2123</v>
      </c>
      <c r="M303" s="1475">
        <v>5.2531000000000001E-2</v>
      </c>
      <c r="N303" s="1476">
        <v>1.109533092448941</v>
      </c>
      <c r="O303" s="1476">
        <v>1.109533092448941</v>
      </c>
    </row>
    <row r="304" spans="2:15">
      <c r="B304" s="1392">
        <v>41671</v>
      </c>
      <c r="C304" s="1393">
        <v>543.03800000000001</v>
      </c>
      <c r="D304" s="1393">
        <v>3862.84</v>
      </c>
      <c r="E304" s="1393">
        <v>1.007901464239193</v>
      </c>
      <c r="F304" s="1393">
        <v>33.711007144941227</v>
      </c>
      <c r="K304" s="1473">
        <v>42361</v>
      </c>
      <c r="L304" s="1474" t="s">
        <v>2123</v>
      </c>
      <c r="M304" s="1475">
        <v>5.2531000000000001E-2</v>
      </c>
      <c r="N304" s="1476">
        <v>1.1101159412777355</v>
      </c>
      <c r="O304" s="1476">
        <v>1.1101159412777355</v>
      </c>
    </row>
    <row r="305" spans="2:15">
      <c r="B305" s="1392">
        <v>41699</v>
      </c>
      <c r="C305" s="1393">
        <v>552.08699999999999</v>
      </c>
      <c r="D305" s="1393">
        <v>3898.38</v>
      </c>
      <c r="E305" s="1393">
        <v>1.0076595732083427</v>
      </c>
      <c r="F305" s="1393">
        <v>33.969219072094866</v>
      </c>
      <c r="K305" s="1473">
        <v>42362</v>
      </c>
      <c r="L305" s="1474" t="s">
        <v>2123</v>
      </c>
      <c r="M305" s="1475">
        <v>5.2531000000000001E-2</v>
      </c>
      <c r="N305" s="1476">
        <v>1.110699096282848</v>
      </c>
      <c r="O305" s="1476">
        <v>1.110699096282848</v>
      </c>
    </row>
    <row r="306" spans="2:15">
      <c r="B306" s="1392">
        <v>41730</v>
      </c>
      <c r="C306" s="1393">
        <v>556.41999999999996</v>
      </c>
      <c r="D306" s="1393">
        <v>3924.5</v>
      </c>
      <c r="E306" s="1393">
        <v>1.0082266762081393</v>
      </c>
      <c r="F306" s="1393">
        <v>34.248672838444342</v>
      </c>
      <c r="K306" s="1473">
        <v>42363</v>
      </c>
      <c r="L306" s="1474"/>
      <c r="M306" s="1475">
        <v>0</v>
      </c>
      <c r="N306" s="1476">
        <v>1.110699096282848</v>
      </c>
      <c r="O306" s="1476">
        <v>1.110699096282848</v>
      </c>
    </row>
    <row r="307" spans="2:15">
      <c r="B307" s="1392">
        <v>41760</v>
      </c>
      <c r="C307" s="1393">
        <v>555.67899999999997</v>
      </c>
      <c r="D307" s="1393">
        <v>3942.55</v>
      </c>
      <c r="E307" s="1393">
        <v>1.0086587318278823</v>
      </c>
      <c r="F307" s="1393">
        <v>34.545222912013308</v>
      </c>
      <c r="K307" s="1473">
        <v>42364</v>
      </c>
      <c r="L307" s="1474"/>
      <c r="M307" s="1475">
        <v>0</v>
      </c>
      <c r="N307" s="1476">
        <v>1.110699096282848</v>
      </c>
      <c r="O307" s="1476">
        <v>1.110699096282848</v>
      </c>
    </row>
    <row r="308" spans="2:15">
      <c r="B308" s="1392">
        <v>41791</v>
      </c>
      <c r="C308" s="1393">
        <v>551.55399999999997</v>
      </c>
      <c r="D308" s="1393">
        <v>3958.32</v>
      </c>
      <c r="E308" s="1393">
        <v>1.0082447163000285</v>
      </c>
      <c r="F308" s="1393">
        <v>34.830038474444102</v>
      </c>
      <c r="K308" s="1473">
        <v>42365</v>
      </c>
      <c r="L308" s="1474"/>
      <c r="M308" s="1475">
        <v>0</v>
      </c>
      <c r="N308" s="1476">
        <v>1.110699096282848</v>
      </c>
      <c r="O308" s="1476">
        <v>1.110699096282848</v>
      </c>
    </row>
    <row r="309" spans="2:15">
      <c r="B309" s="1392">
        <v>41821</v>
      </c>
      <c r="C309" s="1393">
        <v>548.202</v>
      </c>
      <c r="D309" s="1393">
        <v>3958.72</v>
      </c>
      <c r="E309" s="1393">
        <v>1.0094872729749897</v>
      </c>
      <c r="F309" s="1393">
        <v>35.160480557180549</v>
      </c>
      <c r="K309" s="1473">
        <v>42366</v>
      </c>
      <c r="L309" s="1474" t="s">
        <v>2123</v>
      </c>
      <c r="M309" s="1475">
        <v>5.2531000000000001E-2</v>
      </c>
      <c r="N309" s="1476">
        <v>1.1112825576251164</v>
      </c>
      <c r="O309" s="1476">
        <v>1.1112825576251164</v>
      </c>
    </row>
    <row r="310" spans="2:15">
      <c r="B310" s="1392">
        <v>41852</v>
      </c>
      <c r="C310" s="1393">
        <v>546.745</v>
      </c>
      <c r="D310" s="1393">
        <v>3968.62</v>
      </c>
      <c r="E310" s="1393">
        <v>1.0086598207325679</v>
      </c>
      <c r="F310" s="1393">
        <v>35.464964015676671</v>
      </c>
      <c r="K310" s="1473">
        <v>42367</v>
      </c>
      <c r="L310" s="1474" t="s">
        <v>2123</v>
      </c>
      <c r="M310" s="1475">
        <v>5.2531000000000001E-2</v>
      </c>
      <c r="N310" s="1476">
        <v>1.1118663254654624</v>
      </c>
      <c r="O310" s="1476">
        <v>1.1118663254654624</v>
      </c>
    </row>
    <row r="311" spans="2:15">
      <c r="B311" s="1392">
        <v>41883</v>
      </c>
      <c r="C311" s="1393">
        <v>547.83900000000006</v>
      </c>
      <c r="D311" s="1393">
        <v>3991.24</v>
      </c>
      <c r="E311" s="1393">
        <v>1.0090729173629331</v>
      </c>
      <c r="F311" s="1393">
        <v>35.786734703470302</v>
      </c>
      <c r="K311" s="1473">
        <v>42368</v>
      </c>
      <c r="L311" s="1474" t="s">
        <v>2123</v>
      </c>
      <c r="M311" s="1475">
        <v>5.2531000000000001E-2</v>
      </c>
      <c r="N311" s="1476">
        <v>1.1124503999648927</v>
      </c>
      <c r="O311" s="1476">
        <v>1.1124503999648927</v>
      </c>
    </row>
    <row r="312" spans="2:15">
      <c r="B312" s="1392">
        <v>41913</v>
      </c>
      <c r="C312" s="1393">
        <v>549.39599999999996</v>
      </c>
      <c r="D312" s="1393">
        <v>4008</v>
      </c>
      <c r="E312" s="1393">
        <v>1.009505315279368</v>
      </c>
      <c r="F312" s="1393">
        <v>36.126898899645887</v>
      </c>
      <c r="K312" s="1473">
        <v>42369</v>
      </c>
      <c r="L312" s="1474" t="s">
        <v>2123</v>
      </c>
      <c r="M312" s="1475">
        <v>5.2531000000000001E-2</v>
      </c>
      <c r="N312" s="1476">
        <v>1.1130347812844983</v>
      </c>
      <c r="O312" s="1476">
        <v>1.1130347812844983</v>
      </c>
    </row>
    <row r="313" spans="2:15">
      <c r="B313" s="1392">
        <v>41944</v>
      </c>
      <c r="C313" s="1393">
        <v>554.76900000000001</v>
      </c>
      <c r="D313" s="1393">
        <v>4028.44</v>
      </c>
      <c r="E313" s="1393">
        <v>1.0084249317586502</v>
      </c>
      <c r="F313" s="1393">
        <v>36.431265557527063</v>
      </c>
      <c r="K313" s="1473">
        <v>42370</v>
      </c>
      <c r="L313" s="1474"/>
      <c r="M313" s="1475">
        <v>0</v>
      </c>
      <c r="N313" s="1476">
        <v>1.1130347812844983</v>
      </c>
      <c r="O313" s="1476">
        <v>1.1130347812844983</v>
      </c>
    </row>
    <row r="314" spans="2:15">
      <c r="B314" s="1392">
        <v>41974</v>
      </c>
      <c r="C314" s="1393">
        <v>558.21299999999997</v>
      </c>
      <c r="D314" s="1393">
        <v>4059.86</v>
      </c>
      <c r="E314" s="1393">
        <v>1.0096129495106978</v>
      </c>
      <c r="F314" s="1393">
        <v>36.781477473942395</v>
      </c>
      <c r="K314" s="1473">
        <v>42371</v>
      </c>
      <c r="L314" s="1474"/>
      <c r="M314" s="1475">
        <v>0</v>
      </c>
      <c r="N314" s="1476">
        <v>1.1130347812844983</v>
      </c>
      <c r="O314" s="1476">
        <v>1.1130347812844983</v>
      </c>
    </row>
    <row r="315" spans="2:15">
      <c r="B315" s="1392">
        <v>42005</v>
      </c>
      <c r="C315" s="1393">
        <v>562.48199999999997</v>
      </c>
      <c r="D315" s="1393">
        <v>4110.2</v>
      </c>
      <c r="E315" s="1393">
        <v>1.0093507541041149</v>
      </c>
      <c r="F315" s="1393">
        <v>37.12541202538727</v>
      </c>
      <c r="K315" s="1473">
        <v>42372</v>
      </c>
      <c r="L315" s="1474"/>
      <c r="M315" s="1475">
        <v>0</v>
      </c>
      <c r="N315" s="1476">
        <v>1.1130347812844983</v>
      </c>
      <c r="O315" s="1476">
        <v>1.1130347812844983</v>
      </c>
    </row>
    <row r="316" spans="2:15">
      <c r="B316" s="1392">
        <v>42036</v>
      </c>
      <c r="C316" s="1393">
        <v>564.00400000000002</v>
      </c>
      <c r="D316" s="1393">
        <v>4160.34</v>
      </c>
      <c r="E316" s="1393">
        <v>1.0082241099890967</v>
      </c>
      <c r="F316" s="1393">
        <v>37.43073549727459</v>
      </c>
      <c r="K316" s="1473">
        <v>42373</v>
      </c>
      <c r="L316" s="1474" t="s">
        <v>2123</v>
      </c>
      <c r="M316" s="1475">
        <v>5.2531000000000001E-2</v>
      </c>
      <c r="N316" s="1476">
        <v>1.1136194695854549</v>
      </c>
      <c r="O316" s="1476">
        <v>1.1136194695854549</v>
      </c>
    </row>
    <row r="317" spans="2:15">
      <c r="B317" s="1392">
        <v>42064</v>
      </c>
      <c r="C317" s="1393">
        <v>569.53599999999994</v>
      </c>
      <c r="D317" s="1393">
        <v>4215.26</v>
      </c>
      <c r="E317" s="1393">
        <v>1.0103996710699541</v>
      </c>
      <c r="F317" s="1393">
        <v>37.820002834352699</v>
      </c>
      <c r="K317" s="1473">
        <v>42374</v>
      </c>
      <c r="L317" s="1474" t="s">
        <v>2123</v>
      </c>
      <c r="M317" s="1475">
        <v>5.2531000000000001E-2</v>
      </c>
      <c r="N317" s="1476">
        <v>1.1142044650290228</v>
      </c>
      <c r="O317" s="1476">
        <v>1.1142044650290228</v>
      </c>
    </row>
    <row r="318" spans="2:15">
      <c r="B318" s="1392">
        <v>42095</v>
      </c>
      <c r="C318" s="1393">
        <v>576.17499999999995</v>
      </c>
      <c r="D318" s="1393">
        <v>4245.1899999999996</v>
      </c>
      <c r="E318" s="1393">
        <v>1.0095179160892187</v>
      </c>
      <c r="F318" s="1393">
        <v>38.179970447824083</v>
      </c>
      <c r="K318" s="1473">
        <v>42375</v>
      </c>
      <c r="L318" s="1474" t="s">
        <v>2123</v>
      </c>
      <c r="M318" s="1475">
        <v>5.2531000000000001E-2</v>
      </c>
      <c r="N318" s="1476">
        <v>1.1147897677765473</v>
      </c>
      <c r="O318" s="1476">
        <v>1.1147897677765473</v>
      </c>
    </row>
    <row r="319" spans="2:15">
      <c r="B319" s="1392">
        <v>42125</v>
      </c>
      <c r="C319" s="1393">
        <v>578.51599999999996</v>
      </c>
      <c r="D319" s="1393">
        <v>4276.6000000000004</v>
      </c>
      <c r="E319" s="1393">
        <v>1.0098532226245138</v>
      </c>
      <c r="F319" s="1393">
        <v>38.556166196443854</v>
      </c>
      <c r="K319" s="1473">
        <v>42376</v>
      </c>
      <c r="L319" s="1474" t="s">
        <v>2123</v>
      </c>
      <c r="M319" s="1475">
        <v>5.2531000000000001E-2</v>
      </c>
      <c r="N319" s="1476">
        <v>1.115375377989458</v>
      </c>
      <c r="O319" s="1476">
        <v>1.115375377989458</v>
      </c>
    </row>
    <row r="320" spans="2:15">
      <c r="B320" s="1392">
        <v>42156</v>
      </c>
      <c r="C320" s="1393">
        <v>582.40099999999995</v>
      </c>
      <c r="D320" s="1393">
        <v>4310.3900000000003</v>
      </c>
      <c r="E320" s="1393">
        <v>1.0106667572412273</v>
      </c>
      <c r="F320" s="1393">
        <v>38.967435461413736</v>
      </c>
      <c r="K320" s="1473">
        <v>42377</v>
      </c>
      <c r="L320" s="1474" t="s">
        <v>2123</v>
      </c>
      <c r="M320" s="1475">
        <v>5.2531000000000001E-2</v>
      </c>
      <c r="N320" s="1476">
        <v>1.1159612958292695</v>
      </c>
      <c r="O320" s="1476">
        <v>1.1159612958292695</v>
      </c>
    </row>
    <row r="321" spans="2:15">
      <c r="B321" s="1392">
        <v>42186</v>
      </c>
      <c r="C321" s="1393">
        <v>586.42600000000004</v>
      </c>
      <c r="D321" s="1393">
        <v>4337.1099999999997</v>
      </c>
      <c r="E321" s="1393">
        <v>1.0117819838421735</v>
      </c>
      <c r="F321" s="1393">
        <v>39.426549156391054</v>
      </c>
      <c r="K321" s="1473">
        <v>42378</v>
      </c>
      <c r="L321" s="1474"/>
      <c r="M321" s="1475">
        <v>0</v>
      </c>
      <c r="N321" s="1476">
        <v>1.1159612958292695</v>
      </c>
      <c r="O321" s="1476">
        <v>1.1159612958292695</v>
      </c>
    </row>
    <row r="322" spans="2:15">
      <c r="B322" s="1392">
        <v>42217</v>
      </c>
      <c r="C322" s="1393">
        <v>588.04200000000003</v>
      </c>
      <c r="D322" s="1393">
        <v>4346.6499999999996</v>
      </c>
      <c r="E322" s="1393">
        <v>1.0110896528780247</v>
      </c>
      <c r="F322" s="1393">
        <v>39.863775900713804</v>
      </c>
      <c r="K322" s="1473">
        <v>42379</v>
      </c>
      <c r="L322" s="1474"/>
      <c r="M322" s="1475">
        <v>0</v>
      </c>
      <c r="N322" s="1476">
        <v>1.1159612958292695</v>
      </c>
      <c r="O322" s="1476">
        <v>1.1159612958292695</v>
      </c>
    </row>
    <row r="323" spans="2:15">
      <c r="B323" s="1392">
        <v>42248</v>
      </c>
      <c r="C323" s="1393">
        <v>593.60599999999999</v>
      </c>
      <c r="D323" s="1393">
        <v>4370.12</v>
      </c>
      <c r="E323" s="1393">
        <v>1.0110896528780244</v>
      </c>
      <c r="F323" s="1393">
        <v>40.305851337860076</v>
      </c>
      <c r="K323" s="1473">
        <v>42380</v>
      </c>
      <c r="L323" s="1474" t="s">
        <v>2123</v>
      </c>
      <c r="M323" s="1475">
        <v>5.2531000000000001E-2</v>
      </c>
      <c r="N323" s="1476">
        <v>1.1165475214575815</v>
      </c>
      <c r="O323" s="1476">
        <v>1.1165475214575815</v>
      </c>
    </row>
    <row r="324" spans="2:15">
      <c r="B324" s="1392">
        <v>42278</v>
      </c>
      <c r="C324" s="1393">
        <v>604.83199999999999</v>
      </c>
      <c r="D324" s="1393">
        <v>4405.95</v>
      </c>
      <c r="E324" s="1393">
        <v>1.0110896528780242</v>
      </c>
      <c r="F324" s="1393">
        <v>40.752829238150191</v>
      </c>
      <c r="K324" s="1473">
        <v>42381</v>
      </c>
      <c r="L324" s="1474" t="s">
        <v>2123</v>
      </c>
      <c r="M324" s="1475">
        <v>5.2531000000000001E-2</v>
      </c>
      <c r="N324" s="1476">
        <v>1.1171340550360784</v>
      </c>
      <c r="O324" s="1476">
        <v>1.1171340550360784</v>
      </c>
    </row>
    <row r="325" spans="2:15">
      <c r="B325" s="1392">
        <v>42309</v>
      </c>
      <c r="C325" s="1393">
        <v>614.05100000000004</v>
      </c>
      <c r="D325" s="1393">
        <v>4450.45</v>
      </c>
      <c r="E325" s="1393">
        <v>1.0105587962367735</v>
      </c>
      <c r="F325" s="1393">
        <v>41.183130058147846</v>
      </c>
      <c r="K325" s="1473">
        <v>42382</v>
      </c>
      <c r="L325" s="1474" t="s">
        <v>2123</v>
      </c>
      <c r="M325" s="1475">
        <v>5.2531000000000001E-2</v>
      </c>
      <c r="N325" s="1476">
        <v>1.1177208967265295</v>
      </c>
      <c r="O325" s="1476">
        <v>1.1177208967265295</v>
      </c>
    </row>
    <row r="326" spans="2:15">
      <c r="B326" s="1392">
        <v>42339</v>
      </c>
      <c r="C326" s="1393">
        <v>617.04399999999998</v>
      </c>
      <c r="D326" s="1393">
        <v>4493.17</v>
      </c>
      <c r="E326" s="1393">
        <v>1.0116207883835777</v>
      </c>
      <c r="F326" s="1393">
        <v>41.66171049752694</v>
      </c>
      <c r="K326" s="1473">
        <v>42383</v>
      </c>
      <c r="L326" s="1474" t="s">
        <v>2123</v>
      </c>
      <c r="M326" s="1475">
        <v>5.2531000000000001E-2</v>
      </c>
      <c r="N326" s="1476">
        <v>1.1183080466907889</v>
      </c>
      <c r="O326" s="1476">
        <v>1.1183080466907889</v>
      </c>
    </row>
    <row r="327" spans="2:15">
      <c r="B327" s="1392">
        <v>42370</v>
      </c>
      <c r="C327" s="1393">
        <v>624.05999999999995</v>
      </c>
      <c r="D327" s="1393">
        <v>4550.2299999999996</v>
      </c>
      <c r="E327" s="1393">
        <v>1.0105587962367735</v>
      </c>
      <c r="F327" s="1393">
        <v>42.101608009545771</v>
      </c>
      <c r="K327" s="1473">
        <v>42384</v>
      </c>
      <c r="L327" s="1474" t="s">
        <v>2123</v>
      </c>
      <c r="M327" s="1475">
        <v>5.2531000000000001E-2</v>
      </c>
      <c r="N327" s="1476">
        <v>1.118895505090796</v>
      </c>
      <c r="O327" s="1476">
        <v>1.118895505090796</v>
      </c>
    </row>
    <row r="328" spans="2:15">
      <c r="B328" s="1392">
        <v>42401</v>
      </c>
      <c r="C328" s="1393">
        <v>632.11400000000003</v>
      </c>
      <c r="D328" s="1393">
        <v>4591.18</v>
      </c>
      <c r="E328" s="1393">
        <v>1.0100282183134115</v>
      </c>
      <c r="F328" s="1393">
        <v>42.523812126011173</v>
      </c>
      <c r="K328" s="1473">
        <v>42385</v>
      </c>
      <c r="L328" s="1474"/>
      <c r="M328" s="1475">
        <v>0</v>
      </c>
      <c r="N328" s="1476">
        <v>1.118895505090796</v>
      </c>
      <c r="O328" s="1476">
        <v>1.118895505090796</v>
      </c>
    </row>
    <row r="329" spans="2:15">
      <c r="B329" s="1392">
        <v>42430</v>
      </c>
      <c r="C329" s="1393">
        <v>635.34900000000005</v>
      </c>
      <c r="D329" s="1393">
        <v>4610.92</v>
      </c>
      <c r="E329" s="1393">
        <v>1.0116207883835779</v>
      </c>
      <c r="F329" s="1393">
        <v>43.017972347990572</v>
      </c>
      <c r="K329" s="1473">
        <v>42386</v>
      </c>
      <c r="L329" s="1474"/>
      <c r="M329" s="1475">
        <v>0</v>
      </c>
      <c r="N329" s="1476">
        <v>1.118895505090796</v>
      </c>
      <c r="O329" s="1476">
        <v>1.118895505090796</v>
      </c>
    </row>
    <row r="330" spans="2:15">
      <c r="B330" s="1392">
        <v>42461</v>
      </c>
      <c r="C330" s="1393">
        <v>637.43399999999997</v>
      </c>
      <c r="D330" s="1393">
        <v>4639.05</v>
      </c>
      <c r="E330" s="1393">
        <v>1.0105587962367735</v>
      </c>
      <c r="F330" s="1393">
        <v>43.472190352532159</v>
      </c>
      <c r="K330" s="1473">
        <v>42387</v>
      </c>
      <c r="L330" s="1474" t="s">
        <v>2123</v>
      </c>
      <c r="M330" s="1475">
        <v>5.2531000000000001E-2</v>
      </c>
      <c r="N330" s="1476">
        <v>1.1194832720885752</v>
      </c>
      <c r="O330" s="1476">
        <v>1.1194832720885752</v>
      </c>
    </row>
    <row r="331" spans="2:15">
      <c r="B331" s="1392">
        <v>42491</v>
      </c>
      <c r="C331" s="1393">
        <v>642.65099999999995</v>
      </c>
      <c r="D331" s="1393">
        <v>4675.2299999999996</v>
      </c>
      <c r="E331" s="1393">
        <v>1.0110896528780244</v>
      </c>
      <c r="F331" s="1393">
        <v>43.954281853389141</v>
      </c>
      <c r="K331" s="1473">
        <v>42388</v>
      </c>
      <c r="L331" s="1474" t="s">
        <v>2123</v>
      </c>
      <c r="M331" s="1475">
        <v>5.2531000000000001E-2</v>
      </c>
      <c r="N331" s="1476">
        <v>1.1200713478462361</v>
      </c>
      <c r="O331" s="1476">
        <v>1.1200713478462361</v>
      </c>
    </row>
    <row r="332" spans="2:15">
      <c r="B332" s="1392">
        <v>42522</v>
      </c>
      <c r="C332" s="1393">
        <v>653.49599999999998</v>
      </c>
      <c r="D332" s="1393">
        <v>4691.59</v>
      </c>
      <c r="E332" s="1393">
        <v>1.0116207883835777</v>
      </c>
      <c r="F332" s="1393">
        <v>44.465065261359506</v>
      </c>
      <c r="K332" s="1473">
        <v>42389</v>
      </c>
      <c r="L332" s="1474" t="s">
        <v>2123</v>
      </c>
      <c r="M332" s="1475">
        <v>5.2531000000000001E-2</v>
      </c>
      <c r="N332" s="1476">
        <v>1.1206597325259733</v>
      </c>
      <c r="O332" s="1476">
        <v>1.1206597325259733</v>
      </c>
    </row>
    <row r="333" spans="2:15">
      <c r="B333" s="1392">
        <v>42552</v>
      </c>
      <c r="C333" s="1393">
        <v>654.64099999999996</v>
      </c>
      <c r="D333" s="1393">
        <v>4715.99</v>
      </c>
      <c r="E333" s="1393">
        <v>1.0110896528780242</v>
      </c>
      <c r="F333" s="1393">
        <v>44.958167400306678</v>
      </c>
      <c r="K333" s="1473">
        <v>42390</v>
      </c>
      <c r="L333" s="1474" t="s">
        <v>2123</v>
      </c>
      <c r="M333" s="1475">
        <v>5.2531000000000001E-2</v>
      </c>
      <c r="N333" s="1476">
        <v>1.1212484262900666</v>
      </c>
      <c r="O333" s="1476">
        <v>1.1212484262900666</v>
      </c>
    </row>
    <row r="334" spans="2:15">
      <c r="B334" s="1392">
        <v>42583</v>
      </c>
      <c r="C334" s="1393">
        <v>655.60199999999998</v>
      </c>
      <c r="D334" s="1393">
        <v>4736.74</v>
      </c>
      <c r="E334" s="1393">
        <v>1.0121522028999232</v>
      </c>
      <c r="F334" s="1393">
        <v>45.504508172563916</v>
      </c>
      <c r="K334" s="1473">
        <v>42391</v>
      </c>
      <c r="L334" s="1474" t="s">
        <v>2123</v>
      </c>
      <c r="M334" s="1475">
        <v>5.2531000000000001E-2</v>
      </c>
      <c r="N334" s="1476">
        <v>1.121837429300881</v>
      </c>
      <c r="O334" s="1476">
        <v>1.121837429300881</v>
      </c>
    </row>
    <row r="335" spans="2:15">
      <c r="B335" s="1392">
        <v>42614</v>
      </c>
      <c r="C335" s="1393">
        <v>656.89400000000001</v>
      </c>
      <c r="D335" s="1393">
        <v>4740.53</v>
      </c>
      <c r="E335" s="1393">
        <v>1.0110896528780247</v>
      </c>
      <c r="F335" s="1393">
        <v>46.009137372582884</v>
      </c>
      <c r="K335" s="1473">
        <v>42392</v>
      </c>
      <c r="L335" s="1474"/>
      <c r="M335" s="1475">
        <v>0</v>
      </c>
      <c r="N335" s="1476">
        <v>1.121837429300881</v>
      </c>
      <c r="O335" s="1476">
        <v>1.121837429300881</v>
      </c>
    </row>
    <row r="336" spans="2:15">
      <c r="B336" s="1392">
        <v>42644</v>
      </c>
      <c r="C336" s="1393">
        <v>657.92700000000002</v>
      </c>
      <c r="D336" s="1393">
        <v>4752.8599999999997</v>
      </c>
      <c r="E336" s="1393">
        <v>1.0104884196148551</v>
      </c>
      <c r="F336" s="1393">
        <v>46.491700511464046</v>
      </c>
      <c r="K336" s="1473">
        <v>42393</v>
      </c>
      <c r="L336" s="1474"/>
      <c r="M336" s="1475">
        <v>0</v>
      </c>
      <c r="N336" s="1476">
        <v>1.121837429300881</v>
      </c>
      <c r="O336" s="1476">
        <v>1.121837429300881</v>
      </c>
    </row>
    <row r="337" spans="2:15">
      <c r="B337" s="1392">
        <v>42675</v>
      </c>
      <c r="C337" s="1393">
        <v>657.75199999999995</v>
      </c>
      <c r="D337" s="1393">
        <v>4761.42</v>
      </c>
      <c r="E337" s="1393">
        <v>1.0103828638714687</v>
      </c>
      <c r="F337" s="1393">
        <v>46.974417509027667</v>
      </c>
      <c r="K337" s="1473">
        <v>42394</v>
      </c>
      <c r="L337" s="1474" t="s">
        <v>2123</v>
      </c>
      <c r="M337" s="1475">
        <v>5.2531000000000001E-2</v>
      </c>
      <c r="N337" s="1476">
        <v>1.1224267417208671</v>
      </c>
      <c r="O337" s="1476">
        <v>1.1224267417208671</v>
      </c>
    </row>
    <row r="338" spans="2:15">
      <c r="B338" s="1392">
        <v>42705</v>
      </c>
      <c r="C338" s="1393">
        <v>661.30399999999997</v>
      </c>
      <c r="D338" s="1393">
        <v>4775.7</v>
      </c>
      <c r="E338" s="1393">
        <v>1.0112331468569866</v>
      </c>
      <c r="F338" s="1393">
        <v>47.502088039427981</v>
      </c>
      <c r="K338" s="1473">
        <v>42395</v>
      </c>
      <c r="L338" s="1474" t="s">
        <v>2123</v>
      </c>
      <c r="M338" s="1475">
        <v>5.2531000000000001E-2</v>
      </c>
      <c r="N338" s="1476">
        <v>1.1230163637125605</v>
      </c>
      <c r="O338" s="1476">
        <v>1.1230163637125605</v>
      </c>
    </row>
    <row r="339" spans="2:15">
      <c r="B339" s="1392">
        <v>42736</v>
      </c>
      <c r="C339" s="1393">
        <v>665.54200000000003</v>
      </c>
      <c r="D339" s="1393">
        <v>4793.8500000000004</v>
      </c>
      <c r="E339" s="1393">
        <v>1.0108612048503447</v>
      </c>
      <c r="F339" s="1393">
        <v>48.018017948443315</v>
      </c>
      <c r="K339" s="1473">
        <v>42396</v>
      </c>
      <c r="L339" s="1474" t="s">
        <v>2123</v>
      </c>
      <c r="M339" s="1475">
        <v>5.2531000000000001E-2</v>
      </c>
      <c r="N339" s="1476">
        <v>1.1236062954385824</v>
      </c>
      <c r="O339" s="1476">
        <v>1.1236062954385824</v>
      </c>
    </row>
    <row r="340" spans="2:15">
      <c r="B340" s="1392">
        <v>42767</v>
      </c>
      <c r="C340" s="1393">
        <v>666.09900000000005</v>
      </c>
      <c r="D340" s="1393">
        <v>4809.67</v>
      </c>
      <c r="E340" s="1393">
        <v>1.0086508422083289</v>
      </c>
      <c r="F340" s="1393">
        <v>48.433414244872004</v>
      </c>
      <c r="K340" s="1473">
        <v>42397</v>
      </c>
      <c r="L340" s="1474" t="s">
        <v>2123</v>
      </c>
      <c r="M340" s="1475">
        <v>5.2531000000000001E-2</v>
      </c>
      <c r="N340" s="1476">
        <v>1.1241965370616391</v>
      </c>
      <c r="O340" s="1476">
        <v>1.1241965370616391</v>
      </c>
    </row>
    <row r="341" spans="2:15">
      <c r="B341" s="1392">
        <v>42795</v>
      </c>
      <c r="C341" s="1393">
        <v>666.197</v>
      </c>
      <c r="D341" s="1393">
        <v>4821.6899999999996</v>
      </c>
      <c r="E341" s="1393">
        <v>1.0105205646045978</v>
      </c>
      <c r="F341" s="1393">
        <v>48.94296110845643</v>
      </c>
      <c r="K341" s="1473">
        <v>42398</v>
      </c>
      <c r="L341" s="1474" t="s">
        <v>2123</v>
      </c>
      <c r="M341" s="1475">
        <v>5.2531000000000001E-2</v>
      </c>
      <c r="N341" s="1476">
        <v>1.124787088744523</v>
      </c>
      <c r="O341" s="1476">
        <v>1.124787088744523</v>
      </c>
    </row>
    <row r="342" spans="2:15">
      <c r="B342" s="1392">
        <v>42826</v>
      </c>
      <c r="C342" s="1393">
        <v>658.89800000000002</v>
      </c>
      <c r="D342" s="1393">
        <v>4828.4399999999996</v>
      </c>
      <c r="E342" s="1393">
        <v>1.0078658059100756</v>
      </c>
      <c r="F342" s="1393">
        <v>49.327936941199923</v>
      </c>
      <c r="K342" s="1473">
        <v>42399</v>
      </c>
      <c r="L342" s="1474"/>
      <c r="M342" s="1475">
        <v>0</v>
      </c>
      <c r="N342" s="1476">
        <v>1.124787088744523</v>
      </c>
      <c r="O342" s="1476">
        <v>1.124787088744523</v>
      </c>
    </row>
    <row r="343" spans="2:15">
      <c r="B343" s="1392">
        <v>42856</v>
      </c>
      <c r="C343" s="1393">
        <v>652.75800000000004</v>
      </c>
      <c r="D343" s="1393">
        <v>4843.41</v>
      </c>
      <c r="E343" s="1393">
        <v>1.0092713189779878</v>
      </c>
      <c r="F343" s="1393">
        <v>49.785271979107854</v>
      </c>
      <c r="K343" s="1473">
        <v>42400</v>
      </c>
      <c r="L343" s="1474"/>
      <c r="M343" s="1475">
        <v>0</v>
      </c>
      <c r="N343" s="1476">
        <v>1.124787088744523</v>
      </c>
      <c r="O343" s="1476">
        <v>1.124787088744523</v>
      </c>
    </row>
    <row r="344" spans="2:15">
      <c r="B344" s="1392">
        <v>42887</v>
      </c>
      <c r="C344" s="1393">
        <v>648.40899999999999</v>
      </c>
      <c r="D344" s="1393">
        <v>4832.2700000000004</v>
      </c>
      <c r="E344" s="1393">
        <v>1.0080886926571575</v>
      </c>
      <c r="F344" s="1393">
        <v>50.187969742999854</v>
      </c>
      <c r="K344" s="1473">
        <v>42401</v>
      </c>
      <c r="L344" s="1474" t="s">
        <v>2123</v>
      </c>
      <c r="M344" s="1475">
        <v>5.2531000000000001E-2</v>
      </c>
      <c r="N344" s="1476">
        <v>1.1253779506501114</v>
      </c>
      <c r="O344" s="1476">
        <v>1.1253779506501114</v>
      </c>
    </row>
    <row r="345" spans="2:15">
      <c r="B345" s="1392">
        <v>42917</v>
      </c>
      <c r="C345" s="1393">
        <v>643.76599999999996</v>
      </c>
      <c r="D345" s="1393">
        <v>4843.87</v>
      </c>
      <c r="E345" s="1393">
        <v>1.0079792299470567</v>
      </c>
      <c r="F345" s="1393">
        <v>50.588431094155176</v>
      </c>
      <c r="K345" s="1473">
        <v>42402</v>
      </c>
      <c r="L345" s="1474" t="s">
        <v>2123</v>
      </c>
      <c r="M345" s="1475">
        <v>5.2531000000000001E-2</v>
      </c>
      <c r="N345" s="1476">
        <v>1.1259691229413673</v>
      </c>
      <c r="O345" s="1476">
        <v>1.1259691229413673</v>
      </c>
    </row>
    <row r="346" spans="2:15">
      <c r="B346" s="1392">
        <v>42948</v>
      </c>
      <c r="C346" s="1393">
        <v>644.38300000000004</v>
      </c>
      <c r="D346" s="1393">
        <v>4853.07</v>
      </c>
      <c r="E346" s="1393">
        <v>1.0080228940119034</v>
      </c>
      <c r="F346" s="1393">
        <v>50.994296715052059</v>
      </c>
      <c r="K346" s="1473">
        <v>42403</v>
      </c>
      <c r="L346" s="1474" t="s">
        <v>2123</v>
      </c>
      <c r="M346" s="1475">
        <v>5.2531000000000001E-2</v>
      </c>
      <c r="N346" s="1476">
        <v>1.1265606057813395</v>
      </c>
      <c r="O346" s="1476">
        <v>1.1265606057813395</v>
      </c>
    </row>
    <row r="347" spans="2:15">
      <c r="B347" s="1392">
        <v>42979</v>
      </c>
      <c r="C347" s="1393">
        <v>647.4</v>
      </c>
      <c r="D347" s="1393">
        <v>4860.83</v>
      </c>
      <c r="E347" s="1393">
        <v>1.0063846003708505</v>
      </c>
      <c r="F347" s="1393">
        <v>51.319874920770239</v>
      </c>
      <c r="K347" s="1473">
        <v>42404</v>
      </c>
      <c r="L347" s="1474" t="s">
        <v>2123</v>
      </c>
      <c r="M347" s="1475">
        <v>5.2531000000000001E-2</v>
      </c>
      <c r="N347" s="1476">
        <v>1.1271523993331625</v>
      </c>
      <c r="O347" s="1476">
        <v>1.1271523993331625</v>
      </c>
    </row>
    <row r="348" spans="2:15">
      <c r="B348" s="1392">
        <v>43009</v>
      </c>
      <c r="C348" s="1393">
        <v>648.67200000000003</v>
      </c>
      <c r="D348" s="1393">
        <v>4881.25</v>
      </c>
      <c r="E348" s="1393">
        <v>1.0064393014601032</v>
      </c>
      <c r="F348" s="1393">
        <v>51.650339066279869</v>
      </c>
      <c r="K348" s="1473">
        <v>42405</v>
      </c>
      <c r="L348" s="1474" t="s">
        <v>2123</v>
      </c>
      <c r="M348" s="1475">
        <v>5.2531000000000001E-2</v>
      </c>
      <c r="N348" s="1476">
        <v>1.1277445037600562</v>
      </c>
      <c r="O348" s="1476">
        <v>1.1277445037600562</v>
      </c>
    </row>
    <row r="349" spans="2:15">
      <c r="B349" s="1392">
        <v>43040</v>
      </c>
      <c r="C349" s="1393">
        <v>652.07299999999998</v>
      </c>
      <c r="D349" s="1393">
        <v>4894.92</v>
      </c>
      <c r="E349" s="1393">
        <v>1.0056818783789492</v>
      </c>
      <c r="F349" s="1393">
        <v>51.943810011085958</v>
      </c>
      <c r="K349" s="1473">
        <v>42406</v>
      </c>
      <c r="L349" s="1474"/>
      <c r="M349" s="1475">
        <v>0</v>
      </c>
      <c r="N349" s="1476">
        <v>1.1277445037600562</v>
      </c>
      <c r="O349" s="1476">
        <v>1.1277445037600562</v>
      </c>
    </row>
    <row r="350" spans="2:15">
      <c r="B350" s="1392">
        <v>43070</v>
      </c>
      <c r="C350" s="1393">
        <v>657.85900000000004</v>
      </c>
      <c r="D350" s="1393">
        <v>4916.46</v>
      </c>
      <c r="E350" s="1393">
        <v>1.0053840004998948</v>
      </c>
      <c r="F350" s="1393">
        <v>52.223475510152085</v>
      </c>
      <c r="K350" s="1473">
        <v>42407</v>
      </c>
      <c r="L350" s="1474"/>
      <c r="M350" s="1475">
        <v>0</v>
      </c>
      <c r="N350" s="1476">
        <v>1.1277445037600562</v>
      </c>
      <c r="O350" s="1476">
        <v>1.1277445037600562</v>
      </c>
    </row>
    <row r="351" spans="2:15">
      <c r="B351" s="1392">
        <v>43101</v>
      </c>
      <c r="C351" s="1393">
        <v>662.82600000000002</v>
      </c>
      <c r="D351" s="1393">
        <v>4930.72</v>
      </c>
      <c r="E351" s="1393">
        <v>1.0058420473548675</v>
      </c>
      <c r="F351" s="1393">
        <v>52.528567527118156</v>
      </c>
      <c r="K351" s="1473">
        <v>42408</v>
      </c>
      <c r="L351" s="1474"/>
      <c r="M351" s="1475">
        <v>0</v>
      </c>
      <c r="N351" s="1476">
        <v>1.1277445037600562</v>
      </c>
      <c r="O351" s="1476">
        <v>1.1277445037600562</v>
      </c>
    </row>
    <row r="352" spans="2:15">
      <c r="B352" s="1392">
        <v>43132</v>
      </c>
      <c r="C352" s="1393">
        <v>663.31100000000004</v>
      </c>
      <c r="D352" s="1393">
        <v>4946.5</v>
      </c>
      <c r="E352" s="1393">
        <v>1.0046560161193037</v>
      </c>
      <c r="F352" s="1393">
        <v>52.773141384248348</v>
      </c>
      <c r="K352" s="1473">
        <v>42409</v>
      </c>
      <c r="L352" s="1474"/>
      <c r="M352" s="1475">
        <v>0</v>
      </c>
      <c r="N352" s="1476">
        <v>1.1277445037600562</v>
      </c>
      <c r="O352" s="1476">
        <v>1.1277445037600562</v>
      </c>
    </row>
    <row r="353" spans="2:15">
      <c r="B353" s="1392">
        <v>43160</v>
      </c>
      <c r="C353" s="1393">
        <v>667.524</v>
      </c>
      <c r="D353" s="1393">
        <v>4950.95</v>
      </c>
      <c r="E353" s="1393">
        <v>1.0053234480536677</v>
      </c>
      <c r="F353" s="1393">
        <v>53.054076461036253</v>
      </c>
      <c r="K353" s="1473">
        <v>42410</v>
      </c>
      <c r="L353" s="1474" t="s">
        <v>2123</v>
      </c>
      <c r="M353" s="1475">
        <v>5.2531000000000001E-2</v>
      </c>
      <c r="N353" s="1476">
        <v>1.1283369192253263</v>
      </c>
      <c r="O353" s="1476">
        <v>1.1283369192253263</v>
      </c>
    </row>
    <row r="354" spans="2:15">
      <c r="B354" s="1392">
        <v>43191</v>
      </c>
      <c r="C354" s="1393">
        <v>671.327</v>
      </c>
      <c r="D354" s="1393">
        <v>4961.84</v>
      </c>
      <c r="E354" s="1393">
        <v>1.0051829489023658</v>
      </c>
      <c r="F354" s="1393">
        <v>53.329053028396011</v>
      </c>
      <c r="K354" s="1473">
        <v>42411</v>
      </c>
      <c r="L354" s="1474" t="s">
        <v>2123</v>
      </c>
      <c r="M354" s="1475">
        <v>5.2531000000000001E-2</v>
      </c>
      <c r="N354" s="1476">
        <v>1.1289296458923646</v>
      </c>
      <c r="O354" s="1476">
        <v>1.1289296458923646</v>
      </c>
    </row>
    <row r="355" spans="2:15">
      <c r="B355" s="1392">
        <v>43221</v>
      </c>
      <c r="C355" s="1393">
        <v>680.57899999999995</v>
      </c>
      <c r="D355" s="1393">
        <v>4981.6899999999996</v>
      </c>
      <c r="E355" s="1393">
        <v>1.0051829489023656</v>
      </c>
      <c r="F355" s="1393">
        <v>53.605454785253734</v>
      </c>
      <c r="G355" s="491"/>
      <c r="K355" s="1473">
        <v>42412</v>
      </c>
      <c r="L355" s="1474" t="s">
        <v>2123</v>
      </c>
      <c r="M355" s="1475">
        <v>5.2531000000000001E-2</v>
      </c>
      <c r="N355" s="1476">
        <v>1.1295226839246482</v>
      </c>
      <c r="O355" s="1476">
        <v>1.1295226839246482</v>
      </c>
    </row>
    <row r="356" spans="2:15">
      <c r="B356" s="1392">
        <v>43252</v>
      </c>
      <c r="C356" s="1393">
        <v>693.28700000000003</v>
      </c>
      <c r="D356" s="1393">
        <v>5044.46</v>
      </c>
      <c r="E356" s="1393">
        <v>1.0051829489023654</v>
      </c>
      <c r="F356" s="1393">
        <v>53.88328911829376</v>
      </c>
      <c r="G356" s="10"/>
      <c r="I356" s="10"/>
      <c r="K356" s="1473">
        <v>42413</v>
      </c>
      <c r="L356" s="1474"/>
      <c r="M356" s="1475">
        <v>0</v>
      </c>
      <c r="N356" s="1476">
        <v>1.1295226839246482</v>
      </c>
      <c r="O356" s="1476">
        <v>1.1295226839246482</v>
      </c>
    </row>
    <row r="357" spans="2:15">
      <c r="B357" s="1392">
        <v>43282</v>
      </c>
      <c r="C357" s="1393">
        <v>696.8</v>
      </c>
      <c r="D357" s="1393">
        <v>5061.1099999999997</v>
      </c>
      <c r="E357" s="1393">
        <v>1.0054304249443857</v>
      </c>
      <c r="F357" s="1393">
        <v>54.175898275607288</v>
      </c>
      <c r="G357" s="10"/>
      <c r="K357" s="1473">
        <v>42414</v>
      </c>
      <c r="L357" s="1474"/>
      <c r="M357" s="1475">
        <v>0</v>
      </c>
      <c r="N357" s="1476">
        <v>1.1295226839246482</v>
      </c>
      <c r="O357" s="1476">
        <v>1.1295226839246482</v>
      </c>
    </row>
    <row r="358" spans="2:15">
      <c r="B358" s="1392">
        <v>43313</v>
      </c>
      <c r="C358" s="1393">
        <v>701.67700000000002</v>
      </c>
      <c r="D358" s="1393">
        <v>5056.5600000000004</v>
      </c>
      <c r="E358" s="1393">
        <v>1.0056779619150069</v>
      </c>
      <c r="F358" s="1393">
        <v>54.483506962727475</v>
      </c>
      <c r="K358" s="1473">
        <v>42415</v>
      </c>
      <c r="L358" s="1474" t="s">
        <v>2123</v>
      </c>
      <c r="M358" s="1475">
        <v>5.2531000000000001E-2</v>
      </c>
      <c r="N358" s="1476">
        <v>1.1301160334857405</v>
      </c>
      <c r="O358" s="1476">
        <v>1.1301160334857405</v>
      </c>
    </row>
    <row r="359" spans="2:15">
      <c r="B359" s="1392">
        <v>43344</v>
      </c>
      <c r="C359" s="1393">
        <v>712.37300000000005</v>
      </c>
      <c r="D359" s="1393">
        <v>5080.83</v>
      </c>
      <c r="E359" s="1393">
        <v>1.0046881795441467</v>
      </c>
      <c r="F359" s="1393">
        <v>54.738935425563504</v>
      </c>
      <c r="K359" s="1473">
        <v>42416</v>
      </c>
      <c r="L359" s="1474" t="s">
        <v>2123</v>
      </c>
      <c r="M359" s="1475">
        <v>5.2531000000000001E-2</v>
      </c>
      <c r="N359" s="1476">
        <v>1.1307096947392909</v>
      </c>
      <c r="O359" s="1476">
        <v>1.1307096947392909</v>
      </c>
    </row>
    <row r="360" spans="2:15">
      <c r="B360" s="1392">
        <v>43374</v>
      </c>
      <c r="C360" s="1393">
        <v>718.68399999999997</v>
      </c>
      <c r="D360" s="1393">
        <v>5103.6899999999996</v>
      </c>
      <c r="E360" s="1393">
        <v>1.0054304249443855</v>
      </c>
      <c r="F360" s="1393">
        <v>55.036191105927593</v>
      </c>
      <c r="K360" s="1473">
        <v>42417</v>
      </c>
      <c r="L360" s="1474" t="s">
        <v>2123</v>
      </c>
      <c r="M360" s="1475">
        <v>5.2531000000000001E-2</v>
      </c>
      <c r="N360" s="1476">
        <v>1.1313036678490345</v>
      </c>
      <c r="O360" s="1476">
        <v>1.1313036678490345</v>
      </c>
    </row>
    <row r="361" spans="2:15">
      <c r="B361" s="1392">
        <v>43405</v>
      </c>
      <c r="C361" s="1393">
        <v>715.16600000000005</v>
      </c>
      <c r="D361" s="1393">
        <v>5092.97</v>
      </c>
      <c r="E361" s="1393">
        <v>1.0049355337739507</v>
      </c>
      <c r="F361" s="1393">
        <v>55.307824085920508</v>
      </c>
      <c r="K361" s="1473">
        <v>42418</v>
      </c>
      <c r="L361" s="1474" t="s">
        <v>2123</v>
      </c>
      <c r="M361" s="1475">
        <v>5.2531000000000001E-2</v>
      </c>
      <c r="N361" s="1476">
        <v>1.1318979529787923</v>
      </c>
      <c r="O361" s="1476">
        <v>1.1318979529787923</v>
      </c>
    </row>
    <row r="362" spans="2:15">
      <c r="B362" s="1392">
        <v>43435</v>
      </c>
      <c r="C362" s="1393">
        <v>707.44100000000003</v>
      </c>
      <c r="D362" s="1393">
        <v>5100.6099999999997</v>
      </c>
      <c r="E362" s="1393">
        <v>1.0049355337739507</v>
      </c>
      <c r="F362" s="1393">
        <v>55.580797719660296</v>
      </c>
      <c r="K362" s="1473">
        <v>42419</v>
      </c>
      <c r="L362" s="1474" t="s">
        <v>2123</v>
      </c>
      <c r="M362" s="1475">
        <v>5.2531000000000001E-2</v>
      </c>
      <c r="N362" s="1476">
        <v>1.1324925502924716</v>
      </c>
      <c r="O362" s="1476">
        <v>1.1324925502924716</v>
      </c>
    </row>
    <row r="363" spans="2:15">
      <c r="B363" s="1392">
        <v>43466</v>
      </c>
      <c r="C363" s="1393">
        <v>707.48800000000006</v>
      </c>
      <c r="D363" s="1393">
        <v>5116.93</v>
      </c>
      <c r="E363" s="1393">
        <v>1.0054304249443855</v>
      </c>
      <c r="F363" s="1393">
        <v>55.882625070025988</v>
      </c>
      <c r="K363" s="1473">
        <v>42420</v>
      </c>
      <c r="L363" s="1474"/>
      <c r="M363" s="1475">
        <v>0</v>
      </c>
      <c r="N363" s="1476">
        <v>1.1324925502924716</v>
      </c>
      <c r="O363" s="1476">
        <v>1.1324925502924716</v>
      </c>
    </row>
    <row r="364" spans="2:15">
      <c r="B364" s="1392">
        <v>43497</v>
      </c>
      <c r="C364" s="1393">
        <v>713.74699999999996</v>
      </c>
      <c r="D364" s="1393">
        <v>5138.93</v>
      </c>
      <c r="E364" s="1393">
        <v>1.0049355337739507</v>
      </c>
      <c r="F364" s="1393">
        <v>56.158435653436129</v>
      </c>
      <c r="K364" s="1473">
        <v>42421</v>
      </c>
      <c r="L364" s="1474"/>
      <c r="M364" s="1475">
        <v>0</v>
      </c>
      <c r="N364" s="1476">
        <v>1.1324925502924716</v>
      </c>
      <c r="O364" s="1476">
        <v>1.1324925502924716</v>
      </c>
    </row>
    <row r="365" spans="2:15">
      <c r="B365" s="1392">
        <v>43525</v>
      </c>
      <c r="C365" s="1393">
        <v>722.70699999999999</v>
      </c>
      <c r="D365" s="1393">
        <v>5177.47</v>
      </c>
      <c r="E365" s="1393">
        <v>1.0046881795441467</v>
      </c>
      <c r="F365" s="1393">
        <v>56.421716482697846</v>
      </c>
      <c r="K365" s="1473">
        <v>42422</v>
      </c>
      <c r="L365" s="1474" t="s">
        <v>2123</v>
      </c>
      <c r="M365" s="1475">
        <v>5.2531000000000001E-2</v>
      </c>
      <c r="N365" s="1476">
        <v>1.1330874599540657</v>
      </c>
      <c r="O365" s="1476">
        <v>1.1330874599540657</v>
      </c>
    </row>
    <row r="366" spans="2:15">
      <c r="B366" s="1392">
        <v>43556</v>
      </c>
      <c r="C366" s="1393">
        <v>729.346</v>
      </c>
      <c r="D366" s="1393">
        <v>5206.9799999999996</v>
      </c>
      <c r="E366" s="1393">
        <v>1.0051829489023654</v>
      </c>
      <c r="F366" s="1393">
        <v>56.714147356211413</v>
      </c>
      <c r="K366" s="1473">
        <v>42423</v>
      </c>
      <c r="L366" s="1474" t="s">
        <v>2123</v>
      </c>
      <c r="M366" s="1475">
        <v>5.2531000000000001E-2</v>
      </c>
      <c r="N366" s="1476">
        <v>1.1336826821276542</v>
      </c>
      <c r="O366" s="1476">
        <v>1.1336826821276542</v>
      </c>
    </row>
    <row r="367" spans="2:15">
      <c r="B367" s="1392">
        <v>43586</v>
      </c>
      <c r="C367" s="1393">
        <v>732.59500000000003</v>
      </c>
      <c r="D367" s="1393">
        <v>5213.75</v>
      </c>
      <c r="E367" s="1393">
        <v>1.0054304249443855</v>
      </c>
      <c r="F367" s="1393">
        <v>57.022129276714139</v>
      </c>
      <c r="K367" s="1473">
        <v>42424</v>
      </c>
      <c r="L367" s="1474" t="s">
        <v>2123</v>
      </c>
      <c r="M367" s="1475">
        <v>5.2531000000000001E-2</v>
      </c>
      <c r="N367" s="1476">
        <v>1.1342782169774026</v>
      </c>
      <c r="O367" s="1476">
        <v>1.1342782169774026</v>
      </c>
    </row>
    <row r="368" spans="2:15">
      <c r="B368" s="1392">
        <v>43617</v>
      </c>
      <c r="C368" s="1393">
        <v>738.42100000000005</v>
      </c>
      <c r="D368" s="1393">
        <v>5214.2700000000004</v>
      </c>
      <c r="E368" s="1393">
        <v>1.0046881795441465</v>
      </c>
      <c r="F368" s="1393">
        <v>57.289459256752906</v>
      </c>
      <c r="K368" s="1473">
        <v>42425</v>
      </c>
      <c r="L368" s="1474" t="s">
        <v>2123</v>
      </c>
      <c r="M368" s="1475">
        <v>5.2531000000000001E-2</v>
      </c>
      <c r="N368" s="1476">
        <v>1.134874064667563</v>
      </c>
      <c r="O368" s="1476">
        <v>1.134874064667563</v>
      </c>
    </row>
    <row r="369" spans="2:15">
      <c r="B369" s="1392">
        <v>43647</v>
      </c>
      <c r="C369" s="1393">
        <v>741.346</v>
      </c>
      <c r="D369" s="1393">
        <v>5224.18</v>
      </c>
      <c r="E369" s="1393">
        <v>1.0056779619150069</v>
      </c>
      <c r="F369" s="1393">
        <v>57.61474662454409</v>
      </c>
      <c r="K369" s="1473">
        <v>42426</v>
      </c>
      <c r="L369" s="1474" t="s">
        <v>2123</v>
      </c>
      <c r="M369" s="1475">
        <v>5.2531000000000001E-2</v>
      </c>
      <c r="N369" s="1476">
        <v>1.1354702253624736</v>
      </c>
      <c r="O369" s="1476">
        <v>1.1354702253624736</v>
      </c>
    </row>
    <row r="370" spans="2:15">
      <c r="B370" s="1392">
        <v>43678</v>
      </c>
      <c r="C370" s="1393">
        <v>736.40200000000004</v>
      </c>
      <c r="D370" s="1393">
        <v>5229.93</v>
      </c>
      <c r="E370" s="1393">
        <v>1.0050171948996307</v>
      </c>
      <c r="F370" s="1393">
        <v>57.903811037452265</v>
      </c>
      <c r="K370" s="1473">
        <v>42427</v>
      </c>
      <c r="L370" s="1474"/>
      <c r="M370" s="1475">
        <v>0</v>
      </c>
      <c r="N370" s="1476">
        <v>1.1354702253624736</v>
      </c>
      <c r="O370" s="1476">
        <v>1.1354702253624736</v>
      </c>
    </row>
    <row r="371" spans="2:15">
      <c r="B371" s="1392">
        <v>43709</v>
      </c>
      <c r="C371" s="1393">
        <v>736.36199999999997</v>
      </c>
      <c r="D371" s="1393">
        <v>5227.84</v>
      </c>
      <c r="E371" s="1393">
        <v>1.0046375999081099</v>
      </c>
      <c r="F371" s="1393">
        <v>58.172345746198765</v>
      </c>
      <c r="K371" s="1473">
        <v>42428</v>
      </c>
      <c r="L371" s="1474"/>
      <c r="M371" s="1475">
        <v>0</v>
      </c>
      <c r="N371" s="1476">
        <v>1.1354702253624736</v>
      </c>
      <c r="O371" s="1476">
        <v>1.1354702253624736</v>
      </c>
    </row>
    <row r="372" spans="2:15">
      <c r="B372" s="1392">
        <v>43739</v>
      </c>
      <c r="C372" s="1393">
        <v>741.33299999999997</v>
      </c>
      <c r="D372" s="1393">
        <v>5233.07</v>
      </c>
      <c r="E372" s="1393">
        <v>1.0047926409835022</v>
      </c>
      <c r="F372" s="1393">
        <v>58.451144914528456</v>
      </c>
      <c r="K372" s="1473">
        <v>42429</v>
      </c>
      <c r="L372" s="1474" t="s">
        <v>2123</v>
      </c>
      <c r="M372" s="1475">
        <v>5.2531000000000001E-2</v>
      </c>
      <c r="N372" s="1476">
        <v>1.1360666992265587</v>
      </c>
      <c r="O372" s="1476">
        <v>1.1360666992265587</v>
      </c>
    </row>
    <row r="373" spans="2:15">
      <c r="B373" s="1392">
        <v>43770</v>
      </c>
      <c r="C373" s="1393">
        <v>743.55799999999999</v>
      </c>
      <c r="D373" s="1393">
        <v>5259.76</v>
      </c>
      <c r="E373" s="1393">
        <v>1.0038038559813272</v>
      </c>
      <c r="F373" s="1393">
        <v>58.673484651727009</v>
      </c>
      <c r="K373" s="1473">
        <v>42430</v>
      </c>
      <c r="L373" s="1474" t="s">
        <v>2123</v>
      </c>
      <c r="M373" s="1475">
        <v>5.2531000000000001E-2</v>
      </c>
      <c r="N373" s="1476">
        <v>1.1366634864243295</v>
      </c>
      <c r="O373" s="1476">
        <v>1.1366634864243295</v>
      </c>
    </row>
    <row r="374" spans="2:15">
      <c r="B374" s="1392">
        <v>43800</v>
      </c>
      <c r="C374" s="1393">
        <v>759.11199999999997</v>
      </c>
      <c r="D374" s="1393">
        <v>5320.25</v>
      </c>
      <c r="E374" s="1393">
        <v>1.0037470387078873</v>
      </c>
      <c r="F374" s="1393">
        <v>58.893336469843661</v>
      </c>
      <c r="K374" s="1473">
        <v>42431</v>
      </c>
      <c r="L374" s="1474" t="s">
        <v>2123</v>
      </c>
      <c r="M374" s="1475">
        <v>5.2531000000000001E-2</v>
      </c>
      <c r="N374" s="1476">
        <v>1.1372605871203831</v>
      </c>
      <c r="O374" s="1476">
        <v>1.1372605871203831</v>
      </c>
    </row>
    <row r="375" spans="2:15">
      <c r="B375" s="1392">
        <v>43831</v>
      </c>
      <c r="C375" s="1393">
        <v>762.73299999999995</v>
      </c>
      <c r="D375" s="1393">
        <v>5331.42</v>
      </c>
      <c r="E375" s="1393">
        <v>1.00376633367529</v>
      </c>
      <c r="F375" s="1393">
        <v>59.115148426240218</v>
      </c>
      <c r="K375" s="1473">
        <v>42432</v>
      </c>
      <c r="L375" s="1474" t="s">
        <v>2123</v>
      </c>
      <c r="M375" s="1475">
        <v>5.2531000000000001E-2</v>
      </c>
      <c r="N375" s="1476">
        <v>1.1378580014794033</v>
      </c>
      <c r="O375" s="1476">
        <v>1.1378580014794033</v>
      </c>
    </row>
    <row r="376" spans="2:15">
      <c r="B376" s="1392">
        <v>43862</v>
      </c>
      <c r="C376" s="1393">
        <v>762.423</v>
      </c>
      <c r="D376" s="1393">
        <v>5344.75</v>
      </c>
      <c r="E376" s="1393">
        <v>1.0029372863155552</v>
      </c>
      <c r="F376" s="1393">
        <v>59.288786542754629</v>
      </c>
      <c r="K376" s="1473">
        <v>42433</v>
      </c>
      <c r="L376" s="1474" t="s">
        <v>2123</v>
      </c>
      <c r="M376" s="1475">
        <v>5.2531000000000001E-2</v>
      </c>
      <c r="N376" s="1476">
        <v>1.1384557296661604</v>
      </c>
      <c r="O376" s="1476">
        <v>1.1384557296661604</v>
      </c>
    </row>
    <row r="377" spans="2:15">
      <c r="B377" s="1392">
        <v>43891</v>
      </c>
      <c r="C377" s="1393">
        <v>771.90800000000002</v>
      </c>
      <c r="D377" s="1393">
        <v>5348.49</v>
      </c>
      <c r="E377" s="1393">
        <v>1.0033836914846632</v>
      </c>
      <c r="F377" s="1393">
        <v>59.489401504915364</v>
      </c>
      <c r="K377" s="1473">
        <v>42434</v>
      </c>
      <c r="L377" s="1474"/>
      <c r="M377" s="1475">
        <v>0</v>
      </c>
      <c r="N377" s="1476">
        <v>1.1384557296661604</v>
      </c>
      <c r="O377" s="1476">
        <v>1.1384557296661604</v>
      </c>
    </row>
    <row r="378" spans="2:15">
      <c r="B378" s="1392">
        <v>43922</v>
      </c>
      <c r="C378" s="1393">
        <v>778.101</v>
      </c>
      <c r="D378" s="1393">
        <v>5331.91</v>
      </c>
      <c r="E378" s="1393">
        <v>1.0028492490278405</v>
      </c>
      <c r="F378" s="1393">
        <v>59.658901624320052</v>
      </c>
      <c r="K378" s="1473">
        <v>42435</v>
      </c>
      <c r="L378" s="1474"/>
      <c r="M378" s="1475">
        <v>0</v>
      </c>
      <c r="N378" s="1476">
        <v>1.1384557296661604</v>
      </c>
      <c r="O378" s="1476">
        <v>1.1384557296661604</v>
      </c>
    </row>
    <row r="379" spans="2:15">
      <c r="B379" s="1392">
        <v>43952</v>
      </c>
      <c r="C379" s="1393">
        <v>780.28</v>
      </c>
      <c r="D379" s="1393">
        <v>5311.65</v>
      </c>
      <c r="E379" s="1393">
        <v>1.0023580961930716</v>
      </c>
      <c r="F379" s="1393">
        <v>59.799583053123193</v>
      </c>
      <c r="K379" s="1473">
        <v>42436</v>
      </c>
      <c r="L379" s="1474" t="s">
        <v>2123</v>
      </c>
      <c r="M379" s="1475">
        <v>5.2531000000000001E-2</v>
      </c>
      <c r="N379" s="1476">
        <v>1.1390537718455114</v>
      </c>
      <c r="O379" s="1476">
        <v>1.1390537718455114</v>
      </c>
    </row>
    <row r="380" spans="2:15">
      <c r="B380" s="1392">
        <v>43983</v>
      </c>
      <c r="C380" s="1393">
        <v>792.42899999999997</v>
      </c>
      <c r="D380" s="1393">
        <v>5325.46</v>
      </c>
      <c r="E380" s="1393">
        <v>1.0021233217736718</v>
      </c>
      <c r="F380" s="1393">
        <v>59.926556809876388</v>
      </c>
      <c r="K380" s="1473">
        <v>42437</v>
      </c>
      <c r="L380" s="1474" t="s">
        <v>2123</v>
      </c>
      <c r="M380" s="1475">
        <v>5.2531000000000001E-2</v>
      </c>
      <c r="N380" s="1476">
        <v>1.1396521281823995</v>
      </c>
      <c r="O380" s="1476">
        <v>1.1396521281823995</v>
      </c>
    </row>
    <row r="381" spans="2:15">
      <c r="B381" s="1392">
        <v>44013</v>
      </c>
      <c r="C381" s="1393">
        <v>810.08299999999997</v>
      </c>
      <c r="D381" s="1393">
        <v>5344.63</v>
      </c>
      <c r="E381" s="1393">
        <v>1.0019434641302636</v>
      </c>
      <c r="F381" s="1393">
        <v>60.043021923486585</v>
      </c>
      <c r="K381" s="1473">
        <v>42438</v>
      </c>
      <c r="L381" s="1474" t="s">
        <v>2123</v>
      </c>
      <c r="M381" s="1475">
        <v>5.2531000000000001E-2</v>
      </c>
      <c r="N381" s="1476">
        <v>1.1402507988418549</v>
      </c>
      <c r="O381" s="1476">
        <v>1.1402507988418549</v>
      </c>
    </row>
    <row r="382" spans="2:15">
      <c r="B382" s="1392">
        <v>44044</v>
      </c>
      <c r="C382" s="1393">
        <v>832.31299999999999</v>
      </c>
      <c r="D382" s="1393">
        <v>5357.46</v>
      </c>
      <c r="E382" s="1393">
        <v>1.0015988959789295</v>
      </c>
      <c r="F382" s="1393">
        <v>60.13902446980282</v>
      </c>
      <c r="K382" s="1473">
        <v>42439</v>
      </c>
      <c r="L382" s="1474" t="s">
        <v>2123</v>
      </c>
      <c r="M382" s="1475">
        <v>5.2531000000000001E-2</v>
      </c>
      <c r="N382" s="1476">
        <v>1.1408497839889944</v>
      </c>
      <c r="O382" s="1476">
        <v>1.1408497839889944</v>
      </c>
    </row>
    <row r="383" spans="2:15">
      <c r="B383" s="1392">
        <v>44075</v>
      </c>
      <c r="C383" s="1393">
        <v>868.44200000000001</v>
      </c>
      <c r="D383" s="1393">
        <v>5391.75</v>
      </c>
      <c r="E383" s="1393">
        <v>1.0015696620595307</v>
      </c>
      <c r="F383" s="1393">
        <v>60.233422414810256</v>
      </c>
      <c r="K383" s="1473">
        <v>42440</v>
      </c>
      <c r="L383" s="1474" t="s">
        <v>2123</v>
      </c>
      <c r="M383" s="1475">
        <v>5.2531000000000001E-2</v>
      </c>
      <c r="N383" s="1476">
        <v>1.1414490837890217</v>
      </c>
      <c r="O383" s="1476">
        <v>1.1414490837890217</v>
      </c>
    </row>
    <row r="384" spans="2:15">
      <c r="B384" s="1392">
        <v>44105</v>
      </c>
      <c r="C384" s="1393">
        <v>896.505</v>
      </c>
      <c r="D384" s="1393">
        <v>5438.12</v>
      </c>
      <c r="E384" s="1393">
        <v>1.00156966205953</v>
      </c>
      <c r="F384" s="1393">
        <v>60.327968532690427</v>
      </c>
      <c r="K384" s="1473">
        <v>42441</v>
      </c>
      <c r="L384" s="1474"/>
      <c r="M384" s="1475">
        <v>0</v>
      </c>
      <c r="N384" s="1476">
        <v>1.1414490837890217</v>
      </c>
      <c r="O384" s="1476">
        <v>1.1414490837890217</v>
      </c>
    </row>
    <row r="385" spans="2:15">
      <c r="B385" s="1392">
        <v>44136</v>
      </c>
      <c r="C385" s="1393">
        <v>925.88699999999994</v>
      </c>
      <c r="D385" s="1393">
        <v>5486.52</v>
      </c>
      <c r="E385" s="1393">
        <v>1.0014948604084073</v>
      </c>
      <c r="F385" s="1393">
        <v>60.418150424369585</v>
      </c>
      <c r="K385" s="1473">
        <v>42442</v>
      </c>
      <c r="L385" s="1474"/>
      <c r="M385" s="1475">
        <v>0</v>
      </c>
      <c r="N385" s="1476">
        <v>1.1414490837890217</v>
      </c>
      <c r="O385" s="1476">
        <v>1.1414490837890217</v>
      </c>
    </row>
    <row r="386" spans="2:15">
      <c r="B386" s="1392">
        <v>44166</v>
      </c>
      <c r="C386" s="1393">
        <v>934.75800000000004</v>
      </c>
      <c r="D386" s="1393">
        <v>5560.59</v>
      </c>
      <c r="E386" s="1393">
        <v>1.0016444692975899</v>
      </c>
      <c r="F386" s="1393">
        <v>60.517506217759632</v>
      </c>
      <c r="K386" s="1473">
        <v>42443</v>
      </c>
      <c r="L386" s="1474" t="s">
        <v>2123</v>
      </c>
      <c r="M386" s="1475">
        <v>5.2531000000000001E-2</v>
      </c>
      <c r="N386" s="1476">
        <v>1.1420486984072269</v>
      </c>
      <c r="O386" s="1476">
        <v>1.1420486984072269</v>
      </c>
    </row>
    <row r="387" spans="2:15">
      <c r="B387" s="1392">
        <v>44197</v>
      </c>
      <c r="C387" s="1393">
        <v>958.84400000000005</v>
      </c>
      <c r="D387" s="1393">
        <v>5574.49</v>
      </c>
      <c r="E387" s="1393">
        <v>1.0014948604084077</v>
      </c>
      <c r="F387" s="1393">
        <v>60.607971441820126</v>
      </c>
      <c r="K387" s="1473">
        <v>42444</v>
      </c>
      <c r="L387" s="1474" t="s">
        <v>2123</v>
      </c>
      <c r="M387" s="1475">
        <v>5.2531000000000001E-2</v>
      </c>
      <c r="N387" s="1476">
        <v>1.1426486280089871</v>
      </c>
      <c r="O387" s="1476">
        <v>1.1426486280089871</v>
      </c>
    </row>
    <row r="388" spans="2:15">
      <c r="B388" s="1392">
        <v>44228</v>
      </c>
      <c r="C388" s="1393">
        <v>983.06299999999999</v>
      </c>
      <c r="D388" s="1393">
        <v>5622.43</v>
      </c>
      <c r="E388" s="1393">
        <v>1.0013452738652961</v>
      </c>
      <c r="F388" s="1393">
        <v>60.689505761829423</v>
      </c>
      <c r="K388" s="1473">
        <v>42445</v>
      </c>
      <c r="L388" s="1474" t="s">
        <v>2123</v>
      </c>
      <c r="M388" s="1475">
        <v>5.2531000000000001E-2</v>
      </c>
      <c r="N388" s="1476">
        <v>1.1432488727597665</v>
      </c>
      <c r="O388" s="1476">
        <v>1.1432488727597665</v>
      </c>
    </row>
    <row r="389" spans="2:15">
      <c r="B389" s="1392">
        <v>44256</v>
      </c>
      <c r="C389" s="1393">
        <v>1011.948</v>
      </c>
      <c r="D389" s="1393">
        <v>5674.72</v>
      </c>
      <c r="E389" s="1393">
        <v>1.0020107988327946</v>
      </c>
      <c r="F389" s="1393">
        <v>60.811540149178192</v>
      </c>
      <c r="K389" s="1473">
        <v>42446</v>
      </c>
      <c r="L389" s="1474" t="s">
        <v>2123</v>
      </c>
      <c r="M389" s="1475">
        <v>5.2531000000000001E-2</v>
      </c>
      <c r="N389" s="1476">
        <v>1.1438494328251159</v>
      </c>
      <c r="O389" s="1476">
        <v>1.1438494328251159</v>
      </c>
    </row>
    <row r="390" spans="2:15">
      <c r="B390" s="1392">
        <v>44287</v>
      </c>
      <c r="C390" s="1393">
        <v>1027.211</v>
      </c>
      <c r="D390" s="1393">
        <v>5692.31</v>
      </c>
      <c r="E390" s="1393">
        <v>1.0020778480243349</v>
      </c>
      <c r="F390" s="1393">
        <v>60.937897287733925</v>
      </c>
      <c r="K390" s="1473">
        <v>42447</v>
      </c>
      <c r="L390" s="1474" t="s">
        <v>2123</v>
      </c>
      <c r="M390" s="1475">
        <v>5.2531000000000001E-2</v>
      </c>
      <c r="N390" s="1476">
        <v>1.1444503083706732</v>
      </c>
      <c r="O390" s="1476">
        <v>1.1444503083706732</v>
      </c>
    </row>
    <row r="391" spans="2:15">
      <c r="B391" s="1392">
        <v>44317</v>
      </c>
      <c r="C391" s="1393">
        <v>1069.289</v>
      </c>
      <c r="D391" s="1393">
        <v>5739.56</v>
      </c>
      <c r="E391" s="1393">
        <v>1.0027032626398216</v>
      </c>
      <c r="F391" s="1393">
        <v>61.102628428821141</v>
      </c>
      <c r="K391" s="1473">
        <v>42448</v>
      </c>
      <c r="L391" s="1474"/>
      <c r="M391" s="1475">
        <v>0</v>
      </c>
      <c r="N391" s="1476">
        <v>1.1444503083706732</v>
      </c>
      <c r="O391" s="1476">
        <v>1.1444503083706732</v>
      </c>
    </row>
    <row r="392" spans="2:15">
      <c r="B392" s="1392">
        <v>44348</v>
      </c>
      <c r="C392" s="1393">
        <v>1075.7329999999999</v>
      </c>
      <c r="D392" s="1393">
        <v>5769.98</v>
      </c>
      <c r="E392" s="1393">
        <v>1.0030777896833167</v>
      </c>
      <c r="F392" s="1393">
        <v>61.290689468222901</v>
      </c>
      <c r="K392" s="1473">
        <v>42449</v>
      </c>
      <c r="L392" s="1474"/>
      <c r="M392" s="1475">
        <v>0</v>
      </c>
      <c r="N392" s="1476">
        <v>1.1444503083706732</v>
      </c>
      <c r="O392" s="1476">
        <v>1.1444503083706732</v>
      </c>
    </row>
    <row r="393" spans="2:15">
      <c r="B393" s="1392">
        <v>44378</v>
      </c>
      <c r="C393" s="1393">
        <v>1084.095</v>
      </c>
      <c r="D393" s="1393">
        <v>5825.37</v>
      </c>
      <c r="E393" s="1393">
        <v>1.003556161780192</v>
      </c>
      <c r="F393" s="1393">
        <v>61.508649075591414</v>
      </c>
      <c r="K393" s="1473">
        <v>42450</v>
      </c>
      <c r="L393" s="1474" t="s">
        <v>2123</v>
      </c>
      <c r="M393" s="1475">
        <v>5.2531000000000001E-2</v>
      </c>
      <c r="N393" s="1476">
        <v>1.1450514995621635</v>
      </c>
      <c r="O393" s="1476">
        <v>1.1450514995621635</v>
      </c>
    </row>
    <row r="394" spans="2:15">
      <c r="B394" s="1392">
        <v>44409</v>
      </c>
      <c r="C394" s="1393">
        <v>1091.29</v>
      </c>
      <c r="D394" s="1393">
        <v>5876.05</v>
      </c>
      <c r="E394" s="1393">
        <v>1.0042795247734253</v>
      </c>
      <c r="F394" s="1393">
        <v>61.771876863090334</v>
      </c>
      <c r="K394" s="1473">
        <v>42451</v>
      </c>
      <c r="L394" s="1474" t="s">
        <v>2123</v>
      </c>
      <c r="M394" s="1475">
        <v>5.2531000000000001E-2</v>
      </c>
      <c r="N394" s="1476">
        <v>1.1456530065653985</v>
      </c>
      <c r="O394" s="1476">
        <v>1.1456530065653985</v>
      </c>
    </row>
    <row r="395" spans="2:15">
      <c r="B395" s="1392">
        <v>44440</v>
      </c>
      <c r="C395" s="1393">
        <v>1084.3119999999999</v>
      </c>
      <c r="D395" s="1393">
        <v>5944.21</v>
      </c>
      <c r="E395" s="1393">
        <v>1.0044199933223523</v>
      </c>
      <c r="F395" s="1393">
        <v>62.044908146334365</v>
      </c>
      <c r="K395" s="1473">
        <v>42452</v>
      </c>
      <c r="L395" s="1474" t="s">
        <v>2123</v>
      </c>
      <c r="M395" s="1475">
        <v>5.2531000000000001E-2</v>
      </c>
      <c r="N395" s="1476">
        <v>1.1462548295462773</v>
      </c>
      <c r="O395" s="1476">
        <v>1.1462548295462773</v>
      </c>
    </row>
    <row r="396" spans="2:15">
      <c r="B396" s="1392">
        <v>44470</v>
      </c>
      <c r="C396" s="1393">
        <v>1091.2829999999999</v>
      </c>
      <c r="D396" s="1393">
        <v>6018.51</v>
      </c>
      <c r="E396" s="1393">
        <v>1.0048599610251685</v>
      </c>
      <c r="F396" s="1393">
        <v>62.34644398173571</v>
      </c>
      <c r="K396" s="1473">
        <v>42453</v>
      </c>
      <c r="L396" s="1474" t="s">
        <v>2123</v>
      </c>
      <c r="M396" s="1475">
        <v>5.2531000000000001E-2</v>
      </c>
      <c r="N396" s="1476">
        <v>1.1468569686707863</v>
      </c>
      <c r="O396" s="1476">
        <v>1.1468569686707863</v>
      </c>
    </row>
    <row r="397" spans="2:15">
      <c r="B397" s="1392">
        <v>44501</v>
      </c>
      <c r="C397" s="1393">
        <v>1091.4829999999999</v>
      </c>
      <c r="D397" s="1393">
        <v>6075.69</v>
      </c>
      <c r="E397" s="1393">
        <v>1.0058674909390046</v>
      </c>
      <c r="F397" s="1393">
        <v>62.712261176877703</v>
      </c>
      <c r="K397" s="1473">
        <v>42454</v>
      </c>
      <c r="L397" s="1474"/>
      <c r="M397" s="1475">
        <v>0</v>
      </c>
      <c r="N397" s="1476">
        <v>1.1468569686707863</v>
      </c>
      <c r="O397" s="1476">
        <v>1.1468569686707863</v>
      </c>
    </row>
    <row r="398" spans="2:15">
      <c r="B398" s="1392">
        <v>44531</v>
      </c>
      <c r="C398" s="1393">
        <v>1100.9880000000001</v>
      </c>
      <c r="D398" s="1393">
        <v>6120.04</v>
      </c>
      <c r="E398" s="1393">
        <v>1.0076908308186336</v>
      </c>
      <c r="F398" s="1393">
        <v>63.194570567843037</v>
      </c>
      <c r="K398" s="1473">
        <v>42455</v>
      </c>
      <c r="L398" s="1474"/>
      <c r="M398" s="1475">
        <v>0</v>
      </c>
      <c r="N398" s="1476">
        <v>1.1468569686707863</v>
      </c>
      <c r="O398" s="1476">
        <v>1.1468569686707863</v>
      </c>
    </row>
    <row r="399" spans="2:15">
      <c r="B399" s="1392">
        <v>44562</v>
      </c>
      <c r="C399" s="1393">
        <v>1120.999</v>
      </c>
      <c r="D399" s="1393">
        <v>6153.09</v>
      </c>
      <c r="E399" s="1393">
        <v>1.0073227032460901</v>
      </c>
      <c r="F399" s="1393">
        <v>63.65732565487545</v>
      </c>
      <c r="K399" s="1473">
        <v>42456</v>
      </c>
      <c r="L399" s="1474"/>
      <c r="M399" s="1475">
        <v>0</v>
      </c>
      <c r="N399" s="1476">
        <v>1.1468569686707863</v>
      </c>
      <c r="O399" s="1476">
        <v>1.1468569686707863</v>
      </c>
    </row>
    <row r="400" spans="2:15">
      <c r="B400" s="1392">
        <v>44593</v>
      </c>
      <c r="C400" s="1393">
        <v>1141.546</v>
      </c>
      <c r="D400" s="1393">
        <v>6215.24</v>
      </c>
      <c r="E400" s="1393">
        <v>1.0075504098703885</v>
      </c>
      <c r="F400" s="1393">
        <v>64.13796455482256</v>
      </c>
      <c r="K400" s="1473">
        <v>42457</v>
      </c>
      <c r="L400" s="1474" t="s">
        <v>2123</v>
      </c>
      <c r="M400" s="1475">
        <v>5.2531000000000001E-2</v>
      </c>
      <c r="N400" s="1476">
        <v>1.1474594241049989</v>
      </c>
      <c r="O400" s="1476">
        <v>1.1474594241049989</v>
      </c>
    </row>
    <row r="401" spans="2:15">
      <c r="B401" s="1392">
        <v>44621</v>
      </c>
      <c r="C401" s="1393">
        <v>1161.4179999999999</v>
      </c>
      <c r="D401" s="1393">
        <v>6315.93</v>
      </c>
      <c r="E401" s="1393">
        <v>1.0092705386289318</v>
      </c>
      <c r="F401" s="1393">
        <v>64.732558032809095</v>
      </c>
      <c r="K401" s="1473">
        <v>42458</v>
      </c>
      <c r="L401" s="1474" t="s">
        <v>2123</v>
      </c>
      <c r="M401" s="1475">
        <v>5.2531000000000001E-2</v>
      </c>
      <c r="N401" s="1476">
        <v>1.1480621960150754</v>
      </c>
      <c r="O401" s="1476">
        <v>1.1480621960150754</v>
      </c>
    </row>
    <row r="402" spans="2:15">
      <c r="B402" s="1392">
        <v>44652</v>
      </c>
      <c r="C402" s="1393">
        <v>1177.809</v>
      </c>
      <c r="D402" s="1393">
        <v>6382.88</v>
      </c>
      <c r="E402" s="1393">
        <v>1.0083432052372134</v>
      </c>
      <c r="F402" s="1393">
        <v>65.272635050006656</v>
      </c>
      <c r="K402" s="1473">
        <v>42459</v>
      </c>
      <c r="L402" s="1474" t="s">
        <v>2123</v>
      </c>
      <c r="M402" s="1475">
        <v>5.2531000000000001E-2</v>
      </c>
      <c r="N402" s="1476">
        <v>1.148665284567264</v>
      </c>
      <c r="O402" s="1476">
        <v>1.148665284567264</v>
      </c>
    </row>
    <row r="403" spans="2:15">
      <c r="B403" s="1392">
        <v>44682</v>
      </c>
      <c r="C403" s="1393">
        <v>1183.953</v>
      </c>
      <c r="D403" s="1393">
        <v>6412.88</v>
      </c>
      <c r="E403" s="1393">
        <v>1.0103459230153136</v>
      </c>
      <c r="F403" s="1393">
        <v>65.947940707240676</v>
      </c>
      <c r="K403" s="1473">
        <v>42460</v>
      </c>
      <c r="L403" s="1474" t="s">
        <v>2123</v>
      </c>
      <c r="M403" s="1475">
        <v>5.2531000000000001E-2</v>
      </c>
      <c r="N403" s="1476">
        <v>1.1492686899279001</v>
      </c>
      <c r="O403" s="1476">
        <v>1.1492686899279001</v>
      </c>
    </row>
    <row r="404" spans="2:15">
      <c r="B404" s="1392">
        <v>44713</v>
      </c>
      <c r="C404" s="1393">
        <v>1190.8820000000001</v>
      </c>
      <c r="D404" s="1393">
        <v>6455.85</v>
      </c>
      <c r="E404" s="1393">
        <v>1.0101531560893695</v>
      </c>
      <c r="F404" s="1393">
        <v>66.617520443013774</v>
      </c>
      <c r="K404" s="1473">
        <v>42461</v>
      </c>
      <c r="L404" s="1474" t="s">
        <v>2123</v>
      </c>
      <c r="M404" s="1475">
        <v>5.2531000000000001E-2</v>
      </c>
      <c r="N404" s="1476">
        <v>1.1498724122634061</v>
      </c>
      <c r="O404" s="1476">
        <v>1.1498724122634061</v>
      </c>
    </row>
    <row r="405" spans="2:15">
      <c r="B405" s="1392">
        <v>44743</v>
      </c>
      <c r="C405" s="1393">
        <v>1193.337</v>
      </c>
      <c r="D405" s="1393">
        <v>6411.95</v>
      </c>
      <c r="E405" s="1393">
        <v>1.0103484243492924</v>
      </c>
      <c r="F405" s="1393">
        <v>67.306906813655743</v>
      </c>
      <c r="K405" s="1473">
        <v>42462</v>
      </c>
      <c r="L405" s="1474"/>
      <c r="M405" s="1475">
        <v>0</v>
      </c>
      <c r="N405" s="1476">
        <v>1.1498724122634061</v>
      </c>
      <c r="O405" s="1476">
        <v>1.1498724122634061</v>
      </c>
    </row>
    <row r="406" spans="2:15">
      <c r="B406" s="1392">
        <v>44774</v>
      </c>
      <c r="C406" s="1393">
        <v>1185.0039999999999</v>
      </c>
      <c r="D406" s="1393">
        <v>6388.87</v>
      </c>
      <c r="E406" s="1393">
        <v>1.0116936128000631</v>
      </c>
      <c r="F406" s="1393">
        <v>68.093967720704555</v>
      </c>
      <c r="K406" s="1473">
        <v>42463</v>
      </c>
      <c r="L406" s="1474"/>
      <c r="M406" s="1475">
        <v>0</v>
      </c>
      <c r="N406" s="1476">
        <v>1.1498724122634061</v>
      </c>
      <c r="O406" s="1476">
        <v>1.1498724122634061</v>
      </c>
    </row>
    <row r="407" spans="2:15">
      <c r="B407" s="1392">
        <v>44805</v>
      </c>
      <c r="C407" s="1393">
        <v>1188.5886370999999</v>
      </c>
      <c r="D407" s="1393">
        <v>6404.6441200300005</v>
      </c>
      <c r="E407" s="1393">
        <v>1.010719822473549</v>
      </c>
      <c r="F407" s="1393">
        <v>68.823922966190082</v>
      </c>
      <c r="K407" s="1473">
        <v>42464</v>
      </c>
      <c r="L407" s="1474" t="s">
        <v>2123</v>
      </c>
      <c r="M407" s="1475">
        <v>5.2531000000000001E-2</v>
      </c>
      <c r="N407" s="1476">
        <v>1.1504764517402921</v>
      </c>
      <c r="O407" s="1476">
        <v>1.1504764517402921</v>
      </c>
    </row>
    <row r="408" spans="2:15">
      <c r="B408" s="1392">
        <v>44835</v>
      </c>
      <c r="C408" s="1393">
        <v>1195.4598680110751</v>
      </c>
      <c r="D408" s="1393">
        <v>6437.1220703626732</v>
      </c>
      <c r="E408" s="1393">
        <v>1.0102067586649579</v>
      </c>
      <c r="F408" s="1393">
        <v>69.526392138281636</v>
      </c>
      <c r="K408" s="1473">
        <v>42465</v>
      </c>
      <c r="L408" s="1474" t="s">
        <v>2123</v>
      </c>
      <c r="M408" s="1475">
        <v>5.2531000000000001E-2</v>
      </c>
      <c r="N408" s="1476">
        <v>1.1510808085251558</v>
      </c>
      <c r="O408" s="1476">
        <v>1.1510808085251558</v>
      </c>
    </row>
    <row r="409" spans="2:15">
      <c r="B409" s="1392">
        <v>44866</v>
      </c>
      <c r="C409" s="1393">
        <v>1202.90399660918</v>
      </c>
      <c r="D409" s="1393">
        <v>6470.2603747808998</v>
      </c>
      <c r="E409" s="1393">
        <v>1.0102067586649579</v>
      </c>
      <c r="F409" s="1393">
        <v>70.236031243682305</v>
      </c>
      <c r="K409" s="1473">
        <v>42466</v>
      </c>
      <c r="L409" s="1474" t="s">
        <v>2123</v>
      </c>
      <c r="M409" s="1475">
        <v>5.2531000000000001E-2</v>
      </c>
      <c r="N409" s="1476">
        <v>1.1516854827846821</v>
      </c>
      <c r="O409" s="1476">
        <v>1.1516854827846821</v>
      </c>
    </row>
    <row r="410" spans="2:15">
      <c r="B410" s="1392">
        <v>44896</v>
      </c>
      <c r="C410" s="1393">
        <v>1210.0636811969978</v>
      </c>
      <c r="D410" s="1393">
        <v>6518.3732309277702</v>
      </c>
      <c r="E410" s="1393">
        <v>1.0112331468569864</v>
      </c>
      <c r="F410" s="1393">
        <v>71.02500289729447</v>
      </c>
      <c r="K410" s="1473">
        <v>42467</v>
      </c>
      <c r="L410" s="1474" t="s">
        <v>2123</v>
      </c>
      <c r="M410" s="1475">
        <v>5.2531000000000001E-2</v>
      </c>
      <c r="N410" s="1476">
        <v>1.1522904746856437</v>
      </c>
      <c r="O410" s="1476">
        <v>1.1522904746856437</v>
      </c>
    </row>
    <row r="411" spans="2:15">
      <c r="B411" s="1392">
        <v>44927</v>
      </c>
      <c r="C411" s="1393">
        <v>1216.2204852069281</v>
      </c>
      <c r="D411" s="1393">
        <v>6562.8546098556208</v>
      </c>
      <c r="E411" s="1393">
        <v>1.0112331468569866</v>
      </c>
      <c r="F411" s="1393">
        <v>71.822837185357685</v>
      </c>
      <c r="K411" s="1473">
        <v>42468</v>
      </c>
      <c r="L411" s="1474" t="s">
        <v>2123</v>
      </c>
      <c r="M411" s="1475">
        <v>5.2531000000000001E-2</v>
      </c>
      <c r="N411" s="1476">
        <v>1.1528957843949008</v>
      </c>
      <c r="O411" s="1476">
        <v>1.1528957843949008</v>
      </c>
    </row>
    <row r="412" spans="2:15">
      <c r="B412" s="1392">
        <v>44958</v>
      </c>
      <c r="C412" s="1393">
        <v>1221.2130702987026</v>
      </c>
      <c r="D412" s="1393">
        <v>6605.2243992168487</v>
      </c>
      <c r="E412" s="1393">
        <v>1.0091814122432907</v>
      </c>
      <c r="F412" s="1393">
        <v>72.482272262039203</v>
      </c>
      <c r="K412" s="1473">
        <v>42469</v>
      </c>
      <c r="L412" s="1474"/>
      <c r="M412" s="1475">
        <v>0</v>
      </c>
      <c r="N412" s="1476">
        <v>1.1528957843949008</v>
      </c>
      <c r="O412" s="1476">
        <v>1.1528957843949008</v>
      </c>
    </row>
    <row r="413" spans="2:15">
      <c r="B413" s="1392">
        <v>44986</v>
      </c>
      <c r="C413" s="1393">
        <v>1226.0405255655935</v>
      </c>
      <c r="D413" s="1393">
        <v>6636.5860046643302</v>
      </c>
      <c r="E413" s="1393">
        <v>1.0117467319476126</v>
      </c>
      <c r="F413" s="1393">
        <v>73.333702085255254</v>
      </c>
      <c r="K413" s="1473">
        <v>42470</v>
      </c>
      <c r="L413" s="1474"/>
      <c r="M413" s="1475">
        <v>0</v>
      </c>
      <c r="N413" s="1476">
        <v>1.1528957843949008</v>
      </c>
      <c r="O413" s="1476">
        <v>1.1528957843949008</v>
      </c>
    </row>
    <row r="414" spans="2:15">
      <c r="B414" s="1392">
        <v>45017</v>
      </c>
      <c r="C414" s="1393">
        <v>1230.1955769067354</v>
      </c>
      <c r="D414" s="1393">
        <v>6667.1143002857852</v>
      </c>
      <c r="E414" s="1393">
        <v>1.0091814122432907</v>
      </c>
      <c r="F414" s="1393">
        <v>74.007009035426648</v>
      </c>
      <c r="K414" s="1473">
        <v>42471</v>
      </c>
      <c r="L414" s="1474" t="s">
        <v>2123</v>
      </c>
      <c r="M414" s="1475">
        <v>5.2531000000000001E-2</v>
      </c>
      <c r="N414" s="1476">
        <v>1.1535014120794014</v>
      </c>
      <c r="O414" s="1476">
        <v>1.1535014120794014</v>
      </c>
    </row>
    <row r="415" spans="2:15">
      <c r="B415" s="1392">
        <v>45047</v>
      </c>
      <c r="C415" s="1393">
        <v>1233.7926687736106</v>
      </c>
      <c r="D415" s="1393">
        <v>6689.8024902496581</v>
      </c>
      <c r="E415" s="1393">
        <v>1.0112331468569866</v>
      </c>
      <c r="F415" s="1393">
        <v>74.838340636367931</v>
      </c>
      <c r="K415" s="1473">
        <v>42472</v>
      </c>
      <c r="L415" s="1474" t="s">
        <v>2123</v>
      </c>
      <c r="M415" s="1475">
        <v>5.2531000000000001E-2</v>
      </c>
      <c r="N415" s="1476">
        <v>1.1541073579061809</v>
      </c>
      <c r="O415" s="1476">
        <v>1.1541073579061809</v>
      </c>
    </row>
    <row r="416" spans="2:15">
      <c r="B416" s="1392">
        <v>45078</v>
      </c>
      <c r="C416" s="1393">
        <v>1238.0924362242865</v>
      </c>
      <c r="D416" s="1393">
        <v>6710.8887476989257</v>
      </c>
      <c r="E416" s="1393">
        <v>1.010719822473549</v>
      </c>
      <c r="F416" s="1393">
        <v>75.64059436220478</v>
      </c>
      <c r="K416" s="1473">
        <v>42473</v>
      </c>
      <c r="L416" s="1474" t="s">
        <v>2123</v>
      </c>
      <c r="M416" s="1475">
        <v>5.2531000000000001E-2</v>
      </c>
      <c r="N416" s="1476">
        <v>1.1547136220423626</v>
      </c>
      <c r="O416" s="1476">
        <v>1.1547136220423626</v>
      </c>
    </row>
    <row r="417" spans="2:15">
      <c r="B417" s="1392">
        <v>45108</v>
      </c>
      <c r="C417" s="1393">
        <v>1241.6878566590819</v>
      </c>
      <c r="D417" s="1393">
        <v>6731.658948373054</v>
      </c>
      <c r="E417" s="1393">
        <v>1.0107198224735483</v>
      </c>
      <c r="F417" s="1393">
        <v>76.451448105561298</v>
      </c>
      <c r="K417" s="1473">
        <v>42474</v>
      </c>
      <c r="L417" s="1474" t="s">
        <v>2123</v>
      </c>
      <c r="M417" s="1475">
        <v>5.2531000000000001E-2</v>
      </c>
      <c r="N417" s="1476">
        <v>1.1553202046551576</v>
      </c>
      <c r="O417" s="1476">
        <v>1.1553202046551576</v>
      </c>
    </row>
    <row r="418" spans="2:15">
      <c r="B418" s="1392">
        <v>45139</v>
      </c>
      <c r="C418" s="1393">
        <v>1245.6153153496946</v>
      </c>
      <c r="D418" s="1393">
        <v>6747.6399067164921</v>
      </c>
      <c r="E418" s="1393">
        <v>1.0117467319476126</v>
      </c>
      <c r="F418" s="1393">
        <v>77.349502773464138</v>
      </c>
      <c r="K418" s="1473">
        <v>42475</v>
      </c>
      <c r="L418" s="1474" t="s">
        <v>2123</v>
      </c>
      <c r="M418" s="1475">
        <v>5.2531000000000001E-2</v>
      </c>
      <c r="N418" s="1476">
        <v>1.155927105911865</v>
      </c>
      <c r="O418" s="1476">
        <v>1.155927105911865</v>
      </c>
    </row>
    <row r="419" spans="2:15">
      <c r="B419" s="1392">
        <v>45170</v>
      </c>
      <c r="C419" s="1393">
        <v>1251.1570578876854</v>
      </c>
      <c r="D419" s="1393">
        <v>6769.6169698926678</v>
      </c>
      <c r="E419" s="1393">
        <v>1.0102067586649579</v>
      </c>
      <c r="F419" s="1393">
        <v>78.138990481127379</v>
      </c>
      <c r="K419" s="1473">
        <v>42476</v>
      </c>
      <c r="L419" s="1474"/>
      <c r="M419" s="1475">
        <v>0</v>
      </c>
      <c r="N419" s="1476">
        <v>1.155927105911865</v>
      </c>
      <c r="O419" s="1476">
        <v>1.155927105911865</v>
      </c>
    </row>
    <row r="420" spans="2:15">
      <c r="B420" s="1392">
        <v>45200</v>
      </c>
      <c r="C420" s="1393">
        <v>1257.0750307714941</v>
      </c>
      <c r="D420" s="1393">
        <v>6796.3637265407142</v>
      </c>
      <c r="E420" s="1393">
        <v>1.0107198224735487</v>
      </c>
      <c r="F420" s="1393">
        <v>78.976626587347383</v>
      </c>
      <c r="K420" s="1473">
        <v>42477</v>
      </c>
      <c r="L420" s="1474"/>
      <c r="M420" s="1475">
        <v>0</v>
      </c>
      <c r="N420" s="1476">
        <v>1.155927105911865</v>
      </c>
      <c r="O420" s="1476">
        <v>1.155927105911865</v>
      </c>
    </row>
    <row r="421" spans="2:15">
      <c r="B421" s="1392">
        <v>45231</v>
      </c>
      <c r="C421" s="1393">
        <v>1262.6702717334581</v>
      </c>
      <c r="D421" s="1393">
        <v>6821.4830868740082</v>
      </c>
      <c r="E421" s="1393">
        <v>1.0102067586649577</v>
      </c>
      <c r="F421" s="1393">
        <v>79.782721955096918</v>
      </c>
      <c r="K421" s="1473">
        <v>42478</v>
      </c>
      <c r="L421" s="1474" t="s">
        <v>2123</v>
      </c>
      <c r="M421" s="1475">
        <v>5.2531000000000001E-2</v>
      </c>
      <c r="N421" s="1476">
        <v>1.1565343259798715</v>
      </c>
      <c r="O421" s="1476">
        <v>1.1565343259798715</v>
      </c>
    </row>
    <row r="422" spans="2:15">
      <c r="B422" s="1392">
        <v>45261</v>
      </c>
      <c r="C422" s="1393">
        <v>1268.1742514479442</v>
      </c>
      <c r="D422" s="1393">
        <v>6857.9166280410027</v>
      </c>
      <c r="E422" s="1393">
        <v>1.0102067586649579</v>
      </c>
      <c r="F422" s="1393">
        <v>80.597044943726033</v>
      </c>
      <c r="K422" s="1473">
        <v>42479</v>
      </c>
      <c r="L422" s="1474" t="s">
        <v>2123</v>
      </c>
      <c r="M422" s="1475">
        <v>5.2531000000000001E-2</v>
      </c>
      <c r="N422" s="1476">
        <v>1.1571418650266521</v>
      </c>
      <c r="O422" s="1476">
        <v>1.1571418650266521</v>
      </c>
    </row>
    <row r="423" spans="2:15">
      <c r="B423" s="1392">
        <v>45292</v>
      </c>
      <c r="C423" s="1393" t="e">
        <v>#N/A</v>
      </c>
      <c r="D423" s="1393" t="e">
        <v>#N/A</v>
      </c>
      <c r="E423" s="1393" t="e">
        <v>#N/A</v>
      </c>
      <c r="F423" s="1393" t="e">
        <f t="shared" ref="F423:F483" si="0">F422*E423</f>
        <v>#N/A</v>
      </c>
      <c r="K423" s="1473">
        <v>42480</v>
      </c>
      <c r="L423" s="1474" t="s">
        <v>2123</v>
      </c>
      <c r="M423" s="1475">
        <v>5.2531000000000001E-2</v>
      </c>
      <c r="N423" s="1476">
        <v>1.1577497232197693</v>
      </c>
      <c r="O423" s="1476">
        <v>1.1577497232197693</v>
      </c>
    </row>
    <row r="424" spans="2:15">
      <c r="B424" s="1392">
        <v>45323</v>
      </c>
      <c r="C424" s="1393" t="e">
        <v>#N/A</v>
      </c>
      <c r="D424" s="1393" t="e">
        <v>#N/A</v>
      </c>
      <c r="E424" s="1393" t="e">
        <v>#N/A</v>
      </c>
      <c r="F424" s="1393" t="e">
        <f t="shared" si="0"/>
        <v>#N/A</v>
      </c>
      <c r="K424" s="1473">
        <v>42481</v>
      </c>
      <c r="L424" s="1474"/>
      <c r="M424" s="1475">
        <v>0</v>
      </c>
      <c r="N424" s="1476">
        <v>1.1577497232197693</v>
      </c>
      <c r="O424" s="1476">
        <v>1.1577497232197693</v>
      </c>
    </row>
    <row r="425" spans="2:15">
      <c r="B425" s="1392">
        <v>45352</v>
      </c>
      <c r="C425" s="1393" t="e">
        <v>#N/A</v>
      </c>
      <c r="D425" s="1393" t="e">
        <v>#N/A</v>
      </c>
      <c r="E425" s="1393" t="e">
        <v>#N/A</v>
      </c>
      <c r="F425" s="1393" t="e">
        <f t="shared" si="0"/>
        <v>#N/A</v>
      </c>
      <c r="K425" s="1473">
        <v>42482</v>
      </c>
      <c r="L425" s="1474" t="s">
        <v>2123</v>
      </c>
      <c r="M425" s="1475">
        <v>5.2531000000000001E-2</v>
      </c>
      <c r="N425" s="1476">
        <v>1.1583579007268738</v>
      </c>
      <c r="O425" s="1476">
        <v>1.1583579007268738</v>
      </c>
    </row>
    <row r="426" spans="2:15">
      <c r="B426" s="1392">
        <v>45383</v>
      </c>
      <c r="C426" s="1393" t="e">
        <v>#N/A</v>
      </c>
      <c r="D426" s="1393" t="e">
        <v>#N/A</v>
      </c>
      <c r="E426" s="1393" t="e">
        <v>#N/A</v>
      </c>
      <c r="F426" s="1393" t="e">
        <f t="shared" si="0"/>
        <v>#N/A</v>
      </c>
      <c r="K426" s="1473">
        <v>42483</v>
      </c>
      <c r="L426" s="1474"/>
      <c r="M426" s="1475">
        <v>0</v>
      </c>
      <c r="N426" s="1476">
        <v>1.1583579007268738</v>
      </c>
      <c r="O426" s="1476">
        <v>1.1583579007268738</v>
      </c>
    </row>
    <row r="427" spans="2:15">
      <c r="B427" s="1392">
        <v>45413</v>
      </c>
      <c r="C427" s="1393" t="e">
        <v>#N/A</v>
      </c>
      <c r="D427" s="1393" t="e">
        <v>#N/A</v>
      </c>
      <c r="E427" s="1393" t="e">
        <v>#N/A</v>
      </c>
      <c r="F427" s="1393" t="e">
        <f t="shared" si="0"/>
        <v>#N/A</v>
      </c>
      <c r="K427" s="1473">
        <v>42484</v>
      </c>
      <c r="L427" s="1474"/>
      <c r="M427" s="1475">
        <v>0</v>
      </c>
      <c r="N427" s="1476">
        <v>1.1583579007268738</v>
      </c>
      <c r="O427" s="1476">
        <v>1.1583579007268738</v>
      </c>
    </row>
    <row r="428" spans="2:15">
      <c r="B428" s="1392">
        <v>45444</v>
      </c>
      <c r="C428" s="1393" t="e">
        <v>#N/A</v>
      </c>
      <c r="D428" s="1393" t="e">
        <v>#N/A</v>
      </c>
      <c r="E428" s="1393" t="e">
        <v>#N/A</v>
      </c>
      <c r="F428" s="1393" t="e">
        <f t="shared" si="0"/>
        <v>#N/A</v>
      </c>
      <c r="K428" s="1473">
        <v>42485</v>
      </c>
      <c r="L428" s="1474" t="s">
        <v>2123</v>
      </c>
      <c r="M428" s="1475">
        <v>5.2531000000000001E-2</v>
      </c>
      <c r="N428" s="1476">
        <v>1.1589663977157048</v>
      </c>
      <c r="O428" s="1476">
        <v>1.1589663977157048</v>
      </c>
    </row>
    <row r="429" spans="2:15">
      <c r="B429" s="1392">
        <v>45474</v>
      </c>
      <c r="C429" s="1393" t="e">
        <v>#N/A</v>
      </c>
      <c r="D429" s="1393" t="e">
        <v>#N/A</v>
      </c>
      <c r="E429" s="1393" t="e">
        <v>#N/A</v>
      </c>
      <c r="F429" s="1393" t="e">
        <f t="shared" si="0"/>
        <v>#N/A</v>
      </c>
      <c r="K429" s="1473">
        <v>42486</v>
      </c>
      <c r="L429" s="1474" t="s">
        <v>2123</v>
      </c>
      <c r="M429" s="1475">
        <v>5.2531000000000001E-2</v>
      </c>
      <c r="N429" s="1476">
        <v>1.1595752143540887</v>
      </c>
      <c r="O429" s="1476">
        <v>1.1595752143540887</v>
      </c>
    </row>
    <row r="430" spans="2:15">
      <c r="B430" s="1392">
        <v>45505</v>
      </c>
      <c r="C430" s="1393" t="e">
        <v>#N/A</v>
      </c>
      <c r="D430" s="1393" t="e">
        <v>#N/A</v>
      </c>
      <c r="E430" s="1393" t="e">
        <v>#N/A</v>
      </c>
      <c r="F430" s="1393" t="e">
        <f t="shared" si="0"/>
        <v>#N/A</v>
      </c>
      <c r="K430" s="1473">
        <v>42487</v>
      </c>
      <c r="L430" s="1474" t="s">
        <v>2123</v>
      </c>
      <c r="M430" s="1475">
        <v>5.2531000000000001E-2</v>
      </c>
      <c r="N430" s="1476">
        <v>1.160184350809941</v>
      </c>
      <c r="O430" s="1476">
        <v>1.160184350809941</v>
      </c>
    </row>
    <row r="431" spans="2:15">
      <c r="B431" s="1392">
        <v>45536</v>
      </c>
      <c r="C431" s="1393" t="e">
        <v>#N/A</v>
      </c>
      <c r="D431" s="1393" t="e">
        <v>#N/A</v>
      </c>
      <c r="E431" s="1393" t="e">
        <v>#N/A</v>
      </c>
      <c r="F431" s="1393" t="e">
        <f t="shared" si="0"/>
        <v>#N/A</v>
      </c>
      <c r="K431" s="1473">
        <v>42488</v>
      </c>
      <c r="L431" s="1474" t="s">
        <v>2123</v>
      </c>
      <c r="M431" s="1475">
        <v>5.2531000000000001E-2</v>
      </c>
      <c r="N431" s="1476">
        <v>1.1607938072512649</v>
      </c>
      <c r="O431" s="1476">
        <v>1.1607938072512649</v>
      </c>
    </row>
    <row r="432" spans="2:15">
      <c r="B432" s="1392">
        <v>45566</v>
      </c>
      <c r="C432" s="1393" t="e">
        <v>#N/A</v>
      </c>
      <c r="D432" s="1393" t="e">
        <v>#N/A</v>
      </c>
      <c r="E432" s="1393" t="e">
        <v>#N/A</v>
      </c>
      <c r="F432" s="1393" t="e">
        <f t="shared" si="0"/>
        <v>#N/A</v>
      </c>
      <c r="K432" s="1473">
        <v>42489</v>
      </c>
      <c r="L432" s="1474" t="s">
        <v>2123</v>
      </c>
      <c r="M432" s="1475">
        <v>5.2531000000000001E-2</v>
      </c>
      <c r="N432" s="1476">
        <v>1.1614035838461521</v>
      </c>
      <c r="O432" s="1476">
        <v>1.1614035838461521</v>
      </c>
    </row>
    <row r="433" spans="2:15">
      <c r="B433" s="1392">
        <v>45597</v>
      </c>
      <c r="C433" s="1393" t="e">
        <v>#N/A</v>
      </c>
      <c r="D433" s="1393" t="e">
        <v>#N/A</v>
      </c>
      <c r="E433" s="1393" t="e">
        <v>#N/A</v>
      </c>
      <c r="F433" s="1393" t="e">
        <f t="shared" si="0"/>
        <v>#N/A</v>
      </c>
      <c r="K433" s="1473">
        <v>42490</v>
      </c>
      <c r="L433" s="1474"/>
      <c r="M433" s="1475">
        <v>0</v>
      </c>
      <c r="N433" s="1476">
        <v>1.1614035838461521</v>
      </c>
      <c r="O433" s="1476">
        <v>1.1614035838461521</v>
      </c>
    </row>
    <row r="434" spans="2:15">
      <c r="B434" s="1392">
        <v>45627</v>
      </c>
      <c r="C434" s="1393" t="e">
        <v>#N/A</v>
      </c>
      <c r="D434" s="1393" t="e">
        <v>#N/A</v>
      </c>
      <c r="E434" s="1393" t="e">
        <v>#N/A</v>
      </c>
      <c r="F434" s="1393" t="e">
        <f t="shared" si="0"/>
        <v>#N/A</v>
      </c>
      <c r="K434" s="1473">
        <v>42491</v>
      </c>
      <c r="L434" s="1474"/>
      <c r="M434" s="1475">
        <v>0</v>
      </c>
      <c r="N434" s="1476">
        <v>1.1614035838461521</v>
      </c>
      <c r="O434" s="1476">
        <v>1.1614035838461521</v>
      </c>
    </row>
    <row r="435" spans="2:15">
      <c r="B435" s="1392">
        <v>45658</v>
      </c>
      <c r="C435" s="1393" t="e">
        <v>#N/A</v>
      </c>
      <c r="D435" s="1393" t="e">
        <v>#N/A</v>
      </c>
      <c r="E435" s="1393" t="e">
        <v>#N/A</v>
      </c>
      <c r="F435" s="1393" t="e">
        <f t="shared" si="0"/>
        <v>#N/A</v>
      </c>
      <c r="K435" s="1473">
        <v>42492</v>
      </c>
      <c r="L435" s="1474" t="s">
        <v>2123</v>
      </c>
      <c r="M435" s="1475">
        <v>5.2531000000000001E-2</v>
      </c>
      <c r="N435" s="1476">
        <v>1.1620136807627823</v>
      </c>
      <c r="O435" s="1476">
        <v>1.1620136807627823</v>
      </c>
    </row>
    <row r="436" spans="2:15">
      <c r="B436" s="1392">
        <v>45689</v>
      </c>
      <c r="C436" s="1393" t="e">
        <v>#N/A</v>
      </c>
      <c r="D436" s="1393" t="e">
        <v>#N/A</v>
      </c>
      <c r="E436" s="1393" t="e">
        <v>#N/A</v>
      </c>
      <c r="F436" s="1393" t="e">
        <f t="shared" si="0"/>
        <v>#N/A</v>
      </c>
      <c r="K436" s="1473">
        <v>42493</v>
      </c>
      <c r="L436" s="1474" t="s">
        <v>2123</v>
      </c>
      <c r="M436" s="1475">
        <v>5.2531000000000001E-2</v>
      </c>
      <c r="N436" s="1476">
        <v>1.1626240981694238</v>
      </c>
      <c r="O436" s="1476">
        <v>1.1626240981694238</v>
      </c>
    </row>
    <row r="437" spans="2:15">
      <c r="B437" s="1392">
        <v>45717</v>
      </c>
      <c r="C437" s="1393" t="e">
        <v>#N/A</v>
      </c>
      <c r="D437" s="1393" t="e">
        <v>#N/A</v>
      </c>
      <c r="E437" s="1393" t="e">
        <v>#N/A</v>
      </c>
      <c r="F437" s="1393" t="e">
        <f t="shared" si="0"/>
        <v>#N/A</v>
      </c>
      <c r="K437" s="1473">
        <v>42494</v>
      </c>
      <c r="L437" s="1474" t="s">
        <v>2123</v>
      </c>
      <c r="M437" s="1475">
        <v>5.2531000000000001E-2</v>
      </c>
      <c r="N437" s="1476">
        <v>1.1632348362344331</v>
      </c>
      <c r="O437" s="1476">
        <v>1.1632348362344331</v>
      </c>
    </row>
    <row r="438" spans="2:15">
      <c r="B438" s="1392">
        <v>45748</v>
      </c>
      <c r="C438" s="1393" t="e">
        <v>#N/A</v>
      </c>
      <c r="D438" s="1393" t="e">
        <v>#N/A</v>
      </c>
      <c r="E438" s="1393" t="e">
        <v>#N/A</v>
      </c>
      <c r="F438" s="1393" t="e">
        <f t="shared" si="0"/>
        <v>#N/A</v>
      </c>
      <c r="K438" s="1473">
        <v>42495</v>
      </c>
      <c r="L438" s="1474" t="s">
        <v>2123</v>
      </c>
      <c r="M438" s="1475">
        <v>5.2531000000000001E-2</v>
      </c>
      <c r="N438" s="1476">
        <v>1.1638458951262554</v>
      </c>
      <c r="O438" s="1476">
        <v>1.1638458951262554</v>
      </c>
    </row>
    <row r="439" spans="2:15">
      <c r="B439" s="1392">
        <v>45778</v>
      </c>
      <c r="C439" s="1393" t="e">
        <v>#N/A</v>
      </c>
      <c r="D439" s="1393" t="e">
        <v>#N/A</v>
      </c>
      <c r="E439" s="1393" t="e">
        <v>#N/A</v>
      </c>
      <c r="F439" s="1393" t="e">
        <f t="shared" si="0"/>
        <v>#N/A</v>
      </c>
      <c r="K439" s="1473">
        <v>42496</v>
      </c>
      <c r="L439" s="1474" t="s">
        <v>2123</v>
      </c>
      <c r="M439" s="1475">
        <v>5.2531000000000001E-2</v>
      </c>
      <c r="N439" s="1476">
        <v>1.1644572750134241</v>
      </c>
      <c r="O439" s="1476">
        <v>1.1644572750134241</v>
      </c>
    </row>
    <row r="440" spans="2:15">
      <c r="B440" s="1392">
        <v>45809</v>
      </c>
      <c r="C440" s="1393" t="e">
        <v>#N/A</v>
      </c>
      <c r="D440" s="1393" t="e">
        <v>#N/A</v>
      </c>
      <c r="E440" s="1393" t="e">
        <v>#N/A</v>
      </c>
      <c r="F440" s="1393" t="e">
        <f t="shared" si="0"/>
        <v>#N/A</v>
      </c>
      <c r="K440" s="1473">
        <v>42497</v>
      </c>
      <c r="L440" s="1474"/>
      <c r="M440" s="1475">
        <v>0</v>
      </c>
      <c r="N440" s="1476">
        <v>1.1644572750134241</v>
      </c>
      <c r="O440" s="1476">
        <v>1.1644572750134241</v>
      </c>
    </row>
    <row r="441" spans="2:15">
      <c r="B441" s="1392">
        <v>45839</v>
      </c>
      <c r="C441" s="1393" t="e">
        <v>#N/A</v>
      </c>
      <c r="D441" s="1393" t="e">
        <v>#N/A</v>
      </c>
      <c r="E441" s="1393" t="e">
        <v>#N/A</v>
      </c>
      <c r="F441" s="1393" t="e">
        <f t="shared" si="0"/>
        <v>#N/A</v>
      </c>
      <c r="K441" s="1473">
        <v>42498</v>
      </c>
      <c r="L441" s="1474"/>
      <c r="M441" s="1475">
        <v>0</v>
      </c>
      <c r="N441" s="1476">
        <v>1.1644572750134241</v>
      </c>
      <c r="O441" s="1476">
        <v>1.1644572750134241</v>
      </c>
    </row>
    <row r="442" spans="2:15">
      <c r="B442" s="1392">
        <v>45870</v>
      </c>
      <c r="C442" s="1393" t="e">
        <v>#N/A</v>
      </c>
      <c r="D442" s="1393" t="e">
        <v>#N/A</v>
      </c>
      <c r="E442" s="1393" t="e">
        <v>#N/A</v>
      </c>
      <c r="F442" s="1393" t="e">
        <f t="shared" si="0"/>
        <v>#N/A</v>
      </c>
      <c r="K442" s="1473">
        <v>42499</v>
      </c>
      <c r="L442" s="1474" t="s">
        <v>2123</v>
      </c>
      <c r="M442" s="1475">
        <v>5.2531000000000001E-2</v>
      </c>
      <c r="N442" s="1476">
        <v>1.1650689760645614</v>
      </c>
      <c r="O442" s="1476">
        <v>1.1650689760645614</v>
      </c>
    </row>
    <row r="443" spans="2:15">
      <c r="B443" s="1392">
        <v>45901</v>
      </c>
      <c r="C443" s="1393" t="e">
        <v>#N/A</v>
      </c>
      <c r="D443" s="1393" t="e">
        <v>#N/A</v>
      </c>
      <c r="E443" s="1393" t="e">
        <v>#N/A</v>
      </c>
      <c r="F443" s="1393" t="e">
        <f t="shared" si="0"/>
        <v>#N/A</v>
      </c>
      <c r="K443" s="1473">
        <v>42500</v>
      </c>
      <c r="L443" s="1474" t="s">
        <v>2123</v>
      </c>
      <c r="M443" s="1475">
        <v>5.2531000000000001E-2</v>
      </c>
      <c r="N443" s="1476">
        <v>1.1656809984483778</v>
      </c>
      <c r="O443" s="1476">
        <v>1.1656809984483778</v>
      </c>
    </row>
    <row r="444" spans="2:15">
      <c r="B444" s="1392">
        <v>45931</v>
      </c>
      <c r="C444" s="1393" t="e">
        <v>#N/A</v>
      </c>
      <c r="D444" s="1393" t="e">
        <v>#N/A</v>
      </c>
      <c r="E444" s="1393" t="e">
        <v>#N/A</v>
      </c>
      <c r="F444" s="1393" t="e">
        <f t="shared" si="0"/>
        <v>#N/A</v>
      </c>
      <c r="K444" s="1473">
        <v>42501</v>
      </c>
      <c r="L444" s="1474" t="s">
        <v>2123</v>
      </c>
      <c r="M444" s="1475">
        <v>5.2531000000000001E-2</v>
      </c>
      <c r="N444" s="1476">
        <v>1.1662933423336728</v>
      </c>
      <c r="O444" s="1476">
        <v>1.1662933423336728</v>
      </c>
    </row>
    <row r="445" spans="2:15">
      <c r="B445" s="1392">
        <v>45962</v>
      </c>
      <c r="C445" s="1393" t="e">
        <v>#N/A</v>
      </c>
      <c r="D445" s="1393" t="e">
        <v>#N/A</v>
      </c>
      <c r="E445" s="1393" t="e">
        <v>#N/A</v>
      </c>
      <c r="F445" s="1393" t="e">
        <f t="shared" si="0"/>
        <v>#N/A</v>
      </c>
      <c r="K445" s="1473">
        <v>42502</v>
      </c>
      <c r="L445" s="1474" t="s">
        <v>2123</v>
      </c>
      <c r="M445" s="1475">
        <v>5.2531000000000001E-2</v>
      </c>
      <c r="N445" s="1476">
        <v>1.1669060078893341</v>
      </c>
      <c r="O445" s="1476">
        <v>1.1669060078893341</v>
      </c>
    </row>
    <row r="446" spans="2:15">
      <c r="B446" s="1392">
        <v>45992</v>
      </c>
      <c r="C446" s="1393" t="e">
        <v>#N/A</v>
      </c>
      <c r="D446" s="1393" t="e">
        <v>#N/A</v>
      </c>
      <c r="E446" s="1393" t="e">
        <v>#N/A</v>
      </c>
      <c r="F446" s="1393" t="e">
        <f t="shared" si="0"/>
        <v>#N/A</v>
      </c>
      <c r="K446" s="1473">
        <v>42503</v>
      </c>
      <c r="L446" s="1474" t="s">
        <v>2123</v>
      </c>
      <c r="M446" s="1475">
        <v>5.2531000000000001E-2</v>
      </c>
      <c r="N446" s="1476">
        <v>1.1675189952843383</v>
      </c>
      <c r="O446" s="1476">
        <v>1.1675189952843383</v>
      </c>
    </row>
    <row r="447" spans="2:15">
      <c r="B447" s="1392">
        <v>46023</v>
      </c>
      <c r="C447" s="1393" t="e">
        <v>#N/A</v>
      </c>
      <c r="D447" s="1393" t="e">
        <v>#N/A</v>
      </c>
      <c r="E447" s="1393" t="e">
        <v>#N/A</v>
      </c>
      <c r="F447" s="1393" t="e">
        <f t="shared" si="0"/>
        <v>#N/A</v>
      </c>
      <c r="K447" s="1473">
        <v>42504</v>
      </c>
      <c r="L447" s="1474"/>
      <c r="M447" s="1475">
        <v>0</v>
      </c>
      <c r="N447" s="1476">
        <v>1.1675189952843383</v>
      </c>
      <c r="O447" s="1476">
        <v>1.1675189952843383</v>
      </c>
    </row>
    <row r="448" spans="2:15">
      <c r="B448" s="1392">
        <v>46054</v>
      </c>
      <c r="C448" s="1393" t="e">
        <v>#N/A</v>
      </c>
      <c r="D448" s="1393" t="e">
        <v>#N/A</v>
      </c>
      <c r="E448" s="1393" t="e">
        <v>#N/A</v>
      </c>
      <c r="F448" s="1393" t="e">
        <f t="shared" si="0"/>
        <v>#N/A</v>
      </c>
      <c r="K448" s="1473">
        <v>42505</v>
      </c>
      <c r="L448" s="1474"/>
      <c r="M448" s="1475">
        <v>0</v>
      </c>
      <c r="N448" s="1476">
        <v>1.1675189952843383</v>
      </c>
      <c r="O448" s="1476">
        <v>1.1675189952843383</v>
      </c>
    </row>
    <row r="449" spans="2:15">
      <c r="B449" s="1392">
        <v>46082</v>
      </c>
      <c r="C449" s="1393" t="e">
        <v>#N/A</v>
      </c>
      <c r="D449" s="1393" t="e">
        <v>#N/A</v>
      </c>
      <c r="E449" s="1393" t="e">
        <v>#N/A</v>
      </c>
      <c r="F449" s="1393" t="e">
        <f t="shared" si="0"/>
        <v>#N/A</v>
      </c>
      <c r="K449" s="1473">
        <v>42506</v>
      </c>
      <c r="L449" s="1474" t="s">
        <v>2123</v>
      </c>
      <c r="M449" s="1475">
        <v>5.2531000000000001E-2</v>
      </c>
      <c r="N449" s="1476">
        <v>1.1681323046877512</v>
      </c>
      <c r="O449" s="1476">
        <v>1.1681323046877512</v>
      </c>
    </row>
    <row r="450" spans="2:15">
      <c r="B450" s="1392">
        <v>46113</v>
      </c>
      <c r="C450" s="1393" t="e">
        <v>#N/A</v>
      </c>
      <c r="D450" s="1393" t="e">
        <v>#N/A</v>
      </c>
      <c r="E450" s="1393" t="e">
        <v>#N/A</v>
      </c>
      <c r="F450" s="1393" t="e">
        <f t="shared" si="0"/>
        <v>#N/A</v>
      </c>
      <c r="K450" s="1473">
        <v>42507</v>
      </c>
      <c r="L450" s="1474" t="s">
        <v>2123</v>
      </c>
      <c r="M450" s="1475">
        <v>5.2531000000000001E-2</v>
      </c>
      <c r="N450" s="1476">
        <v>1.1687459362687267</v>
      </c>
      <c r="O450" s="1476">
        <v>1.1687459362687267</v>
      </c>
    </row>
    <row r="451" spans="2:15">
      <c r="B451" s="1392">
        <v>46143</v>
      </c>
      <c r="C451" s="1393" t="e">
        <v>#N/A</v>
      </c>
      <c r="D451" s="1393" t="e">
        <v>#N/A</v>
      </c>
      <c r="E451" s="1393" t="e">
        <v>#N/A</v>
      </c>
      <c r="F451" s="1393" t="e">
        <f t="shared" si="0"/>
        <v>#N/A</v>
      </c>
      <c r="K451" s="1473">
        <v>42508</v>
      </c>
      <c r="L451" s="1474" t="s">
        <v>2123</v>
      </c>
      <c r="M451" s="1475">
        <v>5.2531000000000001E-2</v>
      </c>
      <c r="N451" s="1476">
        <v>1.1693598901965081</v>
      </c>
      <c r="O451" s="1476">
        <v>1.1693598901965081</v>
      </c>
    </row>
    <row r="452" spans="2:15">
      <c r="B452" s="1392">
        <v>46174</v>
      </c>
      <c r="C452" s="1393" t="e">
        <v>#N/A</v>
      </c>
      <c r="D452" s="1393" t="e">
        <v>#N/A</v>
      </c>
      <c r="E452" s="1393" t="e">
        <v>#N/A</v>
      </c>
      <c r="F452" s="1393" t="e">
        <f t="shared" si="0"/>
        <v>#N/A</v>
      </c>
      <c r="K452" s="1473">
        <v>42509</v>
      </c>
      <c r="L452" s="1474" t="s">
        <v>2123</v>
      </c>
      <c r="M452" s="1475">
        <v>5.2531000000000001E-2</v>
      </c>
      <c r="N452" s="1476">
        <v>1.1699741666404273</v>
      </c>
      <c r="O452" s="1476">
        <v>1.1699741666404273</v>
      </c>
    </row>
    <row r="453" spans="2:15">
      <c r="B453" s="1392">
        <v>46204</v>
      </c>
      <c r="C453" s="1393" t="e">
        <v>#N/A</v>
      </c>
      <c r="D453" s="1393" t="e">
        <v>#N/A</v>
      </c>
      <c r="E453" s="1393" t="e">
        <v>#N/A</v>
      </c>
      <c r="F453" s="1393" t="e">
        <f t="shared" si="0"/>
        <v>#N/A</v>
      </c>
      <c r="K453" s="1473">
        <v>42510</v>
      </c>
      <c r="L453" s="1474" t="s">
        <v>2123</v>
      </c>
      <c r="M453" s="1475">
        <v>5.2531000000000001E-2</v>
      </c>
      <c r="N453" s="1476">
        <v>1.1705887657699052</v>
      </c>
      <c r="O453" s="1476">
        <v>1.1705887657699052</v>
      </c>
    </row>
    <row r="454" spans="2:15">
      <c r="B454" s="1392">
        <v>46235</v>
      </c>
      <c r="C454" s="1393" t="e">
        <v>#N/A</v>
      </c>
      <c r="D454" s="1393" t="e">
        <v>#N/A</v>
      </c>
      <c r="E454" s="1393" t="e">
        <v>#N/A</v>
      </c>
      <c r="F454" s="1393" t="e">
        <f t="shared" si="0"/>
        <v>#N/A</v>
      </c>
      <c r="K454" s="1473">
        <v>42511</v>
      </c>
      <c r="L454" s="1474"/>
      <c r="M454" s="1475">
        <v>0</v>
      </c>
      <c r="N454" s="1476">
        <v>1.1705887657699052</v>
      </c>
      <c r="O454" s="1476">
        <v>1.1705887657699052</v>
      </c>
    </row>
    <row r="455" spans="2:15">
      <c r="B455" s="1392">
        <v>46266</v>
      </c>
      <c r="C455" s="1393" t="e">
        <v>#N/A</v>
      </c>
      <c r="D455" s="1393" t="e">
        <v>#N/A</v>
      </c>
      <c r="E455" s="1393" t="e">
        <v>#N/A</v>
      </c>
      <c r="F455" s="1393" t="e">
        <f t="shared" si="0"/>
        <v>#N/A</v>
      </c>
      <c r="K455" s="1473">
        <v>42512</v>
      </c>
      <c r="L455" s="1474"/>
      <c r="M455" s="1475">
        <v>0</v>
      </c>
      <c r="N455" s="1476">
        <v>1.1705887657699052</v>
      </c>
      <c r="O455" s="1476">
        <v>1.1705887657699052</v>
      </c>
    </row>
    <row r="456" spans="2:15">
      <c r="B456" s="1392">
        <v>46296</v>
      </c>
      <c r="C456" s="1393" t="e">
        <v>#N/A</v>
      </c>
      <c r="D456" s="1393" t="e">
        <v>#N/A</v>
      </c>
      <c r="E456" s="1393" t="e">
        <v>#N/A</v>
      </c>
      <c r="F456" s="1393" t="e">
        <f t="shared" si="0"/>
        <v>#N/A</v>
      </c>
      <c r="K456" s="1473">
        <v>42513</v>
      </c>
      <c r="L456" s="1474" t="s">
        <v>2123</v>
      </c>
      <c r="M456" s="1475">
        <v>5.2531000000000001E-2</v>
      </c>
      <c r="N456" s="1476">
        <v>1.1712036877544518</v>
      </c>
      <c r="O456" s="1476">
        <v>1.1712036877544518</v>
      </c>
    </row>
    <row r="457" spans="2:15">
      <c r="B457" s="1392">
        <v>46327</v>
      </c>
      <c r="C457" s="1393" t="e">
        <v>#N/A</v>
      </c>
      <c r="D457" s="1393" t="e">
        <v>#N/A</v>
      </c>
      <c r="E457" s="1393" t="e">
        <v>#N/A</v>
      </c>
      <c r="F457" s="1393" t="e">
        <f t="shared" si="0"/>
        <v>#N/A</v>
      </c>
      <c r="K457" s="1473">
        <v>42514</v>
      </c>
      <c r="L457" s="1474" t="s">
        <v>2123</v>
      </c>
      <c r="M457" s="1475">
        <v>5.2531000000000001E-2</v>
      </c>
      <c r="N457" s="1476">
        <v>1.1718189327636661</v>
      </c>
      <c r="O457" s="1476">
        <v>1.1718189327636661</v>
      </c>
    </row>
    <row r="458" spans="2:15">
      <c r="B458" s="1392">
        <v>46357</v>
      </c>
      <c r="C458" s="1393" t="e">
        <v>#N/A</v>
      </c>
      <c r="D458" s="1393" t="e">
        <v>#N/A</v>
      </c>
      <c r="E458" s="1393" t="e">
        <v>#N/A</v>
      </c>
      <c r="F458" s="1393" t="e">
        <f t="shared" si="0"/>
        <v>#N/A</v>
      </c>
      <c r="K458" s="1473">
        <v>42515</v>
      </c>
      <c r="L458" s="1474" t="s">
        <v>2123</v>
      </c>
      <c r="M458" s="1475">
        <v>5.2531000000000001E-2</v>
      </c>
      <c r="N458" s="1476">
        <v>1.1724345009672361</v>
      </c>
      <c r="O458" s="1476">
        <v>1.1724345009672361</v>
      </c>
    </row>
    <row r="459" spans="2:15">
      <c r="B459" s="1392">
        <v>46388</v>
      </c>
      <c r="C459" s="1393" t="e">
        <v>#N/A</v>
      </c>
      <c r="D459" s="1393" t="e">
        <v>#N/A</v>
      </c>
      <c r="E459" s="1393" t="e">
        <v>#N/A</v>
      </c>
      <c r="F459" s="1393" t="e">
        <f t="shared" si="0"/>
        <v>#N/A</v>
      </c>
      <c r="K459" s="1473">
        <v>42516</v>
      </c>
      <c r="L459" s="1474"/>
      <c r="M459" s="1475">
        <v>0</v>
      </c>
      <c r="N459" s="1476">
        <v>1.1724345009672361</v>
      </c>
      <c r="O459" s="1476">
        <v>1.1724345009672361</v>
      </c>
    </row>
    <row r="460" spans="2:15">
      <c r="B460" s="1392">
        <v>46419</v>
      </c>
      <c r="C460" s="1393" t="e">
        <v>#N/A</v>
      </c>
      <c r="D460" s="1393" t="e">
        <v>#N/A</v>
      </c>
      <c r="E460" s="1393" t="e">
        <v>#N/A</v>
      </c>
      <c r="F460" s="1393" t="e">
        <f t="shared" si="0"/>
        <v>#N/A</v>
      </c>
      <c r="K460" s="1473">
        <v>42517</v>
      </c>
      <c r="L460" s="1474" t="s">
        <v>2123</v>
      </c>
      <c r="M460" s="1475">
        <v>5.2531000000000001E-2</v>
      </c>
      <c r="N460" s="1476">
        <v>1.1730503925349391</v>
      </c>
      <c r="O460" s="1476">
        <v>1.1730503925349391</v>
      </c>
    </row>
    <row r="461" spans="2:15">
      <c r="B461" s="1392">
        <v>46447</v>
      </c>
      <c r="C461" s="1393" t="e">
        <v>#N/A</v>
      </c>
      <c r="D461" s="1393" t="e">
        <v>#N/A</v>
      </c>
      <c r="E461" s="1393" t="e">
        <v>#N/A</v>
      </c>
      <c r="F461" s="1393" t="e">
        <f t="shared" si="0"/>
        <v>#N/A</v>
      </c>
      <c r="K461" s="1473">
        <v>42518</v>
      </c>
      <c r="L461" s="1474"/>
      <c r="M461" s="1475">
        <v>0</v>
      </c>
      <c r="N461" s="1476">
        <v>1.1730503925349391</v>
      </c>
      <c r="O461" s="1476">
        <v>1.1730503925349391</v>
      </c>
    </row>
    <row r="462" spans="2:15">
      <c r="B462" s="1392">
        <v>46478</v>
      </c>
      <c r="C462" s="1393" t="e">
        <v>#N/A</v>
      </c>
      <c r="D462" s="1393" t="e">
        <v>#N/A</v>
      </c>
      <c r="E462" s="1393" t="e">
        <v>#N/A</v>
      </c>
      <c r="F462" s="1393" t="e">
        <f t="shared" si="0"/>
        <v>#N/A</v>
      </c>
      <c r="K462" s="1473">
        <v>42519</v>
      </c>
      <c r="L462" s="1474"/>
      <c r="M462" s="1475">
        <v>0</v>
      </c>
      <c r="N462" s="1476">
        <v>1.1730503925349391</v>
      </c>
      <c r="O462" s="1476">
        <v>1.1730503925349391</v>
      </c>
    </row>
    <row r="463" spans="2:15">
      <c r="B463" s="1392">
        <v>46508</v>
      </c>
      <c r="C463" s="1393" t="e">
        <v>#N/A</v>
      </c>
      <c r="D463" s="1393" t="e">
        <v>#N/A</v>
      </c>
      <c r="E463" s="1393" t="e">
        <v>#N/A</v>
      </c>
      <c r="F463" s="1393" t="e">
        <f t="shared" si="0"/>
        <v>#N/A</v>
      </c>
      <c r="K463" s="1473">
        <v>42520</v>
      </c>
      <c r="L463" s="1474" t="s">
        <v>2123</v>
      </c>
      <c r="M463" s="1475">
        <v>5.2531000000000001E-2</v>
      </c>
      <c r="N463" s="1476">
        <v>1.1736666076366418</v>
      </c>
      <c r="O463" s="1476">
        <v>1.1736666076366418</v>
      </c>
    </row>
    <row r="464" spans="2:15">
      <c r="B464" s="1392">
        <v>46539</v>
      </c>
      <c r="C464" s="1393" t="e">
        <v>#N/A</v>
      </c>
      <c r="D464" s="1393" t="e">
        <v>#N/A</v>
      </c>
      <c r="E464" s="1393" t="e">
        <v>#N/A</v>
      </c>
      <c r="F464" s="1393" t="e">
        <f t="shared" si="0"/>
        <v>#N/A</v>
      </c>
      <c r="K464" s="1473">
        <v>42521</v>
      </c>
      <c r="L464" s="1474" t="s">
        <v>2123</v>
      </c>
      <c r="M464" s="1475">
        <v>5.2531000000000001E-2</v>
      </c>
      <c r="N464" s="1476">
        <v>1.1742831464422994</v>
      </c>
      <c r="O464" s="1476">
        <v>1.1742831464422994</v>
      </c>
    </row>
    <row r="465" spans="2:15">
      <c r="B465" s="1392">
        <v>46569</v>
      </c>
      <c r="C465" s="1393" t="e">
        <v>#N/A</v>
      </c>
      <c r="D465" s="1393" t="e">
        <v>#N/A</v>
      </c>
      <c r="E465" s="1393" t="e">
        <v>#N/A</v>
      </c>
      <c r="F465" s="1393" t="e">
        <f t="shared" si="0"/>
        <v>#N/A</v>
      </c>
      <c r="K465" s="1473">
        <v>42522</v>
      </c>
      <c r="L465" s="1474" t="s">
        <v>2123</v>
      </c>
      <c r="M465" s="1475">
        <v>5.2531000000000001E-2</v>
      </c>
      <c r="N465" s="1476">
        <v>1.174900009121957</v>
      </c>
      <c r="O465" s="1476">
        <v>1.174900009121957</v>
      </c>
    </row>
    <row r="466" spans="2:15">
      <c r="B466" s="1392">
        <v>46600</v>
      </c>
      <c r="C466" s="1393" t="e">
        <v>#N/A</v>
      </c>
      <c r="D466" s="1393" t="e">
        <v>#N/A</v>
      </c>
      <c r="E466" s="1393" t="e">
        <v>#N/A</v>
      </c>
      <c r="F466" s="1393" t="e">
        <f t="shared" si="0"/>
        <v>#N/A</v>
      </c>
      <c r="K466" s="1473">
        <v>42523</v>
      </c>
      <c r="L466" s="1474" t="s">
        <v>2123</v>
      </c>
      <c r="M466" s="1475">
        <v>5.2531000000000001E-2</v>
      </c>
      <c r="N466" s="1476">
        <v>1.1755171958457489</v>
      </c>
      <c r="O466" s="1476">
        <v>1.1755171958457489</v>
      </c>
    </row>
    <row r="467" spans="2:15">
      <c r="B467" s="1392">
        <v>46631</v>
      </c>
      <c r="C467" s="1393" t="e">
        <v>#N/A</v>
      </c>
      <c r="D467" s="1393" t="e">
        <v>#N/A</v>
      </c>
      <c r="E467" s="1393" t="e">
        <v>#N/A</v>
      </c>
      <c r="F467" s="1393" t="e">
        <f t="shared" si="0"/>
        <v>#N/A</v>
      </c>
      <c r="K467" s="1473">
        <v>42524</v>
      </c>
      <c r="L467" s="1474" t="s">
        <v>2123</v>
      </c>
      <c r="M467" s="1475">
        <v>5.2531000000000001E-2</v>
      </c>
      <c r="N467" s="1476">
        <v>1.1761347067838985</v>
      </c>
      <c r="O467" s="1476">
        <v>1.1761347067838985</v>
      </c>
    </row>
    <row r="468" spans="2:15">
      <c r="B468" s="1392">
        <v>46661</v>
      </c>
      <c r="C468" s="1393" t="e">
        <v>#N/A</v>
      </c>
      <c r="D468" s="1393" t="e">
        <v>#N/A</v>
      </c>
      <c r="E468" s="1393" t="e">
        <v>#N/A</v>
      </c>
      <c r="F468" s="1393" t="e">
        <f t="shared" si="0"/>
        <v>#N/A</v>
      </c>
      <c r="K468" s="1473">
        <v>42525</v>
      </c>
      <c r="L468" s="1474"/>
      <c r="M468" s="1475">
        <v>0</v>
      </c>
      <c r="N468" s="1476">
        <v>1.1761347067838985</v>
      </c>
      <c r="O468" s="1476">
        <v>1.1761347067838985</v>
      </c>
    </row>
    <row r="469" spans="2:15">
      <c r="B469" s="1392">
        <v>46692</v>
      </c>
      <c r="C469" s="1393" t="e">
        <v>#N/A</v>
      </c>
      <c r="D469" s="1393" t="e">
        <v>#N/A</v>
      </c>
      <c r="E469" s="1393" t="e">
        <v>#N/A</v>
      </c>
      <c r="F469" s="1393" t="e">
        <f t="shared" si="0"/>
        <v>#N/A</v>
      </c>
      <c r="K469" s="1473">
        <v>42526</v>
      </c>
      <c r="L469" s="1474"/>
      <c r="M469" s="1475">
        <v>0</v>
      </c>
      <c r="N469" s="1476">
        <v>1.1761347067838985</v>
      </c>
      <c r="O469" s="1476">
        <v>1.1761347067838985</v>
      </c>
    </row>
    <row r="470" spans="2:15">
      <c r="B470" s="1392">
        <v>46722</v>
      </c>
      <c r="C470" s="1393" t="e">
        <v>#N/A</v>
      </c>
      <c r="D470" s="1393" t="e">
        <v>#N/A</v>
      </c>
      <c r="E470" s="1393" t="e">
        <v>#N/A</v>
      </c>
      <c r="F470" s="1393" t="e">
        <f t="shared" si="0"/>
        <v>#N/A</v>
      </c>
      <c r="K470" s="1473">
        <v>42527</v>
      </c>
      <c r="L470" s="1474" t="s">
        <v>2123</v>
      </c>
      <c r="M470" s="1475">
        <v>5.2531000000000001E-2</v>
      </c>
      <c r="N470" s="1476">
        <v>1.1767525421067191</v>
      </c>
      <c r="O470" s="1476">
        <v>1.1767525421067191</v>
      </c>
    </row>
    <row r="471" spans="2:15">
      <c r="B471" s="1392">
        <v>46753</v>
      </c>
      <c r="C471" s="1393" t="e">
        <v>#N/A</v>
      </c>
      <c r="D471" s="1393" t="e">
        <v>#N/A</v>
      </c>
      <c r="E471" s="1393" t="e">
        <v>#N/A</v>
      </c>
      <c r="F471" s="1393" t="e">
        <f t="shared" si="0"/>
        <v>#N/A</v>
      </c>
      <c r="K471" s="1473">
        <v>42528</v>
      </c>
      <c r="L471" s="1474" t="s">
        <v>2123</v>
      </c>
      <c r="M471" s="1475">
        <v>5.2531000000000001E-2</v>
      </c>
      <c r="N471" s="1476">
        <v>1.1773707019846131</v>
      </c>
      <c r="O471" s="1476">
        <v>1.1773707019846131</v>
      </c>
    </row>
    <row r="472" spans="2:15">
      <c r="B472" s="1392">
        <v>46784</v>
      </c>
      <c r="C472" s="1393" t="e">
        <v>#N/A</v>
      </c>
      <c r="D472" s="1393" t="e">
        <v>#N/A</v>
      </c>
      <c r="E472" s="1393" t="e">
        <v>#N/A</v>
      </c>
      <c r="F472" s="1393" t="e">
        <f t="shared" si="0"/>
        <v>#N/A</v>
      </c>
      <c r="K472" s="1473">
        <v>42529</v>
      </c>
      <c r="L472" s="1474" t="s">
        <v>2123</v>
      </c>
      <c r="M472" s="1475">
        <v>5.2531000000000001E-2</v>
      </c>
      <c r="N472" s="1476">
        <v>1.1779891865880727</v>
      </c>
      <c r="O472" s="1476">
        <v>1.1779891865880727</v>
      </c>
    </row>
    <row r="473" spans="2:15">
      <c r="B473" s="1392">
        <v>46813</v>
      </c>
      <c r="C473" s="1393" t="e">
        <v>#N/A</v>
      </c>
      <c r="D473" s="1393" t="e">
        <v>#N/A</v>
      </c>
      <c r="E473" s="1393" t="e">
        <v>#N/A</v>
      </c>
      <c r="F473" s="1393" t="e">
        <f t="shared" si="0"/>
        <v>#N/A</v>
      </c>
      <c r="K473" s="1473">
        <v>42530</v>
      </c>
      <c r="L473" s="1474" t="s">
        <v>2123</v>
      </c>
      <c r="M473" s="1475">
        <v>5.2531000000000001E-2</v>
      </c>
      <c r="N473" s="1476">
        <v>1.1786079960876794</v>
      </c>
      <c r="O473" s="1476">
        <v>1.1786079960876794</v>
      </c>
    </row>
    <row r="474" spans="2:15">
      <c r="B474" s="1392">
        <v>46844</v>
      </c>
      <c r="C474" s="1393" t="e">
        <v>#N/A</v>
      </c>
      <c r="D474" s="1393" t="e">
        <v>#N/A</v>
      </c>
      <c r="E474" s="1393" t="e">
        <v>#N/A</v>
      </c>
      <c r="F474" s="1393" t="e">
        <f t="shared" si="0"/>
        <v>#N/A</v>
      </c>
      <c r="K474" s="1473">
        <v>42531</v>
      </c>
      <c r="L474" s="1474" t="s">
        <v>2123</v>
      </c>
      <c r="M474" s="1475">
        <v>5.2531000000000001E-2</v>
      </c>
      <c r="N474" s="1476">
        <v>1.1792271306541042</v>
      </c>
      <c r="O474" s="1476">
        <v>1.1792271306541042</v>
      </c>
    </row>
    <row r="475" spans="2:15">
      <c r="B475" s="1392">
        <v>46874</v>
      </c>
      <c r="C475" s="1393" t="e">
        <v>#N/A</v>
      </c>
      <c r="D475" s="1393" t="e">
        <v>#N/A</v>
      </c>
      <c r="E475" s="1393" t="e">
        <v>#N/A</v>
      </c>
      <c r="F475" s="1393" t="e">
        <f t="shared" si="0"/>
        <v>#N/A</v>
      </c>
      <c r="K475" s="1473">
        <v>42532</v>
      </c>
      <c r="L475" s="1474"/>
      <c r="M475" s="1475">
        <v>0</v>
      </c>
      <c r="N475" s="1476">
        <v>1.1792271306541042</v>
      </c>
      <c r="O475" s="1476">
        <v>1.1792271306541042</v>
      </c>
    </row>
    <row r="476" spans="2:15">
      <c r="B476" s="1392">
        <v>46905</v>
      </c>
      <c r="C476" s="1393" t="e">
        <v>#N/A</v>
      </c>
      <c r="D476" s="1393" t="e">
        <v>#N/A</v>
      </c>
      <c r="E476" s="1393" t="e">
        <v>#N/A</v>
      </c>
      <c r="F476" s="1393" t="e">
        <f t="shared" si="0"/>
        <v>#N/A</v>
      </c>
      <c r="K476" s="1473">
        <v>42533</v>
      </c>
      <c r="L476" s="1474"/>
      <c r="M476" s="1475">
        <v>0</v>
      </c>
      <c r="N476" s="1476">
        <v>1.1792271306541042</v>
      </c>
      <c r="O476" s="1476">
        <v>1.1792271306541042</v>
      </c>
    </row>
    <row r="477" spans="2:15">
      <c r="B477" s="1392">
        <v>46935</v>
      </c>
      <c r="C477" s="1393" t="e">
        <v>#N/A</v>
      </c>
      <c r="D477" s="1393" t="e">
        <v>#N/A</v>
      </c>
      <c r="E477" s="1393" t="e">
        <v>#N/A</v>
      </c>
      <c r="F477" s="1393" t="e">
        <f t="shared" si="0"/>
        <v>#N/A</v>
      </c>
      <c r="K477" s="1473">
        <v>42534</v>
      </c>
      <c r="L477" s="1474" t="s">
        <v>2123</v>
      </c>
      <c r="M477" s="1475">
        <v>5.2531000000000001E-2</v>
      </c>
      <c r="N477" s="1476">
        <v>1.1798465904581081</v>
      </c>
      <c r="O477" s="1476">
        <v>1.1798465904581081</v>
      </c>
    </row>
    <row r="478" spans="2:15">
      <c r="B478" s="1392">
        <v>46966</v>
      </c>
      <c r="C478" s="1393" t="e">
        <v>#N/A</v>
      </c>
      <c r="D478" s="1393" t="e">
        <v>#N/A</v>
      </c>
      <c r="E478" s="1393" t="e">
        <v>#N/A</v>
      </c>
      <c r="F478" s="1393" t="e">
        <f t="shared" si="0"/>
        <v>#N/A</v>
      </c>
      <c r="K478" s="1473">
        <v>42535</v>
      </c>
      <c r="L478" s="1474" t="s">
        <v>2123</v>
      </c>
      <c r="M478" s="1475">
        <v>5.2531000000000001E-2</v>
      </c>
      <c r="N478" s="1476">
        <v>1.1804663756705416</v>
      </c>
      <c r="O478" s="1476">
        <v>1.1804663756705416</v>
      </c>
    </row>
    <row r="479" spans="2:15">
      <c r="B479" s="1392">
        <v>46997</v>
      </c>
      <c r="C479" s="1393" t="e">
        <v>#N/A</v>
      </c>
      <c r="D479" s="1393" t="e">
        <v>#N/A</v>
      </c>
      <c r="E479" s="1393" t="e">
        <v>#N/A</v>
      </c>
      <c r="F479" s="1393" t="e">
        <f t="shared" si="0"/>
        <v>#N/A</v>
      </c>
      <c r="K479" s="1473">
        <v>42536</v>
      </c>
      <c r="L479" s="1474" t="s">
        <v>2123</v>
      </c>
      <c r="M479" s="1475">
        <v>5.2531000000000001E-2</v>
      </c>
      <c r="N479" s="1476">
        <v>1.1810864864623452</v>
      </c>
      <c r="O479" s="1476">
        <v>1.1810864864623452</v>
      </c>
    </row>
    <row r="480" spans="2:15">
      <c r="B480" s="1392">
        <v>47027</v>
      </c>
      <c r="C480" s="1393" t="e">
        <v>#N/A</v>
      </c>
      <c r="D480" s="1393" t="e">
        <v>#N/A</v>
      </c>
      <c r="E480" s="1393" t="e">
        <v>#N/A</v>
      </c>
      <c r="F480" s="1393" t="e">
        <f t="shared" si="0"/>
        <v>#N/A</v>
      </c>
      <c r="K480" s="1473">
        <v>42537</v>
      </c>
      <c r="L480" s="1474" t="s">
        <v>2123</v>
      </c>
      <c r="M480" s="1475">
        <v>5.2531000000000001E-2</v>
      </c>
      <c r="N480" s="1476">
        <v>1.1817069230045487</v>
      </c>
      <c r="O480" s="1476">
        <v>1.1817069230045487</v>
      </c>
    </row>
    <row r="481" spans="2:15">
      <c r="B481" s="1392">
        <v>47058</v>
      </c>
      <c r="C481" s="1393" t="e">
        <v>#N/A</v>
      </c>
      <c r="D481" s="1393" t="e">
        <v>#N/A</v>
      </c>
      <c r="E481" s="1393" t="e">
        <v>#N/A</v>
      </c>
      <c r="F481" s="1393" t="e">
        <f t="shared" si="0"/>
        <v>#N/A</v>
      </c>
      <c r="K481" s="1473">
        <v>42538</v>
      </c>
      <c r="L481" s="1474" t="s">
        <v>2123</v>
      </c>
      <c r="M481" s="1475">
        <v>5.2531000000000001E-2</v>
      </c>
      <c r="N481" s="1476">
        <v>1.1823276854682723</v>
      </c>
      <c r="O481" s="1476">
        <v>1.1823276854682723</v>
      </c>
    </row>
    <row r="482" spans="2:15">
      <c r="B482" s="1392">
        <v>47088</v>
      </c>
      <c r="C482" s="1393" t="e">
        <v>#N/A</v>
      </c>
      <c r="D482" s="1393" t="e">
        <v>#N/A</v>
      </c>
      <c r="E482" s="1393" t="e">
        <v>#N/A</v>
      </c>
      <c r="F482" s="1393" t="e">
        <f t="shared" si="0"/>
        <v>#N/A</v>
      </c>
      <c r="K482" s="1473">
        <v>42539</v>
      </c>
      <c r="L482" s="1474"/>
      <c r="M482" s="1475">
        <v>0</v>
      </c>
      <c r="N482" s="1476">
        <v>1.1823276854682723</v>
      </c>
      <c r="O482" s="1476">
        <v>1.1823276854682723</v>
      </c>
    </row>
    <row r="483" spans="2:15">
      <c r="B483" s="1392">
        <v>47119</v>
      </c>
      <c r="C483" s="1393" t="e">
        <v>#N/A</v>
      </c>
      <c r="D483" s="1393" t="e">
        <v>#N/A</v>
      </c>
      <c r="E483" s="1393" t="e">
        <v>#N/A</v>
      </c>
      <c r="F483" s="1393" t="e">
        <f t="shared" si="0"/>
        <v>#N/A</v>
      </c>
      <c r="K483" s="1473">
        <v>42540</v>
      </c>
      <c r="L483" s="1474"/>
      <c r="M483" s="1475">
        <v>0</v>
      </c>
      <c r="N483" s="1476">
        <v>1.1823276854682723</v>
      </c>
      <c r="O483" s="1476">
        <v>1.1823276854682723</v>
      </c>
    </row>
    <row r="484" spans="2:15">
      <c r="B484" s="1392">
        <v>47150</v>
      </c>
      <c r="C484" s="1393" t="e">
        <v>#N/A</v>
      </c>
      <c r="D484" s="1393" t="e">
        <v>#N/A</v>
      </c>
      <c r="E484" s="1393" t="e">
        <v>#N/A</v>
      </c>
      <c r="F484" s="1393" t="e">
        <f t="shared" ref="F484:F500" si="1">F483*E484</f>
        <v>#N/A</v>
      </c>
      <c r="K484" s="1473">
        <v>42541</v>
      </c>
      <c r="L484" s="1474" t="s">
        <v>2123</v>
      </c>
      <c r="M484" s="1475">
        <v>5.2531000000000001E-2</v>
      </c>
      <c r="N484" s="1476">
        <v>1.1829487740247255</v>
      </c>
      <c r="O484" s="1476">
        <v>1.1829487740247255</v>
      </c>
    </row>
    <row r="485" spans="2:15">
      <c r="B485" s="1392">
        <v>47178</v>
      </c>
      <c r="C485" s="1393" t="e">
        <v>#N/A</v>
      </c>
      <c r="D485" s="1393" t="e">
        <v>#N/A</v>
      </c>
      <c r="E485" s="1393" t="e">
        <v>#N/A</v>
      </c>
      <c r="F485" s="1393" t="e">
        <f t="shared" si="1"/>
        <v>#N/A</v>
      </c>
      <c r="K485" s="1473">
        <v>42542</v>
      </c>
      <c r="L485" s="1474" t="s">
        <v>2123</v>
      </c>
      <c r="M485" s="1475">
        <v>5.2531000000000001E-2</v>
      </c>
      <c r="N485" s="1476">
        <v>1.1835701888452084</v>
      </c>
      <c r="O485" s="1476">
        <v>1.1835701888452084</v>
      </c>
    </row>
    <row r="486" spans="2:15">
      <c r="B486" s="1392">
        <v>47209</v>
      </c>
      <c r="C486" s="1393" t="e">
        <v>#N/A</v>
      </c>
      <c r="D486" s="1393" t="e">
        <v>#N/A</v>
      </c>
      <c r="E486" s="1393" t="e">
        <v>#N/A</v>
      </c>
      <c r="F486" s="1393" t="e">
        <f t="shared" si="1"/>
        <v>#N/A</v>
      </c>
      <c r="K486" s="1473">
        <v>42543</v>
      </c>
      <c r="L486" s="1474" t="s">
        <v>2123</v>
      </c>
      <c r="M486" s="1475">
        <v>5.2531000000000001E-2</v>
      </c>
      <c r="N486" s="1476">
        <v>1.1841919301011106</v>
      </c>
      <c r="O486" s="1476">
        <v>1.1841919301011106</v>
      </c>
    </row>
    <row r="487" spans="2:15">
      <c r="B487" s="1392">
        <v>47239</v>
      </c>
      <c r="C487" s="1393" t="e">
        <v>#N/A</v>
      </c>
      <c r="D487" s="1393" t="e">
        <v>#N/A</v>
      </c>
      <c r="E487" s="1393" t="e">
        <v>#N/A</v>
      </c>
      <c r="F487" s="1393" t="e">
        <f t="shared" si="1"/>
        <v>#N/A</v>
      </c>
      <c r="K487" s="1473">
        <v>42544</v>
      </c>
      <c r="L487" s="1474" t="s">
        <v>2123</v>
      </c>
      <c r="M487" s="1475">
        <v>5.2531000000000001E-2</v>
      </c>
      <c r="N487" s="1476">
        <v>1.1848139979639121</v>
      </c>
      <c r="O487" s="1476">
        <v>1.1848139979639121</v>
      </c>
    </row>
    <row r="488" spans="2:15">
      <c r="B488" s="1392">
        <v>47270</v>
      </c>
      <c r="C488" s="1393" t="e">
        <v>#N/A</v>
      </c>
      <c r="D488" s="1393" t="e">
        <v>#N/A</v>
      </c>
      <c r="E488" s="1393" t="e">
        <v>#N/A</v>
      </c>
      <c r="F488" s="1393" t="e">
        <f t="shared" si="1"/>
        <v>#N/A</v>
      </c>
      <c r="K488" s="1473">
        <v>42545</v>
      </c>
      <c r="L488" s="1474" t="s">
        <v>2123</v>
      </c>
      <c r="M488" s="1475">
        <v>5.2531000000000001E-2</v>
      </c>
      <c r="N488" s="1476">
        <v>1.1854363926051825</v>
      </c>
      <c r="O488" s="1476">
        <v>1.1854363926051825</v>
      </c>
    </row>
    <row r="489" spans="2:15">
      <c r="B489" s="1392">
        <v>47300</v>
      </c>
      <c r="C489" s="1393" t="e">
        <v>#N/A</v>
      </c>
      <c r="D489" s="1393" t="e">
        <v>#N/A</v>
      </c>
      <c r="E489" s="1393" t="e">
        <v>#N/A</v>
      </c>
      <c r="F489" s="1393" t="e">
        <f t="shared" si="1"/>
        <v>#N/A</v>
      </c>
      <c r="K489" s="1473">
        <v>42546</v>
      </c>
      <c r="L489" s="1474"/>
      <c r="M489" s="1475">
        <v>0</v>
      </c>
      <c r="N489" s="1476">
        <v>1.1854363926051825</v>
      </c>
      <c r="O489" s="1476">
        <v>1.1854363926051825</v>
      </c>
    </row>
    <row r="490" spans="2:15">
      <c r="B490" s="1392">
        <v>47331</v>
      </c>
      <c r="C490" s="1393" t="e">
        <v>#N/A</v>
      </c>
      <c r="D490" s="1393" t="e">
        <v>#N/A</v>
      </c>
      <c r="E490" s="1393" t="e">
        <v>#N/A</v>
      </c>
      <c r="F490" s="1393" t="e">
        <f t="shared" si="1"/>
        <v>#N/A</v>
      </c>
      <c r="K490" s="1473">
        <v>42547</v>
      </c>
      <c r="L490" s="1474"/>
      <c r="M490" s="1475">
        <v>0</v>
      </c>
      <c r="N490" s="1476">
        <v>1.1854363926051825</v>
      </c>
      <c r="O490" s="1476">
        <v>1.1854363926051825</v>
      </c>
    </row>
    <row r="491" spans="2:15">
      <c r="B491" s="1392">
        <v>47362</v>
      </c>
      <c r="C491" s="1393" t="e">
        <v>#N/A</v>
      </c>
      <c r="D491" s="1393" t="e">
        <v>#N/A</v>
      </c>
      <c r="E491" s="1393" t="e">
        <v>#N/A</v>
      </c>
      <c r="F491" s="1393" t="e">
        <f t="shared" si="1"/>
        <v>#N/A</v>
      </c>
      <c r="K491" s="1473">
        <v>42548</v>
      </c>
      <c r="L491" s="1474" t="s">
        <v>2123</v>
      </c>
      <c r="M491" s="1475">
        <v>5.2531000000000001E-2</v>
      </c>
      <c r="N491" s="1476">
        <v>1.1860591141965819</v>
      </c>
      <c r="O491" s="1476">
        <v>1.1860591141965819</v>
      </c>
    </row>
    <row r="492" spans="2:15">
      <c r="B492" s="1392">
        <v>47392</v>
      </c>
      <c r="C492" s="1393" t="e">
        <v>#N/A</v>
      </c>
      <c r="D492" s="1393" t="e">
        <v>#N/A</v>
      </c>
      <c r="E492" s="1393" t="e">
        <v>#N/A</v>
      </c>
      <c r="F492" s="1393" t="e">
        <f t="shared" si="1"/>
        <v>#N/A</v>
      </c>
      <c r="K492" s="1473">
        <v>42549</v>
      </c>
      <c r="L492" s="1474" t="s">
        <v>2123</v>
      </c>
      <c r="M492" s="1475">
        <v>5.2531000000000001E-2</v>
      </c>
      <c r="N492" s="1476">
        <v>1.1866821629098605</v>
      </c>
      <c r="O492" s="1476">
        <v>1.1866821629098605</v>
      </c>
    </row>
    <row r="493" spans="2:15">
      <c r="B493" s="1392">
        <v>47423</v>
      </c>
      <c r="C493" s="1393" t="e">
        <v>#N/A</v>
      </c>
      <c r="D493" s="1393" t="e">
        <v>#N/A</v>
      </c>
      <c r="E493" s="1393" t="e">
        <v>#N/A</v>
      </c>
      <c r="F493" s="1393" t="e">
        <f t="shared" si="1"/>
        <v>#N/A</v>
      </c>
      <c r="K493" s="1473">
        <v>42550</v>
      </c>
      <c r="L493" s="1474" t="s">
        <v>2123</v>
      </c>
      <c r="M493" s="1475">
        <v>5.2531000000000001E-2</v>
      </c>
      <c r="N493" s="1476">
        <v>1.1873055389168587</v>
      </c>
      <c r="O493" s="1476">
        <v>1.1873055389168587</v>
      </c>
    </row>
    <row r="494" spans="2:15">
      <c r="B494" s="1392">
        <v>47453</v>
      </c>
      <c r="C494" s="1393" t="e">
        <v>#N/A</v>
      </c>
      <c r="D494" s="1393" t="e">
        <v>#N/A</v>
      </c>
      <c r="E494" s="1393" t="e">
        <v>#N/A</v>
      </c>
      <c r="F494" s="1393" t="e">
        <f t="shared" si="1"/>
        <v>#N/A</v>
      </c>
      <c r="K494" s="1473">
        <v>42551</v>
      </c>
      <c r="L494" s="1474" t="s">
        <v>2123</v>
      </c>
      <c r="M494" s="1475">
        <v>5.2531000000000001E-2</v>
      </c>
      <c r="N494" s="1476">
        <v>1.1879292423895071</v>
      </c>
      <c r="O494" s="1476">
        <v>1.1879292423895071</v>
      </c>
    </row>
    <row r="495" spans="2:15">
      <c r="B495" s="1392">
        <v>47484</v>
      </c>
      <c r="C495" s="1393" t="e">
        <v>#N/A</v>
      </c>
      <c r="D495" s="1393" t="e">
        <v>#N/A</v>
      </c>
      <c r="E495" s="1393" t="e">
        <v>#N/A</v>
      </c>
      <c r="F495" s="1393" t="e">
        <f t="shared" si="1"/>
        <v>#N/A</v>
      </c>
      <c r="K495" s="1473">
        <v>42552</v>
      </c>
      <c r="L495" s="1474" t="s">
        <v>2123</v>
      </c>
      <c r="M495" s="1475">
        <v>5.2531000000000001E-2</v>
      </c>
      <c r="N495" s="1476">
        <v>1.1885532734998268</v>
      </c>
      <c r="O495" s="1476">
        <v>1.1885532734998268</v>
      </c>
    </row>
    <row r="496" spans="2:15">
      <c r="B496" s="1392">
        <v>47515</v>
      </c>
      <c r="C496" s="1393" t="e">
        <v>#N/A</v>
      </c>
      <c r="D496" s="1393" t="e">
        <v>#N/A</v>
      </c>
      <c r="E496" s="1393" t="e">
        <v>#N/A</v>
      </c>
      <c r="F496" s="1393" t="e">
        <f t="shared" si="1"/>
        <v>#N/A</v>
      </c>
      <c r="K496" s="1473">
        <v>42553</v>
      </c>
      <c r="L496" s="1474"/>
      <c r="M496" s="1475">
        <v>0</v>
      </c>
      <c r="N496" s="1476">
        <v>1.1885532734998268</v>
      </c>
      <c r="O496" s="1476">
        <v>1.1885532734998268</v>
      </c>
    </row>
    <row r="497" spans="2:15">
      <c r="B497" s="1392">
        <v>47543</v>
      </c>
      <c r="C497" s="1393" t="e">
        <v>#N/A</v>
      </c>
      <c r="D497" s="1393" t="e">
        <v>#N/A</v>
      </c>
      <c r="E497" s="1393" t="e">
        <v>#N/A</v>
      </c>
      <c r="F497" s="1393" t="e">
        <f t="shared" si="1"/>
        <v>#N/A</v>
      </c>
      <c r="K497" s="1473">
        <v>42554</v>
      </c>
      <c r="L497" s="1474"/>
      <c r="M497" s="1475">
        <v>0</v>
      </c>
      <c r="N497" s="1476">
        <v>1.1885532734998268</v>
      </c>
      <c r="O497" s="1476">
        <v>1.1885532734998268</v>
      </c>
    </row>
    <row r="498" spans="2:15">
      <c r="B498" s="1392">
        <v>47574</v>
      </c>
      <c r="C498" s="1393" t="e">
        <v>#N/A</v>
      </c>
      <c r="D498" s="1393" t="e">
        <v>#N/A</v>
      </c>
      <c r="E498" s="1393" t="e">
        <v>#N/A</v>
      </c>
      <c r="F498" s="1393" t="e">
        <f t="shared" si="1"/>
        <v>#N/A</v>
      </c>
      <c r="K498" s="1473">
        <v>42555</v>
      </c>
      <c r="L498" s="1474" t="s">
        <v>2123</v>
      </c>
      <c r="M498" s="1475">
        <v>5.2531000000000001E-2</v>
      </c>
      <c r="N498" s="1476">
        <v>1.189177632419929</v>
      </c>
      <c r="O498" s="1476">
        <v>1.189177632419929</v>
      </c>
    </row>
    <row r="499" spans="2:15">
      <c r="B499" s="1392">
        <v>47604</v>
      </c>
      <c r="C499" s="1393" t="e">
        <v>#N/A</v>
      </c>
      <c r="D499" s="1393" t="e">
        <v>#N/A</v>
      </c>
      <c r="E499" s="1393" t="e">
        <v>#N/A</v>
      </c>
      <c r="F499" s="1393" t="e">
        <f t="shared" si="1"/>
        <v>#N/A</v>
      </c>
      <c r="K499" s="1473">
        <v>42556</v>
      </c>
      <c r="L499" s="1474" t="s">
        <v>2123</v>
      </c>
      <c r="M499" s="1475">
        <v>5.2531000000000001E-2</v>
      </c>
      <c r="N499" s="1476">
        <v>1.1898023193220155</v>
      </c>
      <c r="O499" s="1476">
        <v>1.1898023193220155</v>
      </c>
    </row>
    <row r="500" spans="2:15">
      <c r="B500" s="1392">
        <v>47635</v>
      </c>
      <c r="C500" s="1393" t="e">
        <v>#N/A</v>
      </c>
      <c r="D500" s="1393" t="e">
        <v>#N/A</v>
      </c>
      <c r="E500" s="1393" t="e">
        <v>#N/A</v>
      </c>
      <c r="F500" s="1393" t="e">
        <f t="shared" si="1"/>
        <v>#N/A</v>
      </c>
      <c r="K500" s="1473">
        <v>42557</v>
      </c>
      <c r="L500" s="1474" t="s">
        <v>2123</v>
      </c>
      <c r="M500" s="1475">
        <v>5.2531000000000001E-2</v>
      </c>
      <c r="N500" s="1476">
        <v>1.1904273343783787</v>
      </c>
      <c r="O500" s="1476">
        <v>1.1904273343783787</v>
      </c>
    </row>
    <row r="501" spans="2:15">
      <c r="K501" s="1473">
        <v>42558</v>
      </c>
      <c r="L501" s="1474" t="s">
        <v>2123</v>
      </c>
      <c r="M501" s="1475">
        <v>5.2531000000000001E-2</v>
      </c>
      <c r="N501" s="1476">
        <v>1.191052677761401</v>
      </c>
      <c r="O501" s="1476">
        <v>1.191052677761401</v>
      </c>
    </row>
    <row r="502" spans="2:15">
      <c r="K502" s="1473">
        <v>42559</v>
      </c>
      <c r="L502" s="1474" t="s">
        <v>2123</v>
      </c>
      <c r="M502" s="1475">
        <v>5.2531000000000001E-2</v>
      </c>
      <c r="N502" s="1476">
        <v>1.1916783496435559</v>
      </c>
      <c r="O502" s="1476">
        <v>1.1916783496435559</v>
      </c>
    </row>
    <row r="503" spans="2:15">
      <c r="K503" s="1473">
        <v>42560</v>
      </c>
      <c r="L503" s="1474"/>
      <c r="M503" s="1475">
        <v>0</v>
      </c>
      <c r="N503" s="1476">
        <v>1.1916783496435559</v>
      </c>
      <c r="O503" s="1476">
        <v>1.1916783496435559</v>
      </c>
    </row>
    <row r="504" spans="2:15">
      <c r="K504" s="1473">
        <v>42561</v>
      </c>
      <c r="L504" s="1474"/>
      <c r="M504" s="1475">
        <v>0</v>
      </c>
      <c r="N504" s="1476">
        <v>1.1916783496435559</v>
      </c>
      <c r="O504" s="1476">
        <v>1.1916783496435559</v>
      </c>
    </row>
    <row r="505" spans="2:15">
      <c r="K505" s="1473">
        <v>42562</v>
      </c>
      <c r="L505" s="1474" t="s">
        <v>2123</v>
      </c>
      <c r="M505" s="1475">
        <v>5.2531000000000001E-2</v>
      </c>
      <c r="N505" s="1476">
        <v>1.1923043501974071</v>
      </c>
      <c r="O505" s="1476">
        <v>1.1923043501974071</v>
      </c>
    </row>
    <row r="506" spans="2:15">
      <c r="K506" s="1473">
        <v>42563</v>
      </c>
      <c r="L506" s="1474" t="s">
        <v>2123</v>
      </c>
      <c r="M506" s="1475">
        <v>5.2531000000000001E-2</v>
      </c>
      <c r="N506" s="1476">
        <v>1.1929306795956094</v>
      </c>
      <c r="O506" s="1476">
        <v>1.1929306795956094</v>
      </c>
    </row>
    <row r="507" spans="2:15">
      <c r="K507" s="1473">
        <v>42564</v>
      </c>
      <c r="L507" s="1474" t="s">
        <v>2123</v>
      </c>
      <c r="M507" s="1475">
        <v>5.2531000000000001E-2</v>
      </c>
      <c r="N507" s="1476">
        <v>1.1935573380109077</v>
      </c>
      <c r="O507" s="1476">
        <v>1.1935573380109077</v>
      </c>
    </row>
    <row r="508" spans="2:15">
      <c r="K508" s="1473">
        <v>42565</v>
      </c>
      <c r="L508" s="1474" t="s">
        <v>2123</v>
      </c>
      <c r="M508" s="1475">
        <v>5.2531000000000001E-2</v>
      </c>
      <c r="N508" s="1476">
        <v>1.1941843256161382</v>
      </c>
      <c r="O508" s="1476">
        <v>1.1941843256161382</v>
      </c>
    </row>
    <row r="509" spans="2:15">
      <c r="K509" s="1473">
        <v>42566</v>
      </c>
      <c r="L509" s="1474" t="s">
        <v>2123</v>
      </c>
      <c r="M509" s="1475">
        <v>5.2531000000000001E-2</v>
      </c>
      <c r="N509" s="1476">
        <v>1.1948116425842277</v>
      </c>
      <c r="O509" s="1476">
        <v>1.1948116425842277</v>
      </c>
    </row>
    <row r="510" spans="2:15">
      <c r="K510" s="1473">
        <v>42567</v>
      </c>
      <c r="L510" s="1474"/>
      <c r="M510" s="1475">
        <v>0</v>
      </c>
      <c r="N510" s="1476">
        <v>1.1948116425842277</v>
      </c>
      <c r="O510" s="1476">
        <v>1.1948116425842277</v>
      </c>
    </row>
    <row r="511" spans="2:15">
      <c r="K511" s="1473">
        <v>42568</v>
      </c>
      <c r="L511" s="1474"/>
      <c r="M511" s="1475">
        <v>0</v>
      </c>
      <c r="N511" s="1476">
        <v>1.1948116425842277</v>
      </c>
      <c r="O511" s="1476">
        <v>1.1948116425842277</v>
      </c>
    </row>
    <row r="512" spans="2:15">
      <c r="K512" s="1473">
        <v>42569</v>
      </c>
      <c r="L512" s="1474" t="s">
        <v>2123</v>
      </c>
      <c r="M512" s="1475">
        <v>5.2531000000000001E-2</v>
      </c>
      <c r="N512" s="1476">
        <v>1.1954392890881935</v>
      </c>
      <c r="O512" s="1476">
        <v>1.1954392890881935</v>
      </c>
    </row>
    <row r="513" spans="11:15">
      <c r="K513" s="1473">
        <v>42570</v>
      </c>
      <c r="L513" s="1474" t="s">
        <v>2123</v>
      </c>
      <c r="M513" s="1475">
        <v>5.2531000000000001E-2</v>
      </c>
      <c r="N513" s="1476">
        <v>1.1960672653011444</v>
      </c>
      <c r="O513" s="1476">
        <v>1.1960672653011444</v>
      </c>
    </row>
    <row r="514" spans="11:15">
      <c r="K514" s="1473">
        <v>42571</v>
      </c>
      <c r="L514" s="1474" t="s">
        <v>2123</v>
      </c>
      <c r="M514" s="1475">
        <v>5.2531000000000001E-2</v>
      </c>
      <c r="N514" s="1476">
        <v>1.1966955713962797</v>
      </c>
      <c r="O514" s="1476">
        <v>1.1966955713962797</v>
      </c>
    </row>
    <row r="515" spans="11:15">
      <c r="K515" s="1473">
        <v>42572</v>
      </c>
      <c r="L515" s="1474" t="s">
        <v>2123</v>
      </c>
      <c r="M515" s="1475">
        <v>5.2531000000000001E-2</v>
      </c>
      <c r="N515" s="1476">
        <v>1.19732420754689</v>
      </c>
      <c r="O515" s="1476">
        <v>1.19732420754689</v>
      </c>
    </row>
    <row r="516" spans="11:15">
      <c r="K516" s="1473">
        <v>42573</v>
      </c>
      <c r="L516" s="1474" t="s">
        <v>2123</v>
      </c>
      <c r="M516" s="1475">
        <v>5.2531000000000001E-2</v>
      </c>
      <c r="N516" s="1476">
        <v>1.1979531739263565</v>
      </c>
      <c r="O516" s="1476">
        <v>1.1979531739263565</v>
      </c>
    </row>
    <row r="517" spans="11:15">
      <c r="K517" s="1473">
        <v>42574</v>
      </c>
      <c r="L517" s="1474"/>
      <c r="M517" s="1475">
        <v>0</v>
      </c>
      <c r="N517" s="1476">
        <v>1.1979531739263565</v>
      </c>
      <c r="O517" s="1476">
        <v>1.1979531739263565</v>
      </c>
    </row>
    <row r="518" spans="11:15">
      <c r="K518" s="1473">
        <v>42575</v>
      </c>
      <c r="L518" s="1474"/>
      <c r="M518" s="1475">
        <v>0</v>
      </c>
      <c r="N518" s="1476">
        <v>1.1979531739263565</v>
      </c>
      <c r="O518" s="1476">
        <v>1.1979531739263565</v>
      </c>
    </row>
    <row r="519" spans="11:15">
      <c r="K519" s="1473">
        <v>42576</v>
      </c>
      <c r="L519" s="1474" t="s">
        <v>2123</v>
      </c>
      <c r="M519" s="1475">
        <v>5.2531000000000001E-2</v>
      </c>
      <c r="N519" s="1476">
        <v>1.1985824707081518</v>
      </c>
      <c r="O519" s="1476">
        <v>1.1985824707081518</v>
      </c>
    </row>
    <row r="520" spans="11:15">
      <c r="K520" s="1473">
        <v>42577</v>
      </c>
      <c r="L520" s="1474" t="s">
        <v>2123</v>
      </c>
      <c r="M520" s="1475">
        <v>5.2531000000000001E-2</v>
      </c>
      <c r="N520" s="1476">
        <v>1.1992120980658396</v>
      </c>
      <c r="O520" s="1476">
        <v>1.1992120980658396</v>
      </c>
    </row>
    <row r="521" spans="11:15">
      <c r="K521" s="1473">
        <v>42578</v>
      </c>
      <c r="L521" s="1474" t="s">
        <v>2123</v>
      </c>
      <c r="M521" s="1475">
        <v>5.2531000000000001E-2</v>
      </c>
      <c r="N521" s="1476">
        <v>1.1998420561730745</v>
      </c>
      <c r="O521" s="1476">
        <v>1.1998420561730745</v>
      </c>
    </row>
    <row r="522" spans="11:15">
      <c r="K522" s="1473">
        <v>42579</v>
      </c>
      <c r="L522" s="1474" t="s">
        <v>2123</v>
      </c>
      <c r="M522" s="1475">
        <v>5.2531000000000001E-2</v>
      </c>
      <c r="N522" s="1476">
        <v>1.2004723452036028</v>
      </c>
      <c r="O522" s="1476">
        <v>1.2004723452036028</v>
      </c>
    </row>
    <row r="523" spans="11:15">
      <c r="K523" s="1473">
        <v>42580</v>
      </c>
      <c r="L523" s="1474" t="s">
        <v>2123</v>
      </c>
      <c r="M523" s="1475">
        <v>5.2531000000000001E-2</v>
      </c>
      <c r="N523" s="1476">
        <v>1.2011029653312617</v>
      </c>
      <c r="O523" s="1476">
        <v>1.2011029653312617</v>
      </c>
    </row>
    <row r="524" spans="11:15">
      <c r="K524" s="1473">
        <v>42581</v>
      </c>
      <c r="L524" s="1474"/>
      <c r="M524" s="1475">
        <v>0</v>
      </c>
      <c r="N524" s="1476">
        <v>1.2011029653312617</v>
      </c>
      <c r="O524" s="1476">
        <v>1.2011029653312617</v>
      </c>
    </row>
    <row r="525" spans="11:15">
      <c r="K525" s="1473">
        <v>42582</v>
      </c>
      <c r="L525" s="1474"/>
      <c r="M525" s="1475">
        <v>0</v>
      </c>
      <c r="N525" s="1476">
        <v>1.2011029653312617</v>
      </c>
      <c r="O525" s="1476">
        <v>1.2011029653312617</v>
      </c>
    </row>
    <row r="526" spans="11:15">
      <c r="K526" s="1473">
        <v>42583</v>
      </c>
      <c r="L526" s="1474" t="s">
        <v>2123</v>
      </c>
      <c r="M526" s="1475">
        <v>5.2531000000000001E-2</v>
      </c>
      <c r="N526" s="1476">
        <v>1.2017339167299799</v>
      </c>
      <c r="O526" s="1476">
        <v>1.2017339167299799</v>
      </c>
    </row>
    <row r="527" spans="11:15">
      <c r="K527" s="1473">
        <v>42584</v>
      </c>
      <c r="L527" s="1474" t="s">
        <v>2123</v>
      </c>
      <c r="M527" s="1475">
        <v>5.2531000000000001E-2</v>
      </c>
      <c r="N527" s="1476">
        <v>1.2023651995737772</v>
      </c>
      <c r="O527" s="1476">
        <v>1.2023651995737772</v>
      </c>
    </row>
    <row r="528" spans="11:15">
      <c r="K528" s="1473">
        <v>42585</v>
      </c>
      <c r="L528" s="1474" t="s">
        <v>2123</v>
      </c>
      <c r="M528" s="1475">
        <v>5.2531000000000001E-2</v>
      </c>
      <c r="N528" s="1476">
        <v>1.2029968140367653</v>
      </c>
      <c r="O528" s="1476">
        <v>1.2029968140367653</v>
      </c>
    </row>
    <row r="529" spans="11:15">
      <c r="K529" s="1473">
        <v>42586</v>
      </c>
      <c r="L529" s="1474" t="s">
        <v>2123</v>
      </c>
      <c r="M529" s="1475">
        <v>5.2531000000000001E-2</v>
      </c>
      <c r="N529" s="1476">
        <v>1.203628760293147</v>
      </c>
      <c r="O529" s="1476">
        <v>1.203628760293147</v>
      </c>
    </row>
    <row r="530" spans="11:15">
      <c r="K530" s="1473">
        <v>42587</v>
      </c>
      <c r="L530" s="1474" t="s">
        <v>2123</v>
      </c>
      <c r="M530" s="1475">
        <v>5.2531000000000001E-2</v>
      </c>
      <c r="N530" s="1476">
        <v>1.2042610385172166</v>
      </c>
      <c r="O530" s="1476">
        <v>1.2042610385172166</v>
      </c>
    </row>
    <row r="531" spans="11:15">
      <c r="K531" s="1473">
        <v>42588</v>
      </c>
      <c r="L531" s="1474"/>
      <c r="M531" s="1475">
        <v>0</v>
      </c>
      <c r="N531" s="1476">
        <v>1.2042610385172166</v>
      </c>
      <c r="O531" s="1476">
        <v>1.2042610385172166</v>
      </c>
    </row>
    <row r="532" spans="11:15">
      <c r="K532" s="1473">
        <v>42589</v>
      </c>
      <c r="L532" s="1474"/>
      <c r="M532" s="1475">
        <v>0</v>
      </c>
      <c r="N532" s="1476">
        <v>1.2042610385172166</v>
      </c>
      <c r="O532" s="1476">
        <v>1.2042610385172166</v>
      </c>
    </row>
    <row r="533" spans="11:15">
      <c r="K533" s="1473">
        <v>42590</v>
      </c>
      <c r="L533" s="1474" t="s">
        <v>2123</v>
      </c>
      <c r="M533" s="1475">
        <v>5.2531000000000001E-2</v>
      </c>
      <c r="N533" s="1476">
        <v>1.2048936488833599</v>
      </c>
      <c r="O533" s="1476">
        <v>1.2048936488833599</v>
      </c>
    </row>
    <row r="534" spans="11:15">
      <c r="K534" s="1473">
        <v>42591</v>
      </c>
      <c r="L534" s="1474" t="s">
        <v>2123</v>
      </c>
      <c r="M534" s="1475">
        <v>5.2531000000000001E-2</v>
      </c>
      <c r="N534" s="1476">
        <v>1.2055265915660549</v>
      </c>
      <c r="O534" s="1476">
        <v>1.2055265915660549</v>
      </c>
    </row>
    <row r="535" spans="11:15">
      <c r="K535" s="1473">
        <v>42592</v>
      </c>
      <c r="L535" s="1474" t="s">
        <v>2123</v>
      </c>
      <c r="M535" s="1475">
        <v>5.2531000000000001E-2</v>
      </c>
      <c r="N535" s="1476">
        <v>1.2061598667398705</v>
      </c>
      <c r="O535" s="1476">
        <v>1.2061598667398705</v>
      </c>
    </row>
    <row r="536" spans="11:15">
      <c r="K536" s="1473">
        <v>42593</v>
      </c>
      <c r="L536" s="1474" t="s">
        <v>2123</v>
      </c>
      <c r="M536" s="1475">
        <v>5.2531000000000001E-2</v>
      </c>
      <c r="N536" s="1476">
        <v>1.2067934745794677</v>
      </c>
      <c r="O536" s="1476">
        <v>1.2067934745794677</v>
      </c>
    </row>
    <row r="537" spans="11:15">
      <c r="K537" s="1473">
        <v>42594</v>
      </c>
      <c r="L537" s="1474" t="s">
        <v>2123</v>
      </c>
      <c r="M537" s="1475">
        <v>5.2531000000000001E-2</v>
      </c>
      <c r="N537" s="1476">
        <v>1.2074274152595992</v>
      </c>
      <c r="O537" s="1476">
        <v>1.2074274152595992</v>
      </c>
    </row>
    <row r="538" spans="11:15">
      <c r="K538" s="1473">
        <v>42595</v>
      </c>
      <c r="L538" s="1474"/>
      <c r="M538" s="1475">
        <v>0</v>
      </c>
      <c r="N538" s="1476">
        <v>1.2074274152595992</v>
      </c>
      <c r="O538" s="1476">
        <v>1.2074274152595992</v>
      </c>
    </row>
    <row r="539" spans="11:15">
      <c r="K539" s="1473">
        <v>42596</v>
      </c>
      <c r="L539" s="1474"/>
      <c r="M539" s="1475">
        <v>0</v>
      </c>
      <c r="N539" s="1476">
        <v>1.2074274152595992</v>
      </c>
      <c r="O539" s="1476">
        <v>1.2074274152595992</v>
      </c>
    </row>
    <row r="540" spans="11:15">
      <c r="K540" s="1473">
        <v>42597</v>
      </c>
      <c r="L540" s="1474" t="s">
        <v>2123</v>
      </c>
      <c r="M540" s="1475">
        <v>5.2531000000000001E-2</v>
      </c>
      <c r="N540" s="1476">
        <v>1.2080616889551092</v>
      </c>
      <c r="O540" s="1476">
        <v>1.2080616889551092</v>
      </c>
    </row>
    <row r="541" spans="11:15">
      <c r="K541" s="1473">
        <v>42598</v>
      </c>
      <c r="L541" s="1474" t="s">
        <v>2123</v>
      </c>
      <c r="M541" s="1475">
        <v>5.2531000000000001E-2</v>
      </c>
      <c r="N541" s="1476">
        <v>1.2086962958409342</v>
      </c>
      <c r="O541" s="1476">
        <v>1.2086962958409342</v>
      </c>
    </row>
    <row r="542" spans="11:15">
      <c r="K542" s="1473">
        <v>42599</v>
      </c>
      <c r="L542" s="1474" t="s">
        <v>2123</v>
      </c>
      <c r="M542" s="1475">
        <v>5.2531000000000001E-2</v>
      </c>
      <c r="N542" s="1476">
        <v>1.2093312360921025</v>
      </c>
      <c r="O542" s="1476">
        <v>1.2093312360921025</v>
      </c>
    </row>
    <row r="543" spans="11:15">
      <c r="K543" s="1473">
        <v>42600</v>
      </c>
      <c r="L543" s="1474" t="s">
        <v>2123</v>
      </c>
      <c r="M543" s="1475">
        <v>5.2531000000000001E-2</v>
      </c>
      <c r="N543" s="1476">
        <v>1.209966509883734</v>
      </c>
      <c r="O543" s="1476">
        <v>1.209966509883734</v>
      </c>
    </row>
    <row r="544" spans="11:15">
      <c r="K544" s="1473">
        <v>42601</v>
      </c>
      <c r="L544" s="1474" t="s">
        <v>2123</v>
      </c>
      <c r="M544" s="1475">
        <v>5.2531000000000001E-2</v>
      </c>
      <c r="N544" s="1476">
        <v>1.2106021173910411</v>
      </c>
      <c r="O544" s="1476">
        <v>1.2106021173910411</v>
      </c>
    </row>
    <row r="545" spans="11:15">
      <c r="K545" s="1473">
        <v>42602</v>
      </c>
      <c r="L545" s="1474"/>
      <c r="M545" s="1475">
        <v>0</v>
      </c>
      <c r="N545" s="1476">
        <v>1.2106021173910411</v>
      </c>
      <c r="O545" s="1476">
        <v>1.2106021173910411</v>
      </c>
    </row>
    <row r="546" spans="11:15">
      <c r="K546" s="1473">
        <v>42603</v>
      </c>
      <c r="L546" s="1474"/>
      <c r="M546" s="1475">
        <v>0</v>
      </c>
      <c r="N546" s="1476">
        <v>1.2106021173910411</v>
      </c>
      <c r="O546" s="1476">
        <v>1.2106021173910411</v>
      </c>
    </row>
    <row r="547" spans="11:15">
      <c r="K547" s="1473">
        <v>42604</v>
      </c>
      <c r="L547" s="1474" t="s">
        <v>2123</v>
      </c>
      <c r="M547" s="1475">
        <v>5.2531000000000001E-2</v>
      </c>
      <c r="N547" s="1476">
        <v>1.2112380587893277</v>
      </c>
      <c r="O547" s="1476">
        <v>1.2112380587893277</v>
      </c>
    </row>
    <row r="548" spans="11:15">
      <c r="K548" s="1473">
        <v>42605</v>
      </c>
      <c r="L548" s="1474" t="s">
        <v>2123</v>
      </c>
      <c r="M548" s="1475">
        <v>5.2531000000000001E-2</v>
      </c>
      <c r="N548" s="1476">
        <v>1.2118743342539904</v>
      </c>
      <c r="O548" s="1476">
        <v>1.2118743342539904</v>
      </c>
    </row>
    <row r="549" spans="11:15">
      <c r="K549" s="1473">
        <v>42606</v>
      </c>
      <c r="L549" s="1474" t="s">
        <v>2123</v>
      </c>
      <c r="M549" s="1475">
        <v>5.2531000000000001E-2</v>
      </c>
      <c r="N549" s="1476">
        <v>1.2125109439605173</v>
      </c>
      <c r="O549" s="1476">
        <v>1.2125109439605173</v>
      </c>
    </row>
    <row r="550" spans="11:15">
      <c r="K550" s="1473">
        <v>42607</v>
      </c>
      <c r="L550" s="1474" t="s">
        <v>2123</v>
      </c>
      <c r="M550" s="1475">
        <v>5.2531000000000001E-2</v>
      </c>
      <c r="N550" s="1476">
        <v>1.2131478880844893</v>
      </c>
      <c r="O550" s="1476">
        <v>1.2131478880844893</v>
      </c>
    </row>
    <row r="551" spans="11:15">
      <c r="K551" s="1473">
        <v>42608</v>
      </c>
      <c r="L551" s="1474" t="s">
        <v>2123</v>
      </c>
      <c r="M551" s="1475">
        <v>5.2531000000000001E-2</v>
      </c>
      <c r="N551" s="1476">
        <v>1.2137851668015789</v>
      </c>
      <c r="O551" s="1476">
        <v>1.2137851668015789</v>
      </c>
    </row>
    <row r="552" spans="11:15">
      <c r="K552" s="1473">
        <v>42609</v>
      </c>
      <c r="L552" s="1474"/>
      <c r="M552" s="1475">
        <v>0</v>
      </c>
      <c r="N552" s="1476">
        <v>1.2137851668015789</v>
      </c>
      <c r="O552" s="1476">
        <v>1.2137851668015789</v>
      </c>
    </row>
    <row r="553" spans="11:15">
      <c r="K553" s="1473">
        <v>42610</v>
      </c>
      <c r="L553" s="1474"/>
      <c r="M553" s="1475">
        <v>0</v>
      </c>
      <c r="N553" s="1476">
        <v>1.2137851668015789</v>
      </c>
      <c r="O553" s="1476">
        <v>1.2137851668015789</v>
      </c>
    </row>
    <row r="554" spans="11:15">
      <c r="K554" s="1473">
        <v>42611</v>
      </c>
      <c r="L554" s="1474" t="s">
        <v>2123</v>
      </c>
      <c r="M554" s="1475">
        <v>5.2531000000000001E-2</v>
      </c>
      <c r="N554" s="1476">
        <v>1.2144227802875514</v>
      </c>
      <c r="O554" s="1476">
        <v>1.2144227802875514</v>
      </c>
    </row>
    <row r="555" spans="11:15">
      <c r="K555" s="1473">
        <v>42612</v>
      </c>
      <c r="L555" s="1474" t="s">
        <v>2123</v>
      </c>
      <c r="M555" s="1475">
        <v>5.2531000000000001E-2</v>
      </c>
      <c r="N555" s="1476">
        <v>1.2150607287182642</v>
      </c>
      <c r="O555" s="1476">
        <v>1.2150607287182642</v>
      </c>
    </row>
    <row r="556" spans="11:15">
      <c r="K556" s="1473">
        <v>42613</v>
      </c>
      <c r="L556" s="1474" t="s">
        <v>2123</v>
      </c>
      <c r="M556" s="1475">
        <v>5.2531000000000001E-2</v>
      </c>
      <c r="N556" s="1476">
        <v>1.2156990122696671</v>
      </c>
      <c r="O556" s="1476">
        <v>1.2156990122696671</v>
      </c>
    </row>
    <row r="557" spans="11:15">
      <c r="K557" s="1473">
        <v>42614</v>
      </c>
      <c r="L557" s="1474" t="s">
        <v>2123</v>
      </c>
      <c r="M557" s="1475">
        <v>5.2531000000000001E-2</v>
      </c>
      <c r="N557" s="1476">
        <v>1.2163376311178025</v>
      </c>
      <c r="O557" s="1476">
        <v>1.2163376311178025</v>
      </c>
    </row>
    <row r="558" spans="11:15">
      <c r="K558" s="1473">
        <v>42615</v>
      </c>
      <c r="L558" s="1474" t="s">
        <v>2123</v>
      </c>
      <c r="M558" s="1475">
        <v>5.2531000000000001E-2</v>
      </c>
      <c r="N558" s="1476">
        <v>1.216976585438805</v>
      </c>
      <c r="O558" s="1476">
        <v>1.216976585438805</v>
      </c>
    </row>
    <row r="559" spans="11:15">
      <c r="K559" s="1473">
        <v>42616</v>
      </c>
      <c r="L559" s="1474"/>
      <c r="M559" s="1475">
        <v>0</v>
      </c>
      <c r="N559" s="1476">
        <v>1.216976585438805</v>
      </c>
      <c r="O559" s="1476">
        <v>1.216976585438805</v>
      </c>
    </row>
    <row r="560" spans="11:15">
      <c r="K560" s="1473">
        <v>42617</v>
      </c>
      <c r="L560" s="1474"/>
      <c r="M560" s="1475">
        <v>0</v>
      </c>
      <c r="N560" s="1476">
        <v>1.216976585438805</v>
      </c>
      <c r="O560" s="1476">
        <v>1.216976585438805</v>
      </c>
    </row>
    <row r="561" spans="11:15">
      <c r="K561" s="1473">
        <v>42618</v>
      </c>
      <c r="L561" s="1474" t="s">
        <v>2123</v>
      </c>
      <c r="M561" s="1475">
        <v>5.2531000000000001E-2</v>
      </c>
      <c r="N561" s="1476">
        <v>1.2176158754089019</v>
      </c>
      <c r="O561" s="1476">
        <v>1.2176158754089019</v>
      </c>
    </row>
    <row r="562" spans="11:15">
      <c r="K562" s="1473">
        <v>42619</v>
      </c>
      <c r="L562" s="1474" t="s">
        <v>2123</v>
      </c>
      <c r="M562" s="1475">
        <v>5.2531000000000001E-2</v>
      </c>
      <c r="N562" s="1476">
        <v>1.2182555012044129</v>
      </c>
      <c r="O562" s="1476">
        <v>1.2182555012044129</v>
      </c>
    </row>
    <row r="563" spans="11:15">
      <c r="K563" s="1473">
        <v>42620</v>
      </c>
      <c r="L563" s="1474"/>
      <c r="M563" s="1475">
        <v>0</v>
      </c>
      <c r="N563" s="1476">
        <v>1.2182555012044129</v>
      </c>
      <c r="O563" s="1476">
        <v>1.2182555012044129</v>
      </c>
    </row>
    <row r="564" spans="11:15">
      <c r="K564" s="1473">
        <v>42621</v>
      </c>
      <c r="L564" s="1474" t="s">
        <v>2123</v>
      </c>
      <c r="M564" s="1475">
        <v>5.2531000000000001E-2</v>
      </c>
      <c r="N564" s="1476">
        <v>1.2188954630017506</v>
      </c>
      <c r="O564" s="1476">
        <v>1.2188954630017506</v>
      </c>
    </row>
    <row r="565" spans="11:15">
      <c r="K565" s="1473">
        <v>42622</v>
      </c>
      <c r="L565" s="1474" t="s">
        <v>2123</v>
      </c>
      <c r="M565" s="1475">
        <v>5.2531000000000001E-2</v>
      </c>
      <c r="N565" s="1476">
        <v>1.21953576097742</v>
      </c>
      <c r="O565" s="1476">
        <v>1.21953576097742</v>
      </c>
    </row>
    <row r="566" spans="11:15">
      <c r="K566" s="1473">
        <v>42623</v>
      </c>
      <c r="L566" s="1474"/>
      <c r="M566" s="1475">
        <v>0</v>
      </c>
      <c r="N566" s="1476">
        <v>1.21953576097742</v>
      </c>
      <c r="O566" s="1476">
        <v>1.21953576097742</v>
      </c>
    </row>
    <row r="567" spans="11:15">
      <c r="K567" s="1473">
        <v>42624</v>
      </c>
      <c r="L567" s="1474"/>
      <c r="M567" s="1475">
        <v>0</v>
      </c>
      <c r="N567" s="1476">
        <v>1.21953576097742</v>
      </c>
      <c r="O567" s="1476">
        <v>1.21953576097742</v>
      </c>
    </row>
    <row r="568" spans="11:15">
      <c r="K568" s="1473">
        <v>42625</v>
      </c>
      <c r="L568" s="1474" t="s">
        <v>2123</v>
      </c>
      <c r="M568" s="1475">
        <v>5.2531000000000001E-2</v>
      </c>
      <c r="N568" s="1476">
        <v>1.2201763953080191</v>
      </c>
      <c r="O568" s="1476">
        <v>1.2201763953080191</v>
      </c>
    </row>
    <row r="569" spans="11:15">
      <c r="K569" s="1473">
        <v>42626</v>
      </c>
      <c r="L569" s="1474" t="s">
        <v>2123</v>
      </c>
      <c r="M569" s="1475">
        <v>5.2531000000000001E-2</v>
      </c>
      <c r="N569" s="1476">
        <v>1.2208173661702384</v>
      </c>
      <c r="O569" s="1476">
        <v>1.2208173661702384</v>
      </c>
    </row>
    <row r="570" spans="11:15">
      <c r="K570" s="1473">
        <v>42627</v>
      </c>
      <c r="L570" s="1474" t="s">
        <v>2123</v>
      </c>
      <c r="M570" s="1475">
        <v>5.2531000000000001E-2</v>
      </c>
      <c r="N570" s="1476">
        <v>1.2214586737408613</v>
      </c>
      <c r="O570" s="1476">
        <v>1.2214586737408613</v>
      </c>
    </row>
    <row r="571" spans="11:15">
      <c r="K571" s="1473">
        <v>42628</v>
      </c>
      <c r="L571" s="1474" t="s">
        <v>2123</v>
      </c>
      <c r="M571" s="1475">
        <v>5.2531000000000001E-2</v>
      </c>
      <c r="N571" s="1476">
        <v>1.222100318196764</v>
      </c>
      <c r="O571" s="1476">
        <v>1.222100318196764</v>
      </c>
    </row>
    <row r="572" spans="11:15">
      <c r="K572" s="1473">
        <v>42629</v>
      </c>
      <c r="L572" s="1474" t="s">
        <v>2123</v>
      </c>
      <c r="M572" s="1475">
        <v>5.2531000000000001E-2</v>
      </c>
      <c r="N572" s="1476">
        <v>1.222742299714916</v>
      </c>
      <c r="O572" s="1476">
        <v>1.222742299714916</v>
      </c>
    </row>
    <row r="573" spans="11:15">
      <c r="K573" s="1473">
        <v>42630</v>
      </c>
      <c r="L573" s="1474"/>
      <c r="M573" s="1475">
        <v>0</v>
      </c>
      <c r="N573" s="1476">
        <v>1.222742299714916</v>
      </c>
      <c r="O573" s="1476">
        <v>1.222742299714916</v>
      </c>
    </row>
    <row r="574" spans="11:15">
      <c r="K574" s="1473">
        <v>42631</v>
      </c>
      <c r="L574" s="1474"/>
      <c r="M574" s="1475">
        <v>0</v>
      </c>
      <c r="N574" s="1476">
        <v>1.222742299714916</v>
      </c>
      <c r="O574" s="1476">
        <v>1.222742299714916</v>
      </c>
    </row>
    <row r="575" spans="11:15">
      <c r="K575" s="1473">
        <v>42632</v>
      </c>
      <c r="L575" s="1474" t="s">
        <v>2123</v>
      </c>
      <c r="M575" s="1475">
        <v>5.2531000000000001E-2</v>
      </c>
      <c r="N575" s="1476">
        <v>1.2233846184723793</v>
      </c>
      <c r="O575" s="1476">
        <v>1.2233846184723793</v>
      </c>
    </row>
    <row r="576" spans="11:15">
      <c r="K576" s="1473">
        <v>42633</v>
      </c>
      <c r="L576" s="1474" t="s">
        <v>2123</v>
      </c>
      <c r="M576" s="1475">
        <v>5.2531000000000001E-2</v>
      </c>
      <c r="N576" s="1476">
        <v>1.224027274646309</v>
      </c>
      <c r="O576" s="1476">
        <v>1.224027274646309</v>
      </c>
    </row>
    <row r="577" spans="11:15">
      <c r="K577" s="1473">
        <v>42634</v>
      </c>
      <c r="L577" s="1474" t="s">
        <v>2123</v>
      </c>
      <c r="M577" s="1475">
        <v>5.2531000000000001E-2</v>
      </c>
      <c r="N577" s="1476">
        <v>1.2246702684139534</v>
      </c>
      <c r="O577" s="1476">
        <v>1.2246702684139534</v>
      </c>
    </row>
    <row r="578" spans="11:15">
      <c r="K578" s="1473">
        <v>42635</v>
      </c>
      <c r="L578" s="1474" t="s">
        <v>2123</v>
      </c>
      <c r="M578" s="1475">
        <v>5.2531000000000001E-2</v>
      </c>
      <c r="N578" s="1476">
        <v>1.2253135999526539</v>
      </c>
      <c r="O578" s="1476">
        <v>1.2253135999526539</v>
      </c>
    </row>
    <row r="579" spans="11:15">
      <c r="K579" s="1473">
        <v>42636</v>
      </c>
      <c r="L579" s="1474" t="s">
        <v>2123</v>
      </c>
      <c r="M579" s="1475">
        <v>5.2531000000000001E-2</v>
      </c>
      <c r="N579" s="1476">
        <v>1.2259572694398451</v>
      </c>
      <c r="O579" s="1476">
        <v>1.2259572694398451</v>
      </c>
    </row>
    <row r="580" spans="11:15">
      <c r="K580" s="1473">
        <v>42637</v>
      </c>
      <c r="L580" s="1474"/>
      <c r="M580" s="1475">
        <v>0</v>
      </c>
      <c r="N580" s="1476">
        <v>1.2259572694398451</v>
      </c>
      <c r="O580" s="1476">
        <v>1.2259572694398451</v>
      </c>
    </row>
    <row r="581" spans="11:15">
      <c r="K581" s="1473">
        <v>42638</v>
      </c>
      <c r="L581" s="1474"/>
      <c r="M581" s="1475">
        <v>0</v>
      </c>
      <c r="N581" s="1476">
        <v>1.2259572694398451</v>
      </c>
      <c r="O581" s="1476">
        <v>1.2259572694398451</v>
      </c>
    </row>
    <row r="582" spans="11:15">
      <c r="K582" s="1473">
        <v>42639</v>
      </c>
      <c r="L582" s="1474" t="s">
        <v>2123</v>
      </c>
      <c r="M582" s="1475">
        <v>5.2531000000000001E-2</v>
      </c>
      <c r="N582" s="1476">
        <v>1.2266012770530546</v>
      </c>
      <c r="O582" s="1476">
        <v>1.2266012770530546</v>
      </c>
    </row>
    <row r="583" spans="11:15">
      <c r="K583" s="1473">
        <v>42640</v>
      </c>
      <c r="L583" s="1474" t="s">
        <v>2123</v>
      </c>
      <c r="M583" s="1475">
        <v>5.2531000000000001E-2</v>
      </c>
      <c r="N583" s="1476">
        <v>1.2272456229699034</v>
      </c>
      <c r="O583" s="1476">
        <v>1.2272456229699034</v>
      </c>
    </row>
    <row r="584" spans="11:15">
      <c r="K584" s="1473">
        <v>42641</v>
      </c>
      <c r="L584" s="1474" t="s">
        <v>2123</v>
      </c>
      <c r="M584" s="1475">
        <v>5.2531000000000001E-2</v>
      </c>
      <c r="N584" s="1476">
        <v>1.2278903073681058</v>
      </c>
      <c r="O584" s="1476">
        <v>1.2278903073681058</v>
      </c>
    </row>
    <row r="585" spans="11:15">
      <c r="K585" s="1473">
        <v>42642</v>
      </c>
      <c r="L585" s="1474" t="s">
        <v>2123</v>
      </c>
      <c r="M585" s="1475">
        <v>5.2531000000000001E-2</v>
      </c>
      <c r="N585" s="1476">
        <v>1.2285353304254694</v>
      </c>
      <c r="O585" s="1476">
        <v>1.2285353304254694</v>
      </c>
    </row>
    <row r="586" spans="11:15">
      <c r="K586" s="1473">
        <v>42643</v>
      </c>
      <c r="L586" s="1474" t="s">
        <v>2123</v>
      </c>
      <c r="M586" s="1475">
        <v>5.2531000000000001E-2</v>
      </c>
      <c r="N586" s="1476">
        <v>1.2291806923198951</v>
      </c>
      <c r="O586" s="1476">
        <v>1.2291806923198951</v>
      </c>
    </row>
    <row r="587" spans="11:15">
      <c r="K587" s="1473">
        <v>42644</v>
      </c>
      <c r="L587" s="1474"/>
      <c r="M587" s="1475">
        <v>0</v>
      </c>
      <c r="N587" s="1476">
        <v>1.2291806923198951</v>
      </c>
      <c r="O587" s="1476">
        <v>1.2291806923198951</v>
      </c>
    </row>
    <row r="588" spans="11:15">
      <c r="K588" s="1473">
        <v>42645</v>
      </c>
      <c r="L588" s="1474"/>
      <c r="M588" s="1475">
        <v>0</v>
      </c>
      <c r="N588" s="1476">
        <v>1.2291806923198951</v>
      </c>
      <c r="O588" s="1476">
        <v>1.2291806923198951</v>
      </c>
    </row>
    <row r="589" spans="11:15">
      <c r="K589" s="1473">
        <v>42646</v>
      </c>
      <c r="L589" s="1474" t="s">
        <v>2123</v>
      </c>
      <c r="M589" s="1475">
        <v>5.2531000000000001E-2</v>
      </c>
      <c r="N589" s="1476">
        <v>1.2298263932293776</v>
      </c>
      <c r="O589" s="1476">
        <v>1.2298263932293776</v>
      </c>
    </row>
    <row r="590" spans="11:15">
      <c r="K590" s="1473">
        <v>42647</v>
      </c>
      <c r="L590" s="1474" t="s">
        <v>2123</v>
      </c>
      <c r="M590" s="1475">
        <v>5.2531000000000001E-2</v>
      </c>
      <c r="N590" s="1476">
        <v>1.230472433332005</v>
      </c>
      <c r="O590" s="1476">
        <v>1.230472433332005</v>
      </c>
    </row>
    <row r="591" spans="11:15">
      <c r="K591" s="1473">
        <v>42648</v>
      </c>
      <c r="L591" s="1474" t="s">
        <v>2123</v>
      </c>
      <c r="M591" s="1475">
        <v>5.2531000000000001E-2</v>
      </c>
      <c r="N591" s="1476">
        <v>1.2311188128059587</v>
      </c>
      <c r="O591" s="1476">
        <v>1.2311188128059587</v>
      </c>
    </row>
    <row r="592" spans="11:15">
      <c r="K592" s="1473">
        <v>42649</v>
      </c>
      <c r="L592" s="1474" t="s">
        <v>2123</v>
      </c>
      <c r="M592" s="1475">
        <v>5.2531000000000001E-2</v>
      </c>
      <c r="N592" s="1476">
        <v>1.2317655318295138</v>
      </c>
      <c r="O592" s="1476">
        <v>1.2317655318295138</v>
      </c>
    </row>
    <row r="593" spans="11:15">
      <c r="K593" s="1473">
        <v>42650</v>
      </c>
      <c r="L593" s="1474" t="s">
        <v>2123</v>
      </c>
      <c r="M593" s="1475">
        <v>5.2531000000000001E-2</v>
      </c>
      <c r="N593" s="1476">
        <v>1.232412590581039</v>
      </c>
      <c r="O593" s="1476">
        <v>1.232412590581039</v>
      </c>
    </row>
    <row r="594" spans="11:15">
      <c r="K594" s="1473">
        <v>42651</v>
      </c>
      <c r="L594" s="1474"/>
      <c r="M594" s="1475">
        <v>0</v>
      </c>
      <c r="N594" s="1476">
        <v>1.232412590581039</v>
      </c>
      <c r="O594" s="1476">
        <v>1.232412590581039</v>
      </c>
    </row>
    <row r="595" spans="11:15">
      <c r="K595" s="1473">
        <v>42652</v>
      </c>
      <c r="L595" s="1474"/>
      <c r="M595" s="1475">
        <v>0</v>
      </c>
      <c r="N595" s="1476">
        <v>1.232412590581039</v>
      </c>
      <c r="O595" s="1476">
        <v>1.232412590581039</v>
      </c>
    </row>
    <row r="596" spans="11:15">
      <c r="K596" s="1473">
        <v>42653</v>
      </c>
      <c r="L596" s="1474" t="s">
        <v>2123</v>
      </c>
      <c r="M596" s="1475">
        <v>5.2531000000000001E-2</v>
      </c>
      <c r="N596" s="1476">
        <v>1.2330599892389971</v>
      </c>
      <c r="O596" s="1476">
        <v>1.2330599892389971</v>
      </c>
    </row>
    <row r="597" spans="11:15">
      <c r="K597" s="1473">
        <v>42654</v>
      </c>
      <c r="L597" s="1474" t="s">
        <v>2123</v>
      </c>
      <c r="M597" s="1475">
        <v>5.2531000000000001E-2</v>
      </c>
      <c r="N597" s="1476">
        <v>1.2337077279819442</v>
      </c>
      <c r="O597" s="1476">
        <v>1.2337077279819442</v>
      </c>
    </row>
    <row r="598" spans="11:15">
      <c r="K598" s="1473">
        <v>42655</v>
      </c>
      <c r="L598" s="1474"/>
      <c r="M598" s="1475">
        <v>0</v>
      </c>
      <c r="N598" s="1476">
        <v>1.2337077279819442</v>
      </c>
      <c r="O598" s="1476">
        <v>1.2337077279819442</v>
      </c>
    </row>
    <row r="599" spans="11:15">
      <c r="K599" s="1473">
        <v>42656</v>
      </c>
      <c r="L599" s="1474" t="s">
        <v>2123</v>
      </c>
      <c r="M599" s="1475">
        <v>5.2531000000000001E-2</v>
      </c>
      <c r="N599" s="1476">
        <v>1.2343558069885303</v>
      </c>
      <c r="O599" s="1476">
        <v>1.2343558069885303</v>
      </c>
    </row>
    <row r="600" spans="11:15">
      <c r="K600" s="1473">
        <v>42657</v>
      </c>
      <c r="L600" s="1474" t="s">
        <v>2123</v>
      </c>
      <c r="M600" s="1475">
        <v>5.2531000000000001E-2</v>
      </c>
      <c r="N600" s="1476">
        <v>1.2350042264374994</v>
      </c>
      <c r="O600" s="1476">
        <v>1.2350042264374994</v>
      </c>
    </row>
    <row r="601" spans="11:15">
      <c r="K601" s="1473">
        <v>42658</v>
      </c>
      <c r="L601" s="1474"/>
      <c r="M601" s="1475">
        <v>0</v>
      </c>
      <c r="N601" s="1476">
        <v>1.2350042264374994</v>
      </c>
      <c r="O601" s="1476">
        <v>1.2350042264374994</v>
      </c>
    </row>
    <row r="602" spans="11:15">
      <c r="K602" s="1473">
        <v>42659</v>
      </c>
      <c r="L602" s="1474"/>
      <c r="M602" s="1475">
        <v>0</v>
      </c>
      <c r="N602" s="1476">
        <v>1.2350042264374994</v>
      </c>
      <c r="O602" s="1476">
        <v>1.2350042264374994</v>
      </c>
    </row>
    <row r="603" spans="11:15">
      <c r="K603" s="1473">
        <v>42660</v>
      </c>
      <c r="L603" s="1474" t="s">
        <v>2123</v>
      </c>
      <c r="M603" s="1475">
        <v>5.2531000000000001E-2</v>
      </c>
      <c r="N603" s="1476">
        <v>1.2356529865076893</v>
      </c>
      <c r="O603" s="1476">
        <v>1.2356529865076893</v>
      </c>
    </row>
    <row r="604" spans="11:15">
      <c r="K604" s="1473">
        <v>42661</v>
      </c>
      <c r="L604" s="1474" t="s">
        <v>2123</v>
      </c>
      <c r="M604" s="1475">
        <v>5.2531000000000001E-2</v>
      </c>
      <c r="N604" s="1476">
        <v>1.2363020873780317</v>
      </c>
      <c r="O604" s="1476">
        <v>1.2363020873780317</v>
      </c>
    </row>
    <row r="605" spans="11:15">
      <c r="K605" s="1473">
        <v>42662</v>
      </c>
      <c r="L605" s="1474" t="s">
        <v>2123</v>
      </c>
      <c r="M605" s="1475">
        <v>5.2531000000000001E-2</v>
      </c>
      <c r="N605" s="1476">
        <v>1.2369515292275524</v>
      </c>
      <c r="O605" s="1476">
        <v>1.2369515292275524</v>
      </c>
    </row>
    <row r="606" spans="11:15">
      <c r="K606" s="1473">
        <v>42663</v>
      </c>
      <c r="L606" s="1474" t="s">
        <v>2123</v>
      </c>
      <c r="M606" s="1475">
        <v>5.1659999999999998E-2</v>
      </c>
      <c r="N606" s="1476">
        <v>1.2375905383875514</v>
      </c>
      <c r="O606" s="1476">
        <v>1.2376013122353708</v>
      </c>
    </row>
    <row r="607" spans="11:15">
      <c r="K607" s="1473">
        <v>42664</v>
      </c>
      <c r="L607" s="1474" t="s">
        <v>2123</v>
      </c>
      <c r="M607" s="1475">
        <v>5.1659999999999998E-2</v>
      </c>
      <c r="N607" s="1476">
        <v>1.2382298776596825</v>
      </c>
      <c r="O607" s="1476">
        <v>1.2382514365807011</v>
      </c>
    </row>
    <row r="608" spans="11:15">
      <c r="K608" s="1473">
        <v>42665</v>
      </c>
      <c r="L608" s="1474"/>
      <c r="M608" s="1475">
        <v>0</v>
      </c>
      <c r="N608" s="1476">
        <v>1.2382298776596825</v>
      </c>
      <c r="O608" s="1476">
        <v>1.2382514365807011</v>
      </c>
    </row>
    <row r="609" spans="11:15">
      <c r="K609" s="1473">
        <v>42666</v>
      </c>
      <c r="L609" s="1474"/>
      <c r="M609" s="1475">
        <v>0</v>
      </c>
      <c r="N609" s="1476">
        <v>1.2382298776596825</v>
      </c>
      <c r="O609" s="1476">
        <v>1.2382514365807011</v>
      </c>
    </row>
    <row r="610" spans="11:15">
      <c r="K610" s="1473">
        <v>42667</v>
      </c>
      <c r="L610" s="1474" t="s">
        <v>2123</v>
      </c>
      <c r="M610" s="1475">
        <v>5.1659999999999998E-2</v>
      </c>
      <c r="N610" s="1476">
        <v>1.2388695472144815</v>
      </c>
      <c r="O610" s="1476">
        <v>1.2389019024428514</v>
      </c>
    </row>
    <row r="611" spans="11:15">
      <c r="K611" s="1473">
        <v>42668</v>
      </c>
      <c r="L611" s="1474" t="s">
        <v>2123</v>
      </c>
      <c r="M611" s="1475">
        <v>5.1659999999999998E-2</v>
      </c>
      <c r="N611" s="1476">
        <v>1.2395095472225726</v>
      </c>
      <c r="O611" s="1476">
        <v>1.2395527100012236</v>
      </c>
    </row>
    <row r="612" spans="11:15">
      <c r="K612" s="1473">
        <v>42669</v>
      </c>
      <c r="L612" s="1474" t="s">
        <v>2123</v>
      </c>
      <c r="M612" s="1475">
        <v>5.1659999999999998E-2</v>
      </c>
      <c r="N612" s="1476">
        <v>1.2401498778546678</v>
      </c>
      <c r="O612" s="1476">
        <v>1.2402038594353144</v>
      </c>
    </row>
    <row r="613" spans="11:15">
      <c r="K613" s="1473">
        <v>42670</v>
      </c>
      <c r="L613" s="1474" t="s">
        <v>2123</v>
      </c>
      <c r="M613" s="1475">
        <v>5.1659999999999998E-2</v>
      </c>
      <c r="N613" s="1476">
        <v>1.2407905392815677</v>
      </c>
      <c r="O613" s="1476">
        <v>1.2408553509247144</v>
      </c>
    </row>
    <row r="614" spans="11:15">
      <c r="K614" s="1473">
        <v>42671</v>
      </c>
      <c r="L614" s="1474" t="s">
        <v>2123</v>
      </c>
      <c r="M614" s="1475">
        <v>5.1659999999999998E-2</v>
      </c>
      <c r="N614" s="1476">
        <v>1.2414315316741606</v>
      </c>
      <c r="O614" s="1476">
        <v>1.2415071846491088</v>
      </c>
    </row>
    <row r="615" spans="11:15">
      <c r="K615" s="1473">
        <v>42672</v>
      </c>
      <c r="L615" s="1474"/>
      <c r="M615" s="1475">
        <v>0</v>
      </c>
      <c r="N615" s="1476">
        <v>1.2414315316741606</v>
      </c>
      <c r="O615" s="1476">
        <v>1.2415071846491088</v>
      </c>
    </row>
    <row r="616" spans="11:15">
      <c r="K616" s="1473">
        <v>42673</v>
      </c>
      <c r="L616" s="1474"/>
      <c r="M616" s="1475">
        <v>0</v>
      </c>
      <c r="N616" s="1476">
        <v>1.2414315316741606</v>
      </c>
      <c r="O616" s="1476">
        <v>1.2415071846491088</v>
      </c>
    </row>
    <row r="617" spans="11:15">
      <c r="K617" s="1473">
        <v>42674</v>
      </c>
      <c r="L617" s="1474" t="s">
        <v>2123</v>
      </c>
      <c r="M617" s="1475">
        <v>5.1659999999999998E-2</v>
      </c>
      <c r="N617" s="1476">
        <v>1.2420728552034237</v>
      </c>
      <c r="O617" s="1476">
        <v>1.2421593607882768</v>
      </c>
    </row>
    <row r="618" spans="11:15">
      <c r="K618" s="1473">
        <v>42675</v>
      </c>
      <c r="L618" s="1474" t="s">
        <v>2123</v>
      </c>
      <c r="M618" s="1475">
        <v>5.1659999999999998E-2</v>
      </c>
      <c r="N618" s="1476">
        <v>1.242714510040422</v>
      </c>
      <c r="O618" s="1476">
        <v>1.2428118795220926</v>
      </c>
    </row>
    <row r="619" spans="11:15">
      <c r="K619" s="1473">
        <v>42676</v>
      </c>
      <c r="L619" s="1474"/>
      <c r="M619" s="1475">
        <v>0</v>
      </c>
      <c r="N619" s="1476">
        <v>1.242714510040422</v>
      </c>
      <c r="O619" s="1476">
        <v>1.2428118795220926</v>
      </c>
    </row>
    <row r="620" spans="11:15">
      <c r="K620" s="1473">
        <v>42677</v>
      </c>
      <c r="L620" s="1474" t="s">
        <v>2123</v>
      </c>
      <c r="M620" s="1475">
        <v>5.1659999999999998E-2</v>
      </c>
      <c r="N620" s="1476">
        <v>1.2433564963563091</v>
      </c>
      <c r="O620" s="1476">
        <v>1.2434647410305244</v>
      </c>
    </row>
    <row r="621" spans="11:15">
      <c r="K621" s="1473">
        <v>42678</v>
      </c>
      <c r="L621" s="1474" t="s">
        <v>2123</v>
      </c>
      <c r="M621" s="1475">
        <v>5.1659999999999998E-2</v>
      </c>
      <c r="N621" s="1476">
        <v>1.2439988143223268</v>
      </c>
      <c r="O621" s="1476">
        <v>1.2441179454936351</v>
      </c>
    </row>
    <row r="622" spans="11:15">
      <c r="K622" s="1473">
        <v>42679</v>
      </c>
      <c r="L622" s="1474"/>
      <c r="M622" s="1475">
        <v>0</v>
      </c>
      <c r="N622" s="1476">
        <v>1.2439988143223268</v>
      </c>
      <c r="O622" s="1476">
        <v>1.2441179454936351</v>
      </c>
    </row>
    <row r="623" spans="11:15">
      <c r="K623" s="1473">
        <v>42680</v>
      </c>
      <c r="L623" s="1474"/>
      <c r="M623" s="1475">
        <v>0</v>
      </c>
      <c r="N623" s="1476">
        <v>1.2439988143223268</v>
      </c>
      <c r="O623" s="1476">
        <v>1.2441179454936351</v>
      </c>
    </row>
    <row r="624" spans="11:15">
      <c r="K624" s="1473">
        <v>42681</v>
      </c>
      <c r="L624" s="1474" t="s">
        <v>2123</v>
      </c>
      <c r="M624" s="1475">
        <v>5.1659999999999998E-2</v>
      </c>
      <c r="N624" s="1476">
        <v>1.2446414641098058</v>
      </c>
      <c r="O624" s="1476">
        <v>1.2447714930915823</v>
      </c>
    </row>
    <row r="625" spans="11:15">
      <c r="K625" s="1473">
        <v>42682</v>
      </c>
      <c r="L625" s="1474" t="s">
        <v>2123</v>
      </c>
      <c r="M625" s="1475">
        <v>5.1659999999999998E-2</v>
      </c>
      <c r="N625" s="1476">
        <v>1.2452844458901651</v>
      </c>
      <c r="O625" s="1476">
        <v>1.2454253840046183</v>
      </c>
    </row>
    <row r="626" spans="11:15">
      <c r="K626" s="1473">
        <v>42683</v>
      </c>
      <c r="L626" s="1474" t="s">
        <v>2123</v>
      </c>
      <c r="M626" s="1475">
        <v>5.1659999999999998E-2</v>
      </c>
      <c r="N626" s="1476">
        <v>1.2459277598349121</v>
      </c>
      <c r="O626" s="1476">
        <v>1.2460796184130898</v>
      </c>
    </row>
    <row r="627" spans="11:15">
      <c r="K627" s="1473">
        <v>42684</v>
      </c>
      <c r="L627" s="1474" t="s">
        <v>2123</v>
      </c>
      <c r="M627" s="1475">
        <v>5.1659999999999998E-2</v>
      </c>
      <c r="N627" s="1476">
        <v>1.246571406115643</v>
      </c>
      <c r="O627" s="1476">
        <v>1.2467341964974383</v>
      </c>
    </row>
    <row r="628" spans="11:15">
      <c r="K628" s="1473">
        <v>42685</v>
      </c>
      <c r="L628" s="1474" t="s">
        <v>2123</v>
      </c>
      <c r="M628" s="1475">
        <v>5.1659999999999998E-2</v>
      </c>
      <c r="N628" s="1476">
        <v>1.2472153849040424</v>
      </c>
      <c r="O628" s="1476">
        <v>1.2473891184382004</v>
      </c>
    </row>
    <row r="629" spans="11:15">
      <c r="K629" s="1473">
        <v>42686</v>
      </c>
      <c r="L629" s="1474"/>
      <c r="M629" s="1475">
        <v>0</v>
      </c>
      <c r="N629" s="1476">
        <v>1.2472153849040424</v>
      </c>
      <c r="O629" s="1476">
        <v>1.2473891184382004</v>
      </c>
    </row>
    <row r="630" spans="11:15">
      <c r="K630" s="1473">
        <v>42687</v>
      </c>
      <c r="L630" s="1474"/>
      <c r="M630" s="1475">
        <v>0</v>
      </c>
      <c r="N630" s="1476">
        <v>1.2472153849040424</v>
      </c>
      <c r="O630" s="1476">
        <v>1.2473891184382004</v>
      </c>
    </row>
    <row r="631" spans="11:15">
      <c r="K631" s="1473">
        <v>42688</v>
      </c>
      <c r="L631" s="1474" t="s">
        <v>2123</v>
      </c>
      <c r="M631" s="1475">
        <v>5.1659999999999998E-2</v>
      </c>
      <c r="N631" s="1476">
        <v>1.247859696371884</v>
      </c>
      <c r="O631" s="1476">
        <v>1.2480443844160072</v>
      </c>
    </row>
    <row r="632" spans="11:15">
      <c r="K632" s="1473">
        <v>42689</v>
      </c>
      <c r="L632" s="1474"/>
      <c r="M632" s="1475">
        <v>0</v>
      </c>
      <c r="N632" s="1476">
        <v>1.247859696371884</v>
      </c>
      <c r="O632" s="1476">
        <v>1.2480443844160072</v>
      </c>
    </row>
    <row r="633" spans="11:15">
      <c r="K633" s="1473">
        <v>42690</v>
      </c>
      <c r="L633" s="1474" t="s">
        <v>2123</v>
      </c>
      <c r="M633" s="1475">
        <v>5.1659999999999998E-2</v>
      </c>
      <c r="N633" s="1476">
        <v>1.2485043406910299</v>
      </c>
      <c r="O633" s="1476">
        <v>1.2486999946115847</v>
      </c>
    </row>
    <row r="634" spans="11:15">
      <c r="K634" s="1473">
        <v>42691</v>
      </c>
      <c r="L634" s="1474" t="s">
        <v>2123</v>
      </c>
      <c r="M634" s="1475">
        <v>5.1659999999999998E-2</v>
      </c>
      <c r="N634" s="1476">
        <v>1.249149318033431</v>
      </c>
      <c r="O634" s="1476">
        <v>1.249355949205754</v>
      </c>
    </row>
    <row r="635" spans="11:15">
      <c r="K635" s="1473">
        <v>42692</v>
      </c>
      <c r="L635" s="1474" t="s">
        <v>2123</v>
      </c>
      <c r="M635" s="1475">
        <v>5.1659999999999998E-2</v>
      </c>
      <c r="N635" s="1476">
        <v>1.2497946285711272</v>
      </c>
      <c r="O635" s="1476">
        <v>1.2500122483794314</v>
      </c>
    </row>
    <row r="636" spans="11:15">
      <c r="K636" s="1473">
        <v>42693</v>
      </c>
      <c r="L636" s="1474"/>
      <c r="M636" s="1475">
        <v>0</v>
      </c>
      <c r="N636" s="1476">
        <v>1.2497946285711272</v>
      </c>
      <c r="O636" s="1476">
        <v>1.2500122483794314</v>
      </c>
    </row>
    <row r="637" spans="11:15">
      <c r="K637" s="1473">
        <v>42694</v>
      </c>
      <c r="L637" s="1474"/>
      <c r="M637" s="1475">
        <v>0</v>
      </c>
      <c r="N637" s="1476">
        <v>1.2497946285711272</v>
      </c>
      <c r="O637" s="1476">
        <v>1.2500122483794314</v>
      </c>
    </row>
    <row r="638" spans="11:15">
      <c r="K638" s="1473">
        <v>42695</v>
      </c>
      <c r="L638" s="1474" t="s">
        <v>2123</v>
      </c>
      <c r="M638" s="1475">
        <v>5.1659999999999998E-2</v>
      </c>
      <c r="N638" s="1476">
        <v>1.2504402724762471</v>
      </c>
      <c r="O638" s="1476">
        <v>1.2506688923136275</v>
      </c>
    </row>
    <row r="639" spans="11:15">
      <c r="K639" s="1473">
        <v>42696</v>
      </c>
      <c r="L639" s="1474" t="s">
        <v>2123</v>
      </c>
      <c r="M639" s="1475">
        <v>5.1659999999999998E-2</v>
      </c>
      <c r="N639" s="1476">
        <v>1.2510862499210085</v>
      </c>
      <c r="O639" s="1476">
        <v>1.2513258811894488</v>
      </c>
    </row>
    <row r="640" spans="11:15">
      <c r="K640" s="1473">
        <v>42697</v>
      </c>
      <c r="L640" s="1474" t="s">
        <v>2123</v>
      </c>
      <c r="M640" s="1475">
        <v>5.1659999999999998E-2</v>
      </c>
      <c r="N640" s="1476">
        <v>1.2517325610777177</v>
      </c>
      <c r="O640" s="1476">
        <v>1.2519832151880963</v>
      </c>
    </row>
    <row r="641" spans="11:15">
      <c r="K641" s="1473">
        <v>42698</v>
      </c>
      <c r="L641" s="1474" t="s">
        <v>2123</v>
      </c>
      <c r="M641" s="1475">
        <v>5.1659999999999998E-2</v>
      </c>
      <c r="N641" s="1476">
        <v>1.2523792061187706</v>
      </c>
      <c r="O641" s="1476">
        <v>1.2526408944908667</v>
      </c>
    </row>
    <row r="642" spans="11:15">
      <c r="K642" s="1473">
        <v>42699</v>
      </c>
      <c r="L642" s="1474" t="s">
        <v>2123</v>
      </c>
      <c r="M642" s="1475">
        <v>5.1659999999999998E-2</v>
      </c>
      <c r="N642" s="1476">
        <v>1.2530261852166518</v>
      </c>
      <c r="O642" s="1476">
        <v>1.2532989192791517</v>
      </c>
    </row>
    <row r="643" spans="11:15">
      <c r="K643" s="1473">
        <v>42700</v>
      </c>
      <c r="L643" s="1474"/>
      <c r="M643" s="1475">
        <v>0</v>
      </c>
      <c r="N643" s="1476">
        <v>1.2530261852166518</v>
      </c>
      <c r="O643" s="1476">
        <v>1.2532989192791517</v>
      </c>
    </row>
    <row r="644" spans="11:15">
      <c r="K644" s="1473">
        <v>42701</v>
      </c>
      <c r="L644" s="1474"/>
      <c r="M644" s="1475">
        <v>0</v>
      </c>
      <c r="N644" s="1476">
        <v>1.2530261852166518</v>
      </c>
      <c r="O644" s="1476">
        <v>1.2532989192791517</v>
      </c>
    </row>
    <row r="645" spans="11:15">
      <c r="K645" s="1473">
        <v>42702</v>
      </c>
      <c r="L645" s="1474" t="s">
        <v>2123</v>
      </c>
      <c r="M645" s="1475">
        <v>5.1659999999999998E-2</v>
      </c>
      <c r="N645" s="1476">
        <v>1.2536734985439348</v>
      </c>
      <c r="O645" s="1476">
        <v>1.2539572897344382</v>
      </c>
    </row>
    <row r="646" spans="11:15">
      <c r="K646" s="1473">
        <v>42703</v>
      </c>
      <c r="L646" s="1474" t="s">
        <v>2123</v>
      </c>
      <c r="M646" s="1475">
        <v>5.1659999999999998E-2</v>
      </c>
      <c r="N646" s="1476">
        <v>1.2543211462732828</v>
      </c>
      <c r="O646" s="1476">
        <v>1.2546160060383087</v>
      </c>
    </row>
    <row r="647" spans="11:15">
      <c r="K647" s="1473">
        <v>42704</v>
      </c>
      <c r="L647" s="1474" t="s">
        <v>2123</v>
      </c>
      <c r="M647" s="1475">
        <v>5.1659999999999998E-2</v>
      </c>
      <c r="N647" s="1476">
        <v>1.2549691285774478</v>
      </c>
      <c r="O647" s="1476">
        <v>1.2552750683724407</v>
      </c>
    </row>
    <row r="648" spans="11:15">
      <c r="K648" s="1473">
        <v>42705</v>
      </c>
      <c r="L648" s="1474" t="s">
        <v>2123</v>
      </c>
      <c r="M648" s="1475">
        <v>5.0788E-2</v>
      </c>
      <c r="N648" s="1476">
        <v>1.2556065022984697</v>
      </c>
      <c r="O648" s="1476">
        <v>1.2559344769186074</v>
      </c>
    </row>
    <row r="649" spans="11:15">
      <c r="K649" s="1473">
        <v>42706</v>
      </c>
      <c r="L649" s="1474" t="s">
        <v>2123</v>
      </c>
      <c r="M649" s="1475">
        <v>5.0788E-2</v>
      </c>
      <c r="N649" s="1476">
        <v>1.2562441997288571</v>
      </c>
      <c r="O649" s="1476">
        <v>1.2565942318586776</v>
      </c>
    </row>
    <row r="650" spans="11:15">
      <c r="K650" s="1473">
        <v>42707</v>
      </c>
      <c r="L650" s="1474"/>
      <c r="M650" s="1475">
        <v>0</v>
      </c>
      <c r="N650" s="1476">
        <v>1.2562441997288571</v>
      </c>
      <c r="O650" s="1476">
        <v>1.2565942318586776</v>
      </c>
    </row>
    <row r="651" spans="11:15">
      <c r="K651" s="1473">
        <v>42708</v>
      </c>
      <c r="L651" s="1474"/>
      <c r="M651" s="1475">
        <v>0</v>
      </c>
      <c r="N651" s="1476">
        <v>1.2562441997288571</v>
      </c>
      <c r="O651" s="1476">
        <v>1.2565942318586776</v>
      </c>
    </row>
    <row r="652" spans="11:15">
      <c r="K652" s="1473">
        <v>42709</v>
      </c>
      <c r="L652" s="1474" t="s">
        <v>2123</v>
      </c>
      <c r="M652" s="1475">
        <v>5.0788E-2</v>
      </c>
      <c r="N652" s="1476">
        <v>1.2568822210330155</v>
      </c>
      <c r="O652" s="1476">
        <v>1.2572543333746153</v>
      </c>
    </row>
    <row r="653" spans="11:15">
      <c r="K653" s="1473">
        <v>42710</v>
      </c>
      <c r="L653" s="1474" t="s">
        <v>2123</v>
      </c>
      <c r="M653" s="1475">
        <v>5.0788E-2</v>
      </c>
      <c r="N653" s="1476">
        <v>1.2575205663754339</v>
      </c>
      <c r="O653" s="1476">
        <v>1.2579147816484804</v>
      </c>
    </row>
    <row r="654" spans="11:15">
      <c r="K654" s="1473">
        <v>42711</v>
      </c>
      <c r="L654" s="1474" t="s">
        <v>2123</v>
      </c>
      <c r="M654" s="1475">
        <v>5.0788E-2</v>
      </c>
      <c r="N654" s="1476">
        <v>1.2581592359206846</v>
      </c>
      <c r="O654" s="1476">
        <v>1.258575576862428</v>
      </c>
    </row>
    <row r="655" spans="11:15">
      <c r="K655" s="1473">
        <v>42712</v>
      </c>
      <c r="L655" s="1474" t="s">
        <v>2123</v>
      </c>
      <c r="M655" s="1475">
        <v>5.0788E-2</v>
      </c>
      <c r="N655" s="1476">
        <v>1.2587982298334239</v>
      </c>
      <c r="O655" s="1476">
        <v>1.2592367191987097</v>
      </c>
    </row>
    <row r="656" spans="11:15">
      <c r="K656" s="1473">
        <v>42713</v>
      </c>
      <c r="L656" s="1474" t="s">
        <v>2123</v>
      </c>
      <c r="M656" s="1475">
        <v>5.0788E-2</v>
      </c>
      <c r="N656" s="1476">
        <v>1.2594375482783917</v>
      </c>
      <c r="O656" s="1476">
        <v>1.259898208839672</v>
      </c>
    </row>
    <row r="657" spans="11:15">
      <c r="K657" s="1473">
        <v>42714</v>
      </c>
      <c r="L657" s="1474"/>
      <c r="M657" s="1475">
        <v>0</v>
      </c>
      <c r="N657" s="1476">
        <v>1.2594375482783917</v>
      </c>
      <c r="O657" s="1476">
        <v>1.259898208839672</v>
      </c>
    </row>
    <row r="658" spans="11:15">
      <c r="K658" s="1473">
        <v>42715</v>
      </c>
      <c r="L658" s="1474"/>
      <c r="M658" s="1475">
        <v>0</v>
      </c>
      <c r="N658" s="1476">
        <v>1.2594375482783917</v>
      </c>
      <c r="O658" s="1476">
        <v>1.259898208839672</v>
      </c>
    </row>
    <row r="659" spans="11:15">
      <c r="K659" s="1473">
        <v>42716</v>
      </c>
      <c r="L659" s="1474" t="s">
        <v>2123</v>
      </c>
      <c r="M659" s="1475">
        <v>5.0788E-2</v>
      </c>
      <c r="N659" s="1476">
        <v>1.2600771914204114</v>
      </c>
      <c r="O659" s="1476">
        <v>1.2605600459677575</v>
      </c>
    </row>
    <row r="660" spans="11:15">
      <c r="K660" s="1473">
        <v>42717</v>
      </c>
      <c r="L660" s="1474" t="s">
        <v>2123</v>
      </c>
      <c r="M660" s="1475">
        <v>5.0788E-2</v>
      </c>
      <c r="N660" s="1476">
        <v>1.26071715942439</v>
      </c>
      <c r="O660" s="1476">
        <v>1.2612222307655048</v>
      </c>
    </row>
    <row r="661" spans="11:15">
      <c r="K661" s="1473">
        <v>42718</v>
      </c>
      <c r="L661" s="1474" t="s">
        <v>2123</v>
      </c>
      <c r="M661" s="1475">
        <v>5.0788E-2</v>
      </c>
      <c r="N661" s="1476">
        <v>1.2613574524553184</v>
      </c>
      <c r="O661" s="1476">
        <v>1.2618847634155481</v>
      </c>
    </row>
    <row r="662" spans="11:15">
      <c r="K662" s="1473">
        <v>42719</v>
      </c>
      <c r="L662" s="1474" t="s">
        <v>2123</v>
      </c>
      <c r="M662" s="1475">
        <v>5.0788E-2</v>
      </c>
      <c r="N662" s="1476">
        <v>1.2619980706782714</v>
      </c>
      <c r="O662" s="1476">
        <v>1.262547644100618</v>
      </c>
    </row>
    <row r="663" spans="11:15">
      <c r="K663" s="1473">
        <v>42720</v>
      </c>
      <c r="L663" s="1474" t="s">
        <v>2123</v>
      </c>
      <c r="M663" s="1475">
        <v>5.0788E-2</v>
      </c>
      <c r="N663" s="1476">
        <v>1.2626390142584074</v>
      </c>
      <c r="O663" s="1476">
        <v>1.2632108730035405</v>
      </c>
    </row>
    <row r="664" spans="11:15">
      <c r="K664" s="1473">
        <v>42721</v>
      </c>
      <c r="L664" s="1474"/>
      <c r="M664" s="1475">
        <v>0</v>
      </c>
      <c r="N664" s="1476">
        <v>1.2626390142584074</v>
      </c>
      <c r="O664" s="1476">
        <v>1.2632108730035405</v>
      </c>
    </row>
    <row r="665" spans="11:15">
      <c r="K665" s="1473">
        <v>42722</v>
      </c>
      <c r="L665" s="1474"/>
      <c r="M665" s="1475">
        <v>0</v>
      </c>
      <c r="N665" s="1476">
        <v>1.2626390142584074</v>
      </c>
      <c r="O665" s="1476">
        <v>1.2632108730035405</v>
      </c>
    </row>
    <row r="666" spans="11:15">
      <c r="K666" s="1473">
        <v>42723</v>
      </c>
      <c r="L666" s="1474" t="s">
        <v>2123</v>
      </c>
      <c r="M666" s="1475">
        <v>5.0788E-2</v>
      </c>
      <c r="N666" s="1476">
        <v>1.2632802833609691</v>
      </c>
      <c r="O666" s="1476">
        <v>1.2638744503072381</v>
      </c>
    </row>
    <row r="667" spans="11:15">
      <c r="K667" s="1473">
        <v>42724</v>
      </c>
      <c r="L667" s="1474" t="s">
        <v>2123</v>
      </c>
      <c r="M667" s="1475">
        <v>5.0788E-2</v>
      </c>
      <c r="N667" s="1476">
        <v>1.2639218781512824</v>
      </c>
      <c r="O667" s="1476">
        <v>1.2645383761947291</v>
      </c>
    </row>
    <row r="668" spans="11:15">
      <c r="K668" s="1473">
        <v>42725</v>
      </c>
      <c r="L668" s="1474" t="s">
        <v>2123</v>
      </c>
      <c r="M668" s="1475">
        <v>5.0788E-2</v>
      </c>
      <c r="N668" s="1476">
        <v>1.264563798794758</v>
      </c>
      <c r="O668" s="1476">
        <v>1.2652026508491279</v>
      </c>
    </row>
    <row r="669" spans="11:15">
      <c r="K669" s="1473">
        <v>42726</v>
      </c>
      <c r="L669" s="1474" t="s">
        <v>2123</v>
      </c>
      <c r="M669" s="1475">
        <v>5.0788E-2</v>
      </c>
      <c r="N669" s="1476">
        <v>1.2652060454568899</v>
      </c>
      <c r="O669" s="1476">
        <v>1.2658672744536454</v>
      </c>
    </row>
    <row r="670" spans="11:15">
      <c r="K670" s="1473">
        <v>42727</v>
      </c>
      <c r="L670" s="1474" t="s">
        <v>2123</v>
      </c>
      <c r="M670" s="1475">
        <v>5.0788E-2</v>
      </c>
      <c r="N670" s="1476">
        <v>1.2658486183032565</v>
      </c>
      <c r="O670" s="1476">
        <v>1.2665322471915887</v>
      </c>
    </row>
    <row r="671" spans="11:15">
      <c r="K671" s="1473">
        <v>42728</v>
      </c>
      <c r="L671" s="1474"/>
      <c r="M671" s="1475">
        <v>0</v>
      </c>
      <c r="N671" s="1476">
        <v>1.2658486183032565</v>
      </c>
      <c r="O671" s="1476">
        <v>1.2665322471915887</v>
      </c>
    </row>
    <row r="672" spans="11:15">
      <c r="K672" s="1473">
        <v>42729</v>
      </c>
      <c r="L672" s="1474"/>
      <c r="M672" s="1475">
        <v>0</v>
      </c>
      <c r="N672" s="1476">
        <v>1.2658486183032565</v>
      </c>
      <c r="O672" s="1476">
        <v>1.2665322471915887</v>
      </c>
    </row>
    <row r="673" spans="11:15">
      <c r="K673" s="1473">
        <v>42730</v>
      </c>
      <c r="L673" s="1474" t="s">
        <v>2123</v>
      </c>
      <c r="M673" s="1475">
        <v>5.0788E-2</v>
      </c>
      <c r="N673" s="1476">
        <v>1.2664915174995204</v>
      </c>
      <c r="O673" s="1476">
        <v>1.2671975692463611</v>
      </c>
    </row>
    <row r="674" spans="11:15">
      <c r="K674" s="1473">
        <v>42731</v>
      </c>
      <c r="L674" s="1474" t="s">
        <v>2123</v>
      </c>
      <c r="M674" s="1475">
        <v>5.0788E-2</v>
      </c>
      <c r="N674" s="1476">
        <v>1.2671347432114282</v>
      </c>
      <c r="O674" s="1476">
        <v>1.2678632408014618</v>
      </c>
    </row>
    <row r="675" spans="11:15">
      <c r="K675" s="1473">
        <v>42732</v>
      </c>
      <c r="L675" s="1474" t="s">
        <v>2123</v>
      </c>
      <c r="M675" s="1475">
        <v>5.0788E-2</v>
      </c>
      <c r="N675" s="1476">
        <v>1.2677782956048105</v>
      </c>
      <c r="O675" s="1476">
        <v>1.2685292620404873</v>
      </c>
    </row>
    <row r="676" spans="11:15">
      <c r="K676" s="1473">
        <v>42733</v>
      </c>
      <c r="L676" s="1474" t="s">
        <v>2123</v>
      </c>
      <c r="M676" s="1475">
        <v>5.0788E-2</v>
      </c>
      <c r="N676" s="1476">
        <v>1.2684221748455822</v>
      </c>
      <c r="O676" s="1476">
        <v>1.2691956331471299</v>
      </c>
    </row>
    <row r="677" spans="11:15">
      <c r="K677" s="1473">
        <v>42734</v>
      </c>
      <c r="L677" s="1474" t="s">
        <v>2123</v>
      </c>
      <c r="M677" s="1475">
        <v>5.0788E-2</v>
      </c>
      <c r="N677" s="1476">
        <v>1.2690663810997427</v>
      </c>
      <c r="O677" s="1476">
        <v>1.2698623543051784</v>
      </c>
    </row>
    <row r="678" spans="11:15">
      <c r="K678" s="1473">
        <v>42735</v>
      </c>
      <c r="L678" s="1474"/>
      <c r="M678" s="1475">
        <v>0</v>
      </c>
      <c r="N678" s="1476">
        <v>1.2690663810997427</v>
      </c>
      <c r="O678" s="1476">
        <v>1.2698623543051784</v>
      </c>
    </row>
    <row r="679" spans="11:15">
      <c r="K679" s="1473">
        <v>42736</v>
      </c>
      <c r="L679" s="1474"/>
      <c r="M679" s="1475">
        <v>0</v>
      </c>
      <c r="N679" s="1476">
        <v>1.2690663810997427</v>
      </c>
      <c r="O679" s="1476">
        <v>1.2698623543051784</v>
      </c>
    </row>
    <row r="680" spans="11:15">
      <c r="K680" s="1473">
        <v>42737</v>
      </c>
      <c r="L680" s="1474" t="s">
        <v>2123</v>
      </c>
      <c r="M680" s="1475">
        <v>5.0788E-2</v>
      </c>
      <c r="N680" s="1476">
        <v>1.2697109145333756</v>
      </c>
      <c r="O680" s="1476">
        <v>1.2705294256985185</v>
      </c>
    </row>
    <row r="681" spans="11:15">
      <c r="K681" s="1473">
        <v>42738</v>
      </c>
      <c r="L681" s="1474" t="s">
        <v>2123</v>
      </c>
      <c r="M681" s="1475">
        <v>5.0788E-2</v>
      </c>
      <c r="N681" s="1476">
        <v>1.2703557753126489</v>
      </c>
      <c r="O681" s="1476">
        <v>1.2711968475111322</v>
      </c>
    </row>
    <row r="682" spans="11:15">
      <c r="K682" s="1473">
        <v>42739</v>
      </c>
      <c r="L682" s="1474" t="s">
        <v>2123</v>
      </c>
      <c r="M682" s="1475">
        <v>5.0788E-2</v>
      </c>
      <c r="N682" s="1476">
        <v>1.2710009636038146</v>
      </c>
      <c r="O682" s="1476">
        <v>1.2718646199270982</v>
      </c>
    </row>
    <row r="683" spans="11:15">
      <c r="K683" s="1473">
        <v>42740</v>
      </c>
      <c r="L683" s="1474" t="s">
        <v>2123</v>
      </c>
      <c r="M683" s="1475">
        <v>5.0788E-2</v>
      </c>
      <c r="N683" s="1476">
        <v>1.2716464795732099</v>
      </c>
      <c r="O683" s="1476">
        <v>1.2725327431305922</v>
      </c>
    </row>
    <row r="684" spans="11:15">
      <c r="K684" s="1473">
        <v>42741</v>
      </c>
      <c r="L684" s="1474" t="s">
        <v>2123</v>
      </c>
      <c r="M684" s="1475">
        <v>5.0788E-2</v>
      </c>
      <c r="N684" s="1476">
        <v>1.2722923233872556</v>
      </c>
      <c r="O684" s="1476">
        <v>1.2732012173058862</v>
      </c>
    </row>
    <row r="685" spans="11:15">
      <c r="K685" s="1473">
        <v>42742</v>
      </c>
      <c r="L685" s="1474"/>
      <c r="M685" s="1475">
        <v>0</v>
      </c>
      <c r="N685" s="1476">
        <v>1.2722923233872556</v>
      </c>
      <c r="O685" s="1476">
        <v>1.2732012173058862</v>
      </c>
    </row>
    <row r="686" spans="11:15">
      <c r="K686" s="1473">
        <v>42743</v>
      </c>
      <c r="L686" s="1474"/>
      <c r="M686" s="1475">
        <v>0</v>
      </c>
      <c r="N686" s="1476">
        <v>1.2722923233872556</v>
      </c>
      <c r="O686" s="1476">
        <v>1.2732012173058862</v>
      </c>
    </row>
    <row r="687" spans="11:15">
      <c r="K687" s="1473">
        <v>42744</v>
      </c>
      <c r="L687" s="1474" t="s">
        <v>2123</v>
      </c>
      <c r="M687" s="1475">
        <v>5.0788E-2</v>
      </c>
      <c r="N687" s="1476">
        <v>1.2729384952124576</v>
      </c>
      <c r="O687" s="1476">
        <v>1.2738700426373493</v>
      </c>
    </row>
    <row r="688" spans="11:15">
      <c r="K688" s="1473">
        <v>42745</v>
      </c>
      <c r="L688" s="1474" t="s">
        <v>2123</v>
      </c>
      <c r="M688" s="1475">
        <v>5.0788E-2</v>
      </c>
      <c r="N688" s="1476">
        <v>1.2735849952154061</v>
      </c>
      <c r="O688" s="1476">
        <v>1.2745392193094471</v>
      </c>
    </row>
    <row r="689" spans="11:15">
      <c r="K689" s="1473">
        <v>42746</v>
      </c>
      <c r="L689" s="1474" t="s">
        <v>2123</v>
      </c>
      <c r="M689" s="1475">
        <v>5.0788E-2</v>
      </c>
      <c r="N689" s="1476">
        <v>1.2742318235627761</v>
      </c>
      <c r="O689" s="1476">
        <v>1.2752087475067426</v>
      </c>
    </row>
    <row r="690" spans="11:15">
      <c r="K690" s="1473">
        <v>42747</v>
      </c>
      <c r="L690" s="1474" t="s">
        <v>2123</v>
      </c>
      <c r="M690" s="1475">
        <v>4.8159E-2</v>
      </c>
      <c r="N690" s="1476">
        <v>1.2748454808666856</v>
      </c>
      <c r="O690" s="1476">
        <v>1.2758786274138953</v>
      </c>
    </row>
    <row r="691" spans="11:15">
      <c r="K691" s="1473">
        <v>42748</v>
      </c>
      <c r="L691" s="1474" t="s">
        <v>2123</v>
      </c>
      <c r="M691" s="1475">
        <v>4.8159E-2</v>
      </c>
      <c r="N691" s="1476">
        <v>1.2754594337018161</v>
      </c>
      <c r="O691" s="1476">
        <v>1.2765488592156622</v>
      </c>
    </row>
    <row r="692" spans="11:15">
      <c r="K692" s="1473">
        <v>42749</v>
      </c>
      <c r="L692" s="1474"/>
      <c r="M692" s="1475">
        <v>0</v>
      </c>
      <c r="N692" s="1476">
        <v>1.2754594337018161</v>
      </c>
      <c r="O692" s="1476">
        <v>1.2765488592156622</v>
      </c>
    </row>
    <row r="693" spans="11:15">
      <c r="K693" s="1473">
        <v>42750</v>
      </c>
      <c r="L693" s="1474"/>
      <c r="M693" s="1475">
        <v>0</v>
      </c>
      <c r="N693" s="1476">
        <v>1.2754594337018161</v>
      </c>
      <c r="O693" s="1476">
        <v>1.2765488592156622</v>
      </c>
    </row>
    <row r="694" spans="11:15">
      <c r="K694" s="1473">
        <v>42751</v>
      </c>
      <c r="L694" s="1474" t="s">
        <v>2123</v>
      </c>
      <c r="M694" s="1475">
        <v>4.8159E-2</v>
      </c>
      <c r="N694" s="1476">
        <v>1.2760736822104926</v>
      </c>
      <c r="O694" s="1476">
        <v>1.2772194430968968</v>
      </c>
    </row>
    <row r="695" spans="11:15">
      <c r="K695" s="1473">
        <v>42752</v>
      </c>
      <c r="L695" s="1474" t="s">
        <v>2123</v>
      </c>
      <c r="M695" s="1475">
        <v>4.8159E-2</v>
      </c>
      <c r="N695" s="1476">
        <v>1.2766882265351083</v>
      </c>
      <c r="O695" s="1476">
        <v>1.27789037924255</v>
      </c>
    </row>
    <row r="696" spans="11:15">
      <c r="K696" s="1473">
        <v>42753</v>
      </c>
      <c r="L696" s="1474" t="s">
        <v>2123</v>
      </c>
      <c r="M696" s="1475">
        <v>4.8159E-2</v>
      </c>
      <c r="N696" s="1476">
        <v>1.2773030668181251</v>
      </c>
      <c r="O696" s="1476">
        <v>1.2785616678376699</v>
      </c>
    </row>
    <row r="697" spans="11:15">
      <c r="K697" s="1473">
        <v>42754</v>
      </c>
      <c r="L697" s="1474" t="s">
        <v>2123</v>
      </c>
      <c r="M697" s="1475">
        <v>4.8159E-2</v>
      </c>
      <c r="N697" s="1476">
        <v>1.2779182032020739</v>
      </c>
      <c r="O697" s="1476">
        <v>1.2792333090674017</v>
      </c>
    </row>
    <row r="698" spans="11:15">
      <c r="K698" s="1473">
        <v>42755</v>
      </c>
      <c r="L698" s="1474" t="s">
        <v>2123</v>
      </c>
      <c r="M698" s="1475">
        <v>4.8159E-2</v>
      </c>
      <c r="N698" s="1476">
        <v>1.278533635829554</v>
      </c>
      <c r="O698" s="1476">
        <v>1.279905303116988</v>
      </c>
    </row>
    <row r="699" spans="11:15">
      <c r="K699" s="1473">
        <v>42756</v>
      </c>
      <c r="L699" s="1474"/>
      <c r="M699" s="1475">
        <v>0</v>
      </c>
      <c r="N699" s="1476">
        <v>1.278533635829554</v>
      </c>
      <c r="O699" s="1476">
        <v>1.279905303116988</v>
      </c>
    </row>
    <row r="700" spans="11:15">
      <c r="K700" s="1473">
        <v>42757</v>
      </c>
      <c r="L700" s="1474"/>
      <c r="M700" s="1475">
        <v>0</v>
      </c>
      <c r="N700" s="1476">
        <v>1.278533635829554</v>
      </c>
      <c r="O700" s="1476">
        <v>1.279905303116988</v>
      </c>
    </row>
    <row r="701" spans="11:15">
      <c r="K701" s="1473">
        <v>42758</v>
      </c>
      <c r="L701" s="1474" t="s">
        <v>2123</v>
      </c>
      <c r="M701" s="1475">
        <v>4.8159E-2</v>
      </c>
      <c r="N701" s="1476">
        <v>1.279149364843233</v>
      </c>
      <c r="O701" s="1476">
        <v>1.2805776501717685</v>
      </c>
    </row>
    <row r="702" spans="11:15">
      <c r="K702" s="1473">
        <v>42759</v>
      </c>
      <c r="L702" s="1474" t="s">
        <v>2123</v>
      </c>
      <c r="M702" s="1475">
        <v>4.8159E-2</v>
      </c>
      <c r="N702" s="1476">
        <v>1.2797653903858479</v>
      </c>
      <c r="O702" s="1476">
        <v>1.2812503504171802</v>
      </c>
    </row>
    <row r="703" spans="11:15">
      <c r="K703" s="1473">
        <v>42760</v>
      </c>
      <c r="L703" s="1474" t="s">
        <v>2123</v>
      </c>
      <c r="M703" s="1475">
        <v>4.8159E-2</v>
      </c>
      <c r="N703" s="1476">
        <v>1.2803817126002037</v>
      </c>
      <c r="O703" s="1476">
        <v>1.2819234040387577</v>
      </c>
    </row>
    <row r="704" spans="11:15">
      <c r="K704" s="1473">
        <v>42761</v>
      </c>
      <c r="L704" s="1474" t="s">
        <v>2123</v>
      </c>
      <c r="M704" s="1475">
        <v>4.8159E-2</v>
      </c>
      <c r="N704" s="1476">
        <v>1.2809983316291746</v>
      </c>
      <c r="O704" s="1476">
        <v>1.2825968112221333</v>
      </c>
    </row>
    <row r="705" spans="11:15">
      <c r="K705" s="1473">
        <v>42762</v>
      </c>
      <c r="L705" s="1474" t="s">
        <v>2123</v>
      </c>
      <c r="M705" s="1475">
        <v>4.8159E-2</v>
      </c>
      <c r="N705" s="1476">
        <v>1.2816152476157039</v>
      </c>
      <c r="O705" s="1476">
        <v>1.2832705721530364</v>
      </c>
    </row>
    <row r="706" spans="11:15">
      <c r="K706" s="1473">
        <v>42763</v>
      </c>
      <c r="L706" s="1474"/>
      <c r="M706" s="1475">
        <v>0</v>
      </c>
      <c r="N706" s="1476">
        <v>1.2816152476157039</v>
      </c>
      <c r="O706" s="1476">
        <v>1.2832705721530364</v>
      </c>
    </row>
    <row r="707" spans="11:15">
      <c r="K707" s="1473">
        <v>42764</v>
      </c>
      <c r="L707" s="1474"/>
      <c r="M707" s="1475">
        <v>0</v>
      </c>
      <c r="N707" s="1476">
        <v>1.2816152476157039</v>
      </c>
      <c r="O707" s="1476">
        <v>1.2832705721530364</v>
      </c>
    </row>
    <row r="708" spans="11:15">
      <c r="K708" s="1473">
        <v>42765</v>
      </c>
      <c r="L708" s="1474" t="s">
        <v>2123</v>
      </c>
      <c r="M708" s="1475">
        <v>4.8159E-2</v>
      </c>
      <c r="N708" s="1476">
        <v>1.2822324607028031</v>
      </c>
      <c r="O708" s="1476">
        <v>1.2839446870172941</v>
      </c>
    </row>
    <row r="709" spans="11:15">
      <c r="K709" s="1473">
        <v>42766</v>
      </c>
      <c r="L709" s="1474" t="s">
        <v>2123</v>
      </c>
      <c r="M709" s="1475">
        <v>4.8159E-2</v>
      </c>
      <c r="N709" s="1476">
        <v>1.2828499710335528</v>
      </c>
      <c r="O709" s="1476">
        <v>1.2846191560008311</v>
      </c>
    </row>
    <row r="710" spans="11:15">
      <c r="K710" s="1473">
        <v>42767</v>
      </c>
      <c r="L710" s="1474" t="s">
        <v>2123</v>
      </c>
      <c r="M710" s="1475">
        <v>4.8159E-2</v>
      </c>
      <c r="N710" s="1476">
        <v>1.2834677787511029</v>
      </c>
      <c r="O710" s="1476">
        <v>1.2852939792896698</v>
      </c>
    </row>
    <row r="711" spans="11:15">
      <c r="K711" s="1473">
        <v>42768</v>
      </c>
      <c r="L711" s="1474" t="s">
        <v>2123</v>
      </c>
      <c r="M711" s="1475">
        <v>4.8159E-2</v>
      </c>
      <c r="N711" s="1476">
        <v>1.2840858839986715</v>
      </c>
      <c r="O711" s="1476">
        <v>1.2859691570699305</v>
      </c>
    </row>
    <row r="712" spans="11:15">
      <c r="K712" s="1473">
        <v>42769</v>
      </c>
      <c r="L712" s="1474" t="s">
        <v>2123</v>
      </c>
      <c r="M712" s="1475">
        <v>4.8159E-2</v>
      </c>
      <c r="N712" s="1476">
        <v>1.2847042869195464</v>
      </c>
      <c r="O712" s="1476">
        <v>1.286644689527831</v>
      </c>
    </row>
    <row r="713" spans="11:15">
      <c r="K713" s="1473">
        <v>42770</v>
      </c>
      <c r="L713" s="1474"/>
      <c r="M713" s="1475">
        <v>0</v>
      </c>
      <c r="N713" s="1476">
        <v>1.2847042869195464</v>
      </c>
      <c r="O713" s="1476">
        <v>1.286644689527831</v>
      </c>
    </row>
    <row r="714" spans="11:15">
      <c r="K714" s="1473">
        <v>42771</v>
      </c>
      <c r="L714" s="1474"/>
      <c r="M714" s="1475">
        <v>0</v>
      </c>
      <c r="N714" s="1476">
        <v>1.2847042869195464</v>
      </c>
      <c r="O714" s="1476">
        <v>1.286644689527831</v>
      </c>
    </row>
    <row r="715" spans="11:15">
      <c r="K715" s="1473">
        <v>42772</v>
      </c>
      <c r="L715" s="1474" t="s">
        <v>2123</v>
      </c>
      <c r="M715" s="1475">
        <v>4.8159E-2</v>
      </c>
      <c r="N715" s="1476">
        <v>1.285322987657084</v>
      </c>
      <c r="O715" s="1476">
        <v>1.2873205768496869</v>
      </c>
    </row>
    <row r="716" spans="11:15">
      <c r="K716" s="1473">
        <v>42773</v>
      </c>
      <c r="L716" s="1474" t="s">
        <v>2123</v>
      </c>
      <c r="M716" s="1475">
        <v>4.8159E-2</v>
      </c>
      <c r="N716" s="1476">
        <v>1.2859419863547097</v>
      </c>
      <c r="O716" s="1476">
        <v>1.2879968192219118</v>
      </c>
    </row>
    <row r="717" spans="11:15">
      <c r="K717" s="1473">
        <v>42774</v>
      </c>
      <c r="L717" s="1474" t="s">
        <v>2123</v>
      </c>
      <c r="M717" s="1475">
        <v>4.8159E-2</v>
      </c>
      <c r="N717" s="1476">
        <v>1.2865612831559181</v>
      </c>
      <c r="O717" s="1476">
        <v>1.2886734168310172</v>
      </c>
    </row>
    <row r="718" spans="11:15">
      <c r="K718" s="1473">
        <v>42775</v>
      </c>
      <c r="L718" s="1474" t="s">
        <v>2123</v>
      </c>
      <c r="M718" s="1475">
        <v>4.8159E-2</v>
      </c>
      <c r="N718" s="1476">
        <v>1.2871808782042731</v>
      </c>
      <c r="O718" s="1476">
        <v>1.2893503698636126</v>
      </c>
    </row>
    <row r="719" spans="11:15">
      <c r="K719" s="1473">
        <v>42776</v>
      </c>
      <c r="L719" s="1474" t="s">
        <v>2123</v>
      </c>
      <c r="M719" s="1475">
        <v>4.8159E-2</v>
      </c>
      <c r="N719" s="1476">
        <v>1.2878007716434074</v>
      </c>
      <c r="O719" s="1476">
        <v>1.2900276785064058</v>
      </c>
    </row>
    <row r="720" spans="11:15">
      <c r="K720" s="1473">
        <v>42777</v>
      </c>
      <c r="L720" s="1474"/>
      <c r="M720" s="1475">
        <v>0</v>
      </c>
      <c r="N720" s="1476">
        <v>1.2878007716434074</v>
      </c>
      <c r="O720" s="1476">
        <v>1.2900276785064058</v>
      </c>
    </row>
    <row r="721" spans="11:15">
      <c r="K721" s="1473">
        <v>42778</v>
      </c>
      <c r="L721" s="1474"/>
      <c r="M721" s="1475">
        <v>0</v>
      </c>
      <c r="N721" s="1476">
        <v>1.2878007716434074</v>
      </c>
      <c r="O721" s="1476">
        <v>1.2900276785064058</v>
      </c>
    </row>
    <row r="722" spans="11:15">
      <c r="K722" s="1473">
        <v>42779</v>
      </c>
      <c r="L722" s="1474" t="s">
        <v>2123</v>
      </c>
      <c r="M722" s="1475">
        <v>4.8159E-2</v>
      </c>
      <c r="N722" s="1476">
        <v>1.2884209636170232</v>
      </c>
      <c r="O722" s="1476">
        <v>1.2907053429462019</v>
      </c>
    </row>
    <row r="723" spans="11:15">
      <c r="K723" s="1473">
        <v>42780</v>
      </c>
      <c r="L723" s="1474" t="s">
        <v>2123</v>
      </c>
      <c r="M723" s="1475">
        <v>4.8159E-2</v>
      </c>
      <c r="N723" s="1476">
        <v>1.2890414542688915</v>
      </c>
      <c r="O723" s="1476">
        <v>1.291383363369905</v>
      </c>
    </row>
    <row r="724" spans="11:15">
      <c r="K724" s="1473">
        <v>42781</v>
      </c>
      <c r="L724" s="1474" t="s">
        <v>2123</v>
      </c>
      <c r="M724" s="1475">
        <v>4.8159E-2</v>
      </c>
      <c r="N724" s="1476">
        <v>1.2896622437428527</v>
      </c>
      <c r="O724" s="1476">
        <v>1.2920617399645169</v>
      </c>
    </row>
    <row r="725" spans="11:15">
      <c r="K725" s="1473">
        <v>42782</v>
      </c>
      <c r="L725" s="1474" t="s">
        <v>2123</v>
      </c>
      <c r="M725" s="1475">
        <v>4.8159E-2</v>
      </c>
      <c r="N725" s="1476">
        <v>1.2902833321828167</v>
      </c>
      <c r="O725" s="1476">
        <v>1.2927404729171377</v>
      </c>
    </row>
    <row r="726" spans="11:15">
      <c r="K726" s="1473">
        <v>42783</v>
      </c>
      <c r="L726" s="1474" t="s">
        <v>2123</v>
      </c>
      <c r="M726" s="1475">
        <v>4.8159E-2</v>
      </c>
      <c r="N726" s="1476">
        <v>1.2909047197327626</v>
      </c>
      <c r="O726" s="1476">
        <v>1.2934195624149658</v>
      </c>
    </row>
    <row r="727" spans="11:15">
      <c r="K727" s="1473">
        <v>42784</v>
      </c>
      <c r="L727" s="1474"/>
      <c r="M727" s="1475">
        <v>0</v>
      </c>
      <c r="N727" s="1476">
        <v>1.2909047197327626</v>
      </c>
      <c r="O727" s="1476">
        <v>1.2934195624149658</v>
      </c>
    </row>
    <row r="728" spans="11:15">
      <c r="K728" s="1473">
        <v>42785</v>
      </c>
      <c r="L728" s="1474"/>
      <c r="M728" s="1475">
        <v>0</v>
      </c>
      <c r="N728" s="1476">
        <v>1.2909047197327626</v>
      </c>
      <c r="O728" s="1476">
        <v>1.2934195624149658</v>
      </c>
    </row>
    <row r="729" spans="11:15">
      <c r="K729" s="1473">
        <v>42786</v>
      </c>
      <c r="L729" s="1474" t="s">
        <v>2123</v>
      </c>
      <c r="M729" s="1475">
        <v>4.8159E-2</v>
      </c>
      <c r="N729" s="1476">
        <v>1.2915264065367384</v>
      </c>
      <c r="O729" s="1476">
        <v>1.2940990086452979</v>
      </c>
    </row>
    <row r="730" spans="11:15">
      <c r="K730" s="1473">
        <v>42787</v>
      </c>
      <c r="L730" s="1474" t="s">
        <v>2123</v>
      </c>
      <c r="M730" s="1475">
        <v>4.8159E-2</v>
      </c>
      <c r="N730" s="1476">
        <v>1.2921483927388624</v>
      </c>
      <c r="O730" s="1476">
        <v>1.2947788117955294</v>
      </c>
    </row>
    <row r="731" spans="11:15">
      <c r="K731" s="1473">
        <v>42788</v>
      </c>
      <c r="L731" s="1474" t="s">
        <v>2123</v>
      </c>
      <c r="M731" s="1475">
        <v>4.8159E-2</v>
      </c>
      <c r="N731" s="1476">
        <v>1.2927706784833215</v>
      </c>
      <c r="O731" s="1476">
        <v>1.2954589720531537</v>
      </c>
    </row>
    <row r="732" spans="11:15">
      <c r="K732" s="1473">
        <v>42789</v>
      </c>
      <c r="L732" s="1474" t="s">
        <v>2123</v>
      </c>
      <c r="M732" s="1475">
        <v>4.5512999999999998E-2</v>
      </c>
      <c r="N732" s="1476">
        <v>1.2933590572022196</v>
      </c>
      <c r="O732" s="1476">
        <v>1.296139489605763</v>
      </c>
    </row>
    <row r="733" spans="11:15">
      <c r="K733" s="1473">
        <v>42790</v>
      </c>
      <c r="L733" s="1474" t="s">
        <v>2123</v>
      </c>
      <c r="M733" s="1475">
        <v>4.5512999999999998E-2</v>
      </c>
      <c r="N733" s="1476">
        <v>1.2939477037099241</v>
      </c>
      <c r="O733" s="1476">
        <v>1.2968203646410479</v>
      </c>
    </row>
    <row r="734" spans="11:15">
      <c r="K734" s="1473">
        <v>42791</v>
      </c>
      <c r="L734" s="1474"/>
      <c r="M734" s="1475">
        <v>0</v>
      </c>
      <c r="N734" s="1476">
        <v>1.2939477037099241</v>
      </c>
      <c r="O734" s="1476">
        <v>1.2968203646410479</v>
      </c>
    </row>
    <row r="735" spans="11:15">
      <c r="K735" s="1473">
        <v>42792</v>
      </c>
      <c r="L735" s="1474"/>
      <c r="M735" s="1475">
        <v>0</v>
      </c>
      <c r="N735" s="1476">
        <v>1.2939477037099241</v>
      </c>
      <c r="O735" s="1476">
        <v>1.2968203646410479</v>
      </c>
    </row>
    <row r="736" spans="11:15">
      <c r="K736" s="1473">
        <v>42793</v>
      </c>
      <c r="L736" s="1474"/>
      <c r="M736" s="1475">
        <v>0</v>
      </c>
      <c r="N736" s="1476">
        <v>1.2939477037099241</v>
      </c>
      <c r="O736" s="1476">
        <v>1.2968203646410479</v>
      </c>
    </row>
    <row r="737" spans="11:15">
      <c r="K737" s="1473">
        <v>42794</v>
      </c>
      <c r="L737" s="1474"/>
      <c r="M737" s="1475">
        <v>0</v>
      </c>
      <c r="N737" s="1476">
        <v>1.2939477037099241</v>
      </c>
      <c r="O737" s="1476">
        <v>1.2968203646410479</v>
      </c>
    </row>
    <row r="738" spans="11:15">
      <c r="K738" s="1473">
        <v>42795</v>
      </c>
      <c r="L738" s="1474" t="s">
        <v>2123</v>
      </c>
      <c r="M738" s="1475">
        <v>4.5512999999999998E-2</v>
      </c>
      <c r="N738" s="1476">
        <v>1.2945366181283136</v>
      </c>
      <c r="O738" s="1476">
        <v>1.2975015973467974</v>
      </c>
    </row>
    <row r="739" spans="11:15">
      <c r="K739" s="1473">
        <v>42796</v>
      </c>
      <c r="L739" s="1474" t="s">
        <v>2123</v>
      </c>
      <c r="M739" s="1475">
        <v>4.5512999999999998E-2</v>
      </c>
      <c r="N739" s="1476">
        <v>1.2951258005793223</v>
      </c>
      <c r="O739" s="1476">
        <v>1.2981831879108996</v>
      </c>
    </row>
    <row r="740" spans="11:15">
      <c r="K740" s="1473">
        <v>42797</v>
      </c>
      <c r="L740" s="1474" t="s">
        <v>2123</v>
      </c>
      <c r="M740" s="1475">
        <v>4.5512999999999998E-2</v>
      </c>
      <c r="N740" s="1476">
        <v>1.2957152511849399</v>
      </c>
      <c r="O740" s="1476">
        <v>1.2988651365213411</v>
      </c>
    </row>
    <row r="741" spans="11:15">
      <c r="K741" s="1473">
        <v>42798</v>
      </c>
      <c r="L741" s="1474"/>
      <c r="M741" s="1475">
        <v>0</v>
      </c>
      <c r="N741" s="1476">
        <v>1.2957152511849399</v>
      </c>
      <c r="O741" s="1476">
        <v>1.2988651365213411</v>
      </c>
    </row>
    <row r="742" spans="11:15">
      <c r="K742" s="1473">
        <v>42799</v>
      </c>
      <c r="L742" s="1474"/>
      <c r="M742" s="1475">
        <v>0</v>
      </c>
      <c r="N742" s="1476">
        <v>1.2957152511849399</v>
      </c>
      <c r="O742" s="1476">
        <v>1.2988651365213411</v>
      </c>
    </row>
    <row r="743" spans="11:15">
      <c r="K743" s="1473">
        <v>42800</v>
      </c>
      <c r="L743" s="1474" t="s">
        <v>2123</v>
      </c>
      <c r="M743" s="1475">
        <v>4.5512999999999998E-2</v>
      </c>
      <c r="N743" s="1476">
        <v>1.2963049700672116</v>
      </c>
      <c r="O743" s="1476">
        <v>1.2995474433662071</v>
      </c>
    </row>
    <row r="744" spans="11:15">
      <c r="K744" s="1473">
        <v>42801</v>
      </c>
      <c r="L744" s="1474" t="s">
        <v>2123</v>
      </c>
      <c r="M744" s="1475">
        <v>4.5512999999999998E-2</v>
      </c>
      <c r="N744" s="1476">
        <v>1.2968949573482382</v>
      </c>
      <c r="O744" s="1476">
        <v>1.3002301086336818</v>
      </c>
    </row>
    <row r="745" spans="11:15">
      <c r="K745" s="1473">
        <v>42802</v>
      </c>
      <c r="L745" s="1474" t="s">
        <v>2123</v>
      </c>
      <c r="M745" s="1475">
        <v>4.5512999999999998E-2</v>
      </c>
      <c r="N745" s="1476">
        <v>1.2974852131501762</v>
      </c>
      <c r="O745" s="1476">
        <v>1.3009131325120482</v>
      </c>
    </row>
    <row r="746" spans="11:15">
      <c r="K746" s="1473">
        <v>42803</v>
      </c>
      <c r="L746" s="1474" t="s">
        <v>2123</v>
      </c>
      <c r="M746" s="1475">
        <v>4.5512999999999998E-2</v>
      </c>
      <c r="N746" s="1476">
        <v>1.2980757375952372</v>
      </c>
      <c r="O746" s="1476">
        <v>1.3015965151896882</v>
      </c>
    </row>
    <row r="747" spans="11:15">
      <c r="K747" s="1473">
        <v>42804</v>
      </c>
      <c r="L747" s="1474" t="s">
        <v>2123</v>
      </c>
      <c r="M747" s="1475">
        <v>4.5512999999999998E-2</v>
      </c>
      <c r="N747" s="1476">
        <v>1.2986665308056888</v>
      </c>
      <c r="O747" s="1476">
        <v>1.3022802568550824</v>
      </c>
    </row>
    <row r="748" spans="11:15">
      <c r="K748" s="1473">
        <v>42805</v>
      </c>
      <c r="L748" s="1474"/>
      <c r="M748" s="1475">
        <v>0</v>
      </c>
      <c r="N748" s="1476">
        <v>1.2986665308056888</v>
      </c>
      <c r="O748" s="1476">
        <v>1.3022802568550824</v>
      </c>
    </row>
    <row r="749" spans="11:15">
      <c r="K749" s="1473">
        <v>42806</v>
      </c>
      <c r="L749" s="1474"/>
      <c r="M749" s="1475">
        <v>0</v>
      </c>
      <c r="N749" s="1476">
        <v>1.2986665308056888</v>
      </c>
      <c r="O749" s="1476">
        <v>1.3022802568550824</v>
      </c>
    </row>
    <row r="750" spans="11:15">
      <c r="K750" s="1473">
        <v>42807</v>
      </c>
      <c r="L750" s="1474" t="s">
        <v>2123</v>
      </c>
      <c r="M750" s="1475">
        <v>4.5512999999999998E-2</v>
      </c>
      <c r="N750" s="1476">
        <v>1.2992575929038543</v>
      </c>
      <c r="O750" s="1476">
        <v>1.3029643576968111</v>
      </c>
    </row>
    <row r="751" spans="11:15">
      <c r="K751" s="1473">
        <v>42808</v>
      </c>
      <c r="L751" s="1474" t="s">
        <v>2123</v>
      </c>
      <c r="M751" s="1475">
        <v>4.5512999999999998E-2</v>
      </c>
      <c r="N751" s="1476">
        <v>1.2998489240121127</v>
      </c>
      <c r="O751" s="1476">
        <v>1.3036488179035528</v>
      </c>
    </row>
    <row r="752" spans="11:15">
      <c r="K752" s="1473">
        <v>42809</v>
      </c>
      <c r="L752" s="1474" t="s">
        <v>2123</v>
      </c>
      <c r="M752" s="1475">
        <v>4.5512999999999998E-2</v>
      </c>
      <c r="N752" s="1476">
        <v>1.3004405242528982</v>
      </c>
      <c r="O752" s="1476">
        <v>1.3043336376640857</v>
      </c>
    </row>
    <row r="753" spans="11:15">
      <c r="K753" s="1473">
        <v>42810</v>
      </c>
      <c r="L753" s="1474" t="s">
        <v>2123</v>
      </c>
      <c r="M753" s="1475">
        <v>4.5512999999999998E-2</v>
      </c>
      <c r="N753" s="1476">
        <v>1.3010323937487014</v>
      </c>
      <c r="O753" s="1476">
        <v>1.305018817167287</v>
      </c>
    </row>
    <row r="754" spans="11:15">
      <c r="K754" s="1473">
        <v>42811</v>
      </c>
      <c r="L754" s="1474" t="s">
        <v>2123</v>
      </c>
      <c r="M754" s="1475">
        <v>4.5512999999999998E-2</v>
      </c>
      <c r="N754" s="1476">
        <v>1.3016245326220681</v>
      </c>
      <c r="O754" s="1476">
        <v>1.3057043566021331</v>
      </c>
    </row>
    <row r="755" spans="11:15">
      <c r="K755" s="1473">
        <v>42812</v>
      </c>
      <c r="L755" s="1474"/>
      <c r="M755" s="1475">
        <v>0</v>
      </c>
      <c r="N755" s="1476">
        <v>1.3016245326220681</v>
      </c>
      <c r="O755" s="1476">
        <v>1.3057043566021331</v>
      </c>
    </row>
    <row r="756" spans="11:15">
      <c r="K756" s="1473">
        <v>42813</v>
      </c>
      <c r="L756" s="1474"/>
      <c r="M756" s="1475">
        <v>0</v>
      </c>
      <c r="N756" s="1476">
        <v>1.3016245326220681</v>
      </c>
      <c r="O756" s="1476">
        <v>1.3057043566021331</v>
      </c>
    </row>
    <row r="757" spans="11:15">
      <c r="K757" s="1473">
        <v>42814</v>
      </c>
      <c r="L757" s="1474" t="s">
        <v>2123</v>
      </c>
      <c r="M757" s="1475">
        <v>4.5512999999999998E-2</v>
      </c>
      <c r="N757" s="1476">
        <v>1.3022169409956004</v>
      </c>
      <c r="O757" s="1476">
        <v>1.3063902561576999</v>
      </c>
    </row>
    <row r="758" spans="11:15">
      <c r="K758" s="1473">
        <v>42815</v>
      </c>
      <c r="L758" s="1474" t="s">
        <v>2123</v>
      </c>
      <c r="M758" s="1475">
        <v>4.5512999999999998E-2</v>
      </c>
      <c r="N758" s="1476">
        <v>1.3028096189919556</v>
      </c>
      <c r="O758" s="1476">
        <v>1.3070765160231621</v>
      </c>
    </row>
    <row r="759" spans="11:15">
      <c r="K759" s="1473">
        <v>42816</v>
      </c>
      <c r="L759" s="1474" t="s">
        <v>2123</v>
      </c>
      <c r="M759" s="1475">
        <v>4.5512999999999998E-2</v>
      </c>
      <c r="N759" s="1476">
        <v>1.3034025667338474</v>
      </c>
      <c r="O759" s="1476">
        <v>1.3077631363877942</v>
      </c>
    </row>
    <row r="760" spans="11:15">
      <c r="K760" s="1473">
        <v>42817</v>
      </c>
      <c r="L760" s="1474" t="s">
        <v>2123</v>
      </c>
      <c r="M760" s="1475">
        <v>4.5512999999999998E-2</v>
      </c>
      <c r="N760" s="1476">
        <v>1.3039957843440448</v>
      </c>
      <c r="O760" s="1476">
        <v>1.30845011744097</v>
      </c>
    </row>
    <row r="761" spans="11:15">
      <c r="K761" s="1473">
        <v>42818</v>
      </c>
      <c r="L761" s="1474" t="s">
        <v>2123</v>
      </c>
      <c r="M761" s="1475">
        <v>4.5512999999999998E-2</v>
      </c>
      <c r="N761" s="1476">
        <v>1.3045892719453733</v>
      </c>
      <c r="O761" s="1476">
        <v>1.309137459372163</v>
      </c>
    </row>
    <row r="762" spans="11:15">
      <c r="K762" s="1473">
        <v>42819</v>
      </c>
      <c r="L762" s="1474"/>
      <c r="M762" s="1475">
        <v>0</v>
      </c>
      <c r="N762" s="1476">
        <v>1.3045892719453733</v>
      </c>
      <c r="O762" s="1476">
        <v>1.309137459372163</v>
      </c>
    </row>
    <row r="763" spans="11:15">
      <c r="K763" s="1473">
        <v>42820</v>
      </c>
      <c r="L763" s="1474"/>
      <c r="M763" s="1475">
        <v>0</v>
      </c>
      <c r="N763" s="1476">
        <v>1.3045892719453733</v>
      </c>
      <c r="O763" s="1476">
        <v>1.309137459372163</v>
      </c>
    </row>
    <row r="764" spans="11:15">
      <c r="K764" s="1473">
        <v>42821</v>
      </c>
      <c r="L764" s="1474" t="s">
        <v>2123</v>
      </c>
      <c r="M764" s="1475">
        <v>4.5512999999999998E-2</v>
      </c>
      <c r="N764" s="1476">
        <v>1.3051830296607139</v>
      </c>
      <c r="O764" s="1476">
        <v>1.3098251623709458</v>
      </c>
    </row>
    <row r="765" spans="11:15">
      <c r="K765" s="1473">
        <v>42822</v>
      </c>
      <c r="L765" s="1474" t="s">
        <v>2123</v>
      </c>
      <c r="M765" s="1475">
        <v>4.5512999999999998E-2</v>
      </c>
      <c r="N765" s="1476">
        <v>1.3057770576130032</v>
      </c>
      <c r="O765" s="1476">
        <v>1.310513226626991</v>
      </c>
    </row>
    <row r="766" spans="11:15">
      <c r="K766" s="1473">
        <v>42823</v>
      </c>
      <c r="L766" s="1474" t="s">
        <v>2123</v>
      </c>
      <c r="M766" s="1475">
        <v>4.5512999999999998E-2</v>
      </c>
      <c r="N766" s="1476">
        <v>1.3063713559252346</v>
      </c>
      <c r="O766" s="1476">
        <v>1.3112016523300705</v>
      </c>
    </row>
    <row r="767" spans="11:15">
      <c r="K767" s="1473">
        <v>42824</v>
      </c>
      <c r="L767" s="1474" t="s">
        <v>2123</v>
      </c>
      <c r="M767" s="1475">
        <v>4.5512999999999998E-2</v>
      </c>
      <c r="N767" s="1476">
        <v>1.3069659247204568</v>
      </c>
      <c r="O767" s="1476">
        <v>1.3118904396700559</v>
      </c>
    </row>
    <row r="768" spans="11:15">
      <c r="K768" s="1473">
        <v>42825</v>
      </c>
      <c r="L768" s="1474" t="s">
        <v>2123</v>
      </c>
      <c r="M768" s="1475">
        <v>4.5512999999999998E-2</v>
      </c>
      <c r="N768" s="1476">
        <v>1.3075607641217748</v>
      </c>
      <c r="O768" s="1476">
        <v>1.3125795888369189</v>
      </c>
    </row>
    <row r="769" spans="11:15">
      <c r="K769" s="1473">
        <v>42826</v>
      </c>
      <c r="L769" s="1474"/>
      <c r="M769" s="1475">
        <v>0</v>
      </c>
      <c r="N769" s="1476">
        <v>1.3075607641217748</v>
      </c>
      <c r="O769" s="1476">
        <v>1.3125795888369189</v>
      </c>
    </row>
    <row r="770" spans="11:15">
      <c r="K770" s="1473">
        <v>42827</v>
      </c>
      <c r="L770" s="1474"/>
      <c r="M770" s="1475">
        <v>0</v>
      </c>
      <c r="N770" s="1476">
        <v>1.3075607641217748</v>
      </c>
      <c r="O770" s="1476">
        <v>1.3125795888369189</v>
      </c>
    </row>
    <row r="771" spans="11:15">
      <c r="K771" s="1473">
        <v>42828</v>
      </c>
      <c r="L771" s="1474" t="s">
        <v>2123</v>
      </c>
      <c r="M771" s="1475">
        <v>4.5512999999999998E-2</v>
      </c>
      <c r="N771" s="1476">
        <v>1.3081558742523496</v>
      </c>
      <c r="O771" s="1476">
        <v>1.3132691000207308</v>
      </c>
    </row>
    <row r="772" spans="11:15">
      <c r="K772" s="1473">
        <v>42829</v>
      </c>
      <c r="L772" s="1474" t="s">
        <v>2123</v>
      </c>
      <c r="M772" s="1475">
        <v>4.5512999999999998E-2</v>
      </c>
      <c r="N772" s="1476">
        <v>1.3087512552353979</v>
      </c>
      <c r="O772" s="1476">
        <v>1.3139589734116628</v>
      </c>
    </row>
    <row r="773" spans="11:15">
      <c r="K773" s="1473">
        <v>42830</v>
      </c>
      <c r="L773" s="1474" t="s">
        <v>2123</v>
      </c>
      <c r="M773" s="1475">
        <v>4.5512999999999998E-2</v>
      </c>
      <c r="N773" s="1476">
        <v>1.3093469071941932</v>
      </c>
      <c r="O773" s="1476">
        <v>1.3146492091999857</v>
      </c>
    </row>
    <row r="774" spans="11:15">
      <c r="K774" s="1473">
        <v>42831</v>
      </c>
      <c r="L774" s="1474" t="s">
        <v>2123</v>
      </c>
      <c r="M774" s="1475">
        <v>4.5512999999999998E-2</v>
      </c>
      <c r="N774" s="1476">
        <v>1.3099428302520644</v>
      </c>
      <c r="O774" s="1476">
        <v>1.3153398075760705</v>
      </c>
    </row>
    <row r="775" spans="11:15">
      <c r="K775" s="1473">
        <v>42832</v>
      </c>
      <c r="L775" s="1474" t="s">
        <v>2123</v>
      </c>
      <c r="M775" s="1475">
        <v>4.5512999999999998E-2</v>
      </c>
      <c r="N775" s="1476">
        <v>1.3105390245323969</v>
      </c>
      <c r="O775" s="1476">
        <v>1.3160307687303883</v>
      </c>
    </row>
    <row r="776" spans="11:15">
      <c r="K776" s="1473">
        <v>42833</v>
      </c>
      <c r="L776" s="1474"/>
      <c r="M776" s="1475">
        <v>0</v>
      </c>
      <c r="N776" s="1476">
        <v>1.3105390245323969</v>
      </c>
      <c r="O776" s="1476">
        <v>1.3160307687303883</v>
      </c>
    </row>
    <row r="777" spans="11:15">
      <c r="K777" s="1473">
        <v>42834</v>
      </c>
      <c r="L777" s="1474"/>
      <c r="M777" s="1475">
        <v>0</v>
      </c>
      <c r="N777" s="1476">
        <v>1.3105390245323969</v>
      </c>
      <c r="O777" s="1476">
        <v>1.3160307687303883</v>
      </c>
    </row>
    <row r="778" spans="11:15">
      <c r="K778" s="1473">
        <v>42835</v>
      </c>
      <c r="L778" s="1474" t="s">
        <v>2123</v>
      </c>
      <c r="M778" s="1475">
        <v>4.5512999999999998E-2</v>
      </c>
      <c r="N778" s="1476">
        <v>1.3111354901586323</v>
      </c>
      <c r="O778" s="1476">
        <v>1.3167220928535099</v>
      </c>
    </row>
    <row r="779" spans="11:15">
      <c r="K779" s="1473">
        <v>42836</v>
      </c>
      <c r="L779" s="1474" t="s">
        <v>2123</v>
      </c>
      <c r="M779" s="1475">
        <v>4.5512999999999998E-2</v>
      </c>
      <c r="N779" s="1476">
        <v>1.3117322272542682</v>
      </c>
      <c r="O779" s="1476">
        <v>1.3174137801361068</v>
      </c>
    </row>
    <row r="780" spans="11:15">
      <c r="K780" s="1473">
        <v>42837</v>
      </c>
      <c r="L780" s="1474" t="s">
        <v>2123</v>
      </c>
      <c r="M780" s="1475">
        <v>4.5512999999999998E-2</v>
      </c>
      <c r="N780" s="1476">
        <v>1.3123292359428584</v>
      </c>
      <c r="O780" s="1476">
        <v>1.3181058307689502</v>
      </c>
    </row>
    <row r="781" spans="11:15">
      <c r="K781" s="1473">
        <v>42838</v>
      </c>
      <c r="L781" s="1474" t="s">
        <v>2123</v>
      </c>
      <c r="M781" s="1475">
        <v>4.1957000000000001E-2</v>
      </c>
      <c r="N781" s="1476">
        <v>1.3128798499203831</v>
      </c>
      <c r="O781" s="1476">
        <v>1.3187982449429114</v>
      </c>
    </row>
    <row r="782" spans="11:15">
      <c r="K782" s="1473">
        <v>42839</v>
      </c>
      <c r="L782" s="1474"/>
      <c r="M782" s="1475">
        <v>0</v>
      </c>
      <c r="N782" s="1476">
        <v>1.3128798499203831</v>
      </c>
      <c r="O782" s="1476">
        <v>1.3187982449429114</v>
      </c>
    </row>
    <row r="783" spans="11:15">
      <c r="K783" s="1473">
        <v>42840</v>
      </c>
      <c r="L783" s="1474"/>
      <c r="M783" s="1475">
        <v>0</v>
      </c>
      <c r="N783" s="1476">
        <v>1.3128798499203831</v>
      </c>
      <c r="O783" s="1476">
        <v>1.3187982449429114</v>
      </c>
    </row>
    <row r="784" spans="11:15">
      <c r="K784" s="1473">
        <v>42841</v>
      </c>
      <c r="L784" s="1474"/>
      <c r="M784" s="1475">
        <v>0</v>
      </c>
      <c r="N784" s="1476">
        <v>1.3128798499203831</v>
      </c>
      <c r="O784" s="1476">
        <v>1.3187982449429114</v>
      </c>
    </row>
    <row r="785" spans="11:15">
      <c r="K785" s="1473">
        <v>42842</v>
      </c>
      <c r="L785" s="1474" t="s">
        <v>2123</v>
      </c>
      <c r="M785" s="1475">
        <v>4.1957000000000001E-2</v>
      </c>
      <c r="N785" s="1476">
        <v>1.3134306949190142</v>
      </c>
      <c r="O785" s="1476">
        <v>1.3194910228489625</v>
      </c>
    </row>
    <row r="786" spans="11:15">
      <c r="K786" s="1473">
        <v>42843</v>
      </c>
      <c r="L786" s="1474" t="s">
        <v>2123</v>
      </c>
      <c r="M786" s="1475">
        <v>4.1957000000000001E-2</v>
      </c>
      <c r="N786" s="1476">
        <v>1.3139817710356814</v>
      </c>
      <c r="O786" s="1476">
        <v>1.3201841646781753</v>
      </c>
    </row>
    <row r="787" spans="11:15">
      <c r="K787" s="1473">
        <v>42844</v>
      </c>
      <c r="L787" s="1474" t="s">
        <v>2123</v>
      </c>
      <c r="M787" s="1475">
        <v>4.1957000000000001E-2</v>
      </c>
      <c r="N787" s="1476">
        <v>1.3145330783673548</v>
      </c>
      <c r="O787" s="1476">
        <v>1.3208776706217225</v>
      </c>
    </row>
    <row r="788" spans="11:15">
      <c r="K788" s="1473">
        <v>42845</v>
      </c>
      <c r="L788" s="1474" t="s">
        <v>2123</v>
      </c>
      <c r="M788" s="1475">
        <v>4.1957000000000001E-2</v>
      </c>
      <c r="N788" s="1476">
        <v>1.3150846170110455</v>
      </c>
      <c r="O788" s="1476">
        <v>1.3215715408708768</v>
      </c>
    </row>
    <row r="789" spans="11:15">
      <c r="K789" s="1473">
        <v>42846</v>
      </c>
      <c r="L789" s="1474"/>
      <c r="M789" s="1475">
        <v>0</v>
      </c>
      <c r="N789" s="1476">
        <v>1.3150846170110455</v>
      </c>
      <c r="O789" s="1476">
        <v>1.3215715408708768</v>
      </c>
    </row>
    <row r="790" spans="11:15">
      <c r="K790" s="1473">
        <v>42847</v>
      </c>
      <c r="L790" s="1474"/>
      <c r="M790" s="1475">
        <v>0</v>
      </c>
      <c r="N790" s="1476">
        <v>1.3150846170110455</v>
      </c>
      <c r="O790" s="1476">
        <v>1.3215715408708768</v>
      </c>
    </row>
    <row r="791" spans="11:15">
      <c r="K791" s="1473">
        <v>42848</v>
      </c>
      <c r="L791" s="1474"/>
      <c r="M791" s="1475">
        <v>0</v>
      </c>
      <c r="N791" s="1476">
        <v>1.3150846170110455</v>
      </c>
      <c r="O791" s="1476">
        <v>1.3215715408708768</v>
      </c>
    </row>
    <row r="792" spans="11:15">
      <c r="K792" s="1473">
        <v>42849</v>
      </c>
      <c r="L792" s="1474" t="s">
        <v>2123</v>
      </c>
      <c r="M792" s="1475">
        <v>4.1957000000000001E-2</v>
      </c>
      <c r="N792" s="1476">
        <v>1.3156363870638048</v>
      </c>
      <c r="O792" s="1476">
        <v>1.3222657756170118</v>
      </c>
    </row>
    <row r="793" spans="11:15">
      <c r="K793" s="1473">
        <v>42850</v>
      </c>
      <c r="L793" s="1474" t="s">
        <v>2123</v>
      </c>
      <c r="M793" s="1475">
        <v>4.1957000000000001E-2</v>
      </c>
      <c r="N793" s="1476">
        <v>1.3161883886227252</v>
      </c>
      <c r="O793" s="1476">
        <v>1.322960375051601</v>
      </c>
    </row>
    <row r="794" spans="11:15">
      <c r="K794" s="1473">
        <v>42851</v>
      </c>
      <c r="L794" s="1474" t="s">
        <v>2123</v>
      </c>
      <c r="M794" s="1475">
        <v>4.1957000000000001E-2</v>
      </c>
      <c r="N794" s="1476">
        <v>1.3167406217849398</v>
      </c>
      <c r="O794" s="1476">
        <v>1.3236553393662194</v>
      </c>
    </row>
    <row r="795" spans="11:15">
      <c r="K795" s="1473">
        <v>42852</v>
      </c>
      <c r="L795" s="1474" t="s">
        <v>2123</v>
      </c>
      <c r="M795" s="1475">
        <v>4.1957000000000001E-2</v>
      </c>
      <c r="N795" s="1476">
        <v>1.3172930866476222</v>
      </c>
      <c r="O795" s="1476">
        <v>1.3243506687525419</v>
      </c>
    </row>
    <row r="796" spans="11:15">
      <c r="K796" s="1473">
        <v>42853</v>
      </c>
      <c r="L796" s="1474" t="s">
        <v>2123</v>
      </c>
      <c r="M796" s="1475">
        <v>4.1957000000000001E-2</v>
      </c>
      <c r="N796" s="1476">
        <v>1.3178457833079871</v>
      </c>
      <c r="O796" s="1476">
        <v>1.3250463634023444</v>
      </c>
    </row>
    <row r="797" spans="11:15">
      <c r="K797" s="1473">
        <v>42854</v>
      </c>
      <c r="L797" s="1474"/>
      <c r="M797" s="1475">
        <v>0</v>
      </c>
      <c r="N797" s="1476">
        <v>1.3178457833079871</v>
      </c>
      <c r="O797" s="1476">
        <v>1.3250463634023444</v>
      </c>
    </row>
    <row r="798" spans="11:15">
      <c r="K798" s="1473">
        <v>42855</v>
      </c>
      <c r="L798" s="1474"/>
      <c r="M798" s="1475">
        <v>0</v>
      </c>
      <c r="N798" s="1476">
        <v>1.3178457833079871</v>
      </c>
      <c r="O798" s="1476">
        <v>1.3250463634023444</v>
      </c>
    </row>
    <row r="799" spans="11:15">
      <c r="K799" s="1473">
        <v>42856</v>
      </c>
      <c r="L799" s="1474"/>
      <c r="M799" s="1475">
        <v>0</v>
      </c>
      <c r="N799" s="1476">
        <v>1.3178457833079871</v>
      </c>
      <c r="O799" s="1476">
        <v>1.3250463634023444</v>
      </c>
    </row>
    <row r="800" spans="11:15">
      <c r="K800" s="1473">
        <v>42857</v>
      </c>
      <c r="L800" s="1474" t="s">
        <v>2123</v>
      </c>
      <c r="M800" s="1475">
        <v>4.1957000000000001E-2</v>
      </c>
      <c r="N800" s="1476">
        <v>1.3183987118632896</v>
      </c>
      <c r="O800" s="1476">
        <v>1.3257424235075033</v>
      </c>
    </row>
    <row r="801" spans="11:15">
      <c r="K801" s="1473">
        <v>42858</v>
      </c>
      <c r="L801" s="1474" t="s">
        <v>2123</v>
      </c>
      <c r="M801" s="1475">
        <v>4.1957000000000001E-2</v>
      </c>
      <c r="N801" s="1476">
        <v>1.3189518724108262</v>
      </c>
      <c r="O801" s="1476">
        <v>1.3264388492599959</v>
      </c>
    </row>
    <row r="802" spans="11:15">
      <c r="K802" s="1473">
        <v>42859</v>
      </c>
      <c r="L802" s="1474" t="s">
        <v>2123</v>
      </c>
      <c r="M802" s="1475">
        <v>4.1957000000000001E-2</v>
      </c>
      <c r="N802" s="1476">
        <v>1.3195052650479338</v>
      </c>
      <c r="O802" s="1476">
        <v>1.3271356408519006</v>
      </c>
    </row>
    <row r="803" spans="11:15">
      <c r="K803" s="1473">
        <v>42860</v>
      </c>
      <c r="L803" s="1474" t="s">
        <v>2123</v>
      </c>
      <c r="M803" s="1475">
        <v>4.1957000000000001E-2</v>
      </c>
      <c r="N803" s="1476">
        <v>1.32005888987199</v>
      </c>
      <c r="O803" s="1476">
        <v>1.3278327984753966</v>
      </c>
    </row>
    <row r="804" spans="11:15">
      <c r="K804" s="1473">
        <v>42861</v>
      </c>
      <c r="L804" s="1474"/>
      <c r="M804" s="1475">
        <v>0</v>
      </c>
      <c r="N804" s="1476">
        <v>1.32005888987199</v>
      </c>
      <c r="O804" s="1476">
        <v>1.3278327984753966</v>
      </c>
    </row>
    <row r="805" spans="11:15">
      <c r="K805" s="1473">
        <v>42862</v>
      </c>
      <c r="L805" s="1474"/>
      <c r="M805" s="1475">
        <v>0</v>
      </c>
      <c r="N805" s="1476">
        <v>1.32005888987199</v>
      </c>
      <c r="O805" s="1476">
        <v>1.3278327984753966</v>
      </c>
    </row>
    <row r="806" spans="11:15">
      <c r="K806" s="1473">
        <v>42863</v>
      </c>
      <c r="L806" s="1474" t="s">
        <v>2123</v>
      </c>
      <c r="M806" s="1475">
        <v>4.1957000000000001E-2</v>
      </c>
      <c r="N806" s="1476">
        <v>1.3206127469804136</v>
      </c>
      <c r="O806" s="1476">
        <v>1.3285303223227638</v>
      </c>
    </row>
    <row r="807" spans="11:15">
      <c r="K807" s="1473">
        <v>42864</v>
      </c>
      <c r="L807" s="1474" t="s">
        <v>2123</v>
      </c>
      <c r="M807" s="1475">
        <v>4.1957000000000001E-2</v>
      </c>
      <c r="N807" s="1476">
        <v>1.3211668364706644</v>
      </c>
      <c r="O807" s="1476">
        <v>1.3292282125863832</v>
      </c>
    </row>
    <row r="808" spans="11:15">
      <c r="K808" s="1473">
        <v>42865</v>
      </c>
      <c r="L808" s="1474" t="s">
        <v>2123</v>
      </c>
      <c r="M808" s="1475">
        <v>4.1957000000000001E-2</v>
      </c>
      <c r="N808" s="1476">
        <v>1.3217211584402424</v>
      </c>
      <c r="O808" s="1476">
        <v>1.3299264694587369</v>
      </c>
    </row>
    <row r="809" spans="11:15">
      <c r="K809" s="1473">
        <v>42866</v>
      </c>
      <c r="L809" s="1474" t="s">
        <v>2123</v>
      </c>
      <c r="M809" s="1475">
        <v>4.1957000000000001E-2</v>
      </c>
      <c r="N809" s="1476">
        <v>1.3222757129866893</v>
      </c>
      <c r="O809" s="1476">
        <v>1.3306250931324084</v>
      </c>
    </row>
    <row r="810" spans="11:15">
      <c r="K810" s="1473">
        <v>42867</v>
      </c>
      <c r="L810" s="1474" t="s">
        <v>2123</v>
      </c>
      <c r="M810" s="1475">
        <v>4.1957000000000001E-2</v>
      </c>
      <c r="N810" s="1476">
        <v>1.3228305002075873</v>
      </c>
      <c r="O810" s="1476">
        <v>1.3313240838000817</v>
      </c>
    </row>
    <row r="811" spans="11:15">
      <c r="K811" s="1473">
        <v>42868</v>
      </c>
      <c r="L811" s="1474"/>
      <c r="M811" s="1475">
        <v>0</v>
      </c>
      <c r="N811" s="1476">
        <v>1.3228305002075873</v>
      </c>
      <c r="O811" s="1476">
        <v>1.3313240838000817</v>
      </c>
    </row>
    <row r="812" spans="11:15">
      <c r="K812" s="1473">
        <v>42869</v>
      </c>
      <c r="L812" s="1474"/>
      <c r="M812" s="1475">
        <v>0</v>
      </c>
      <c r="N812" s="1476">
        <v>1.3228305002075873</v>
      </c>
      <c r="O812" s="1476">
        <v>1.3313240838000817</v>
      </c>
    </row>
    <row r="813" spans="11:15">
      <c r="K813" s="1473">
        <v>42870</v>
      </c>
      <c r="L813" s="1474" t="s">
        <v>2123</v>
      </c>
      <c r="M813" s="1475">
        <v>4.1957000000000001E-2</v>
      </c>
      <c r="N813" s="1476">
        <v>1.3233855202005596</v>
      </c>
      <c r="O813" s="1476">
        <v>1.3320234416545427</v>
      </c>
    </row>
    <row r="814" spans="11:15">
      <c r="K814" s="1473">
        <v>42871</v>
      </c>
      <c r="L814" s="1474" t="s">
        <v>2123</v>
      </c>
      <c r="M814" s="1475">
        <v>4.1957000000000001E-2</v>
      </c>
      <c r="N814" s="1476">
        <v>1.3239407730632702</v>
      </c>
      <c r="O814" s="1476">
        <v>1.3327231668886783</v>
      </c>
    </row>
    <row r="815" spans="11:15">
      <c r="K815" s="1473">
        <v>42872</v>
      </c>
      <c r="L815" s="1474" t="s">
        <v>2123</v>
      </c>
      <c r="M815" s="1475">
        <v>4.1957000000000001E-2</v>
      </c>
      <c r="N815" s="1476">
        <v>1.3244962588934244</v>
      </c>
      <c r="O815" s="1476">
        <v>1.3334232596954767</v>
      </c>
    </row>
    <row r="816" spans="11:15">
      <c r="K816" s="1473">
        <v>42873</v>
      </c>
      <c r="L816" s="1474" t="s">
        <v>2123</v>
      </c>
      <c r="M816" s="1475">
        <v>4.1957000000000001E-2</v>
      </c>
      <c r="N816" s="1476">
        <v>1.3250519777887684</v>
      </c>
      <c r="O816" s="1476">
        <v>1.3341237202680274</v>
      </c>
    </row>
    <row r="817" spans="11:15">
      <c r="K817" s="1473">
        <v>42874</v>
      </c>
      <c r="L817" s="1474" t="s">
        <v>2123</v>
      </c>
      <c r="M817" s="1475">
        <v>4.1957000000000001E-2</v>
      </c>
      <c r="N817" s="1476">
        <v>1.3256079298470893</v>
      </c>
      <c r="O817" s="1476">
        <v>1.3348245487995214</v>
      </c>
    </row>
    <row r="818" spans="11:15">
      <c r="K818" s="1473">
        <v>42875</v>
      </c>
      <c r="L818" s="1474"/>
      <c r="M818" s="1475">
        <v>0</v>
      </c>
      <c r="N818" s="1476">
        <v>1.3256079298470893</v>
      </c>
      <c r="O818" s="1476">
        <v>1.3348245487995214</v>
      </c>
    </row>
    <row r="819" spans="11:15">
      <c r="K819" s="1473">
        <v>42876</v>
      </c>
      <c r="L819" s="1474"/>
      <c r="M819" s="1475">
        <v>0</v>
      </c>
      <c r="N819" s="1476">
        <v>1.3256079298470893</v>
      </c>
      <c r="O819" s="1476">
        <v>1.3348245487995214</v>
      </c>
    </row>
    <row r="820" spans="11:15">
      <c r="K820" s="1473">
        <v>42877</v>
      </c>
      <c r="L820" s="1474" t="s">
        <v>2123</v>
      </c>
      <c r="M820" s="1475">
        <v>4.1957000000000001E-2</v>
      </c>
      <c r="N820" s="1476">
        <v>1.3261641151662154</v>
      </c>
      <c r="O820" s="1476">
        <v>1.3355257454832512</v>
      </c>
    </row>
    <row r="821" spans="11:15">
      <c r="K821" s="1473">
        <v>42878</v>
      </c>
      <c r="L821" s="1474" t="s">
        <v>2123</v>
      </c>
      <c r="M821" s="1475">
        <v>4.1957000000000001E-2</v>
      </c>
      <c r="N821" s="1476">
        <v>1.3267205338440158</v>
      </c>
      <c r="O821" s="1476">
        <v>1.336227310512611</v>
      </c>
    </row>
    <row r="822" spans="11:15">
      <c r="K822" s="1473">
        <v>42879</v>
      </c>
      <c r="L822" s="1474" t="s">
        <v>2123</v>
      </c>
      <c r="M822" s="1475">
        <v>4.1957000000000001E-2</v>
      </c>
      <c r="N822" s="1476">
        <v>1.3272771859784007</v>
      </c>
      <c r="O822" s="1476">
        <v>1.3369292440810965</v>
      </c>
    </row>
    <row r="823" spans="11:15">
      <c r="K823" s="1473">
        <v>42880</v>
      </c>
      <c r="L823" s="1474" t="s">
        <v>2123</v>
      </c>
      <c r="M823" s="1475">
        <v>4.1957000000000001E-2</v>
      </c>
      <c r="N823" s="1476">
        <v>1.3278340716673218</v>
      </c>
      <c r="O823" s="1476">
        <v>1.3376315463823047</v>
      </c>
    </row>
    <row r="824" spans="11:15">
      <c r="K824" s="1473">
        <v>42881</v>
      </c>
      <c r="L824" s="1474" t="s">
        <v>2123</v>
      </c>
      <c r="M824" s="1475">
        <v>4.1957000000000001E-2</v>
      </c>
      <c r="N824" s="1476">
        <v>1.3283911910087713</v>
      </c>
      <c r="O824" s="1476">
        <v>1.3383342176099349</v>
      </c>
    </row>
    <row r="825" spans="11:15">
      <c r="K825" s="1473">
        <v>42882</v>
      </c>
      <c r="L825" s="1474"/>
      <c r="M825" s="1475">
        <v>0</v>
      </c>
      <c r="N825" s="1476">
        <v>1.3283911910087713</v>
      </c>
      <c r="O825" s="1476">
        <v>1.3383342176099349</v>
      </c>
    </row>
    <row r="826" spans="11:15">
      <c r="K826" s="1473">
        <v>42883</v>
      </c>
      <c r="L826" s="1474"/>
      <c r="M826" s="1475">
        <v>0</v>
      </c>
      <c r="N826" s="1476">
        <v>1.3283911910087713</v>
      </c>
      <c r="O826" s="1476">
        <v>1.3383342176099349</v>
      </c>
    </row>
    <row r="827" spans="11:15">
      <c r="K827" s="1473">
        <v>42884</v>
      </c>
      <c r="L827" s="1474" t="s">
        <v>2123</v>
      </c>
      <c r="M827" s="1475">
        <v>4.1957000000000001E-2</v>
      </c>
      <c r="N827" s="1476">
        <v>1.3289485441007829</v>
      </c>
      <c r="O827" s="1476">
        <v>1.3390372579577876</v>
      </c>
    </row>
    <row r="828" spans="11:15">
      <c r="K828" s="1473">
        <v>42885</v>
      </c>
      <c r="L828" s="1474" t="s">
        <v>2123</v>
      </c>
      <c r="M828" s="1475">
        <v>4.1957000000000001E-2</v>
      </c>
      <c r="N828" s="1476">
        <v>1.3295061310414313</v>
      </c>
      <c r="O828" s="1476">
        <v>1.3397406676197654</v>
      </c>
    </row>
    <row r="829" spans="11:15">
      <c r="K829" s="1473">
        <v>42886</v>
      </c>
      <c r="L829" s="1474" t="s">
        <v>2123</v>
      </c>
      <c r="M829" s="1475">
        <v>4.1957000000000001E-2</v>
      </c>
      <c r="N829" s="1476">
        <v>1.3300639519288324</v>
      </c>
      <c r="O829" s="1476">
        <v>1.3404444467898728</v>
      </c>
    </row>
    <row r="830" spans="11:15">
      <c r="K830" s="1473">
        <v>42887</v>
      </c>
      <c r="L830" s="1474" t="s">
        <v>2123</v>
      </c>
      <c r="M830" s="1475">
        <v>3.8370000000000001E-2</v>
      </c>
      <c r="N830" s="1476">
        <v>1.3305742974671875</v>
      </c>
      <c r="O830" s="1476">
        <v>1.341148595662216</v>
      </c>
    </row>
    <row r="831" spans="11:15">
      <c r="K831" s="1473">
        <v>42888</v>
      </c>
      <c r="L831" s="1474" t="s">
        <v>2123</v>
      </c>
      <c r="M831" s="1475">
        <v>3.8370000000000001E-2</v>
      </c>
      <c r="N831" s="1476">
        <v>1.3310848388251255</v>
      </c>
      <c r="O831" s="1476">
        <v>1.3418531144310033</v>
      </c>
    </row>
    <row r="832" spans="11:15">
      <c r="K832" s="1473">
        <v>42889</v>
      </c>
      <c r="L832" s="1474"/>
      <c r="M832" s="1475">
        <v>0</v>
      </c>
      <c r="N832" s="1476">
        <v>1.3310848388251255</v>
      </c>
      <c r="O832" s="1476">
        <v>1.3418531144310033</v>
      </c>
    </row>
    <row r="833" spans="11:15">
      <c r="K833" s="1473">
        <v>42890</v>
      </c>
      <c r="L833" s="1474"/>
      <c r="M833" s="1475">
        <v>0</v>
      </c>
      <c r="N833" s="1476">
        <v>1.3310848388251255</v>
      </c>
      <c r="O833" s="1476">
        <v>1.3418531144310033</v>
      </c>
    </row>
    <row r="834" spans="11:15">
      <c r="K834" s="1473">
        <v>42891</v>
      </c>
      <c r="L834" s="1474" t="s">
        <v>2123</v>
      </c>
      <c r="M834" s="1475">
        <v>3.8370000000000001E-2</v>
      </c>
      <c r="N834" s="1476">
        <v>1.3315955760777827</v>
      </c>
      <c r="O834" s="1476">
        <v>1.3425580032905451</v>
      </c>
    </row>
    <row r="835" spans="11:15">
      <c r="K835" s="1473">
        <v>42892</v>
      </c>
      <c r="L835" s="1474" t="s">
        <v>2123</v>
      </c>
      <c r="M835" s="1475">
        <v>3.8370000000000001E-2</v>
      </c>
      <c r="N835" s="1476">
        <v>1.3321065093003237</v>
      </c>
      <c r="O835" s="1476">
        <v>1.3432632624352536</v>
      </c>
    </row>
    <row r="836" spans="11:15">
      <c r="K836" s="1473">
        <v>42893</v>
      </c>
      <c r="L836" s="1474" t="s">
        <v>2123</v>
      </c>
      <c r="M836" s="1475">
        <v>3.8370000000000001E-2</v>
      </c>
      <c r="N836" s="1476">
        <v>1.3326176385679422</v>
      </c>
      <c r="O836" s="1476">
        <v>1.3439688920596435</v>
      </c>
    </row>
    <row r="837" spans="11:15">
      <c r="K837" s="1473">
        <v>42894</v>
      </c>
      <c r="L837" s="1474" t="s">
        <v>2123</v>
      </c>
      <c r="M837" s="1475">
        <v>3.8370000000000001E-2</v>
      </c>
      <c r="N837" s="1476">
        <v>1.3331289639558608</v>
      </c>
      <c r="O837" s="1476">
        <v>1.3446748923583314</v>
      </c>
    </row>
    <row r="838" spans="11:15">
      <c r="K838" s="1473">
        <v>42895</v>
      </c>
      <c r="L838" s="1474" t="s">
        <v>2123</v>
      </c>
      <c r="M838" s="1475">
        <v>3.8370000000000001E-2</v>
      </c>
      <c r="N838" s="1476">
        <v>1.3336404855393307</v>
      </c>
      <c r="O838" s="1476">
        <v>1.345381263526036</v>
      </c>
    </row>
    <row r="839" spans="11:15">
      <c r="K839" s="1473">
        <v>42896</v>
      </c>
      <c r="L839" s="1474"/>
      <c r="M839" s="1475">
        <v>0</v>
      </c>
      <c r="N839" s="1476">
        <v>1.3336404855393307</v>
      </c>
      <c r="O839" s="1476">
        <v>1.345381263526036</v>
      </c>
    </row>
    <row r="840" spans="11:15">
      <c r="K840" s="1473">
        <v>42897</v>
      </c>
      <c r="L840" s="1474"/>
      <c r="M840" s="1475">
        <v>0</v>
      </c>
      <c r="N840" s="1476">
        <v>1.3336404855393307</v>
      </c>
      <c r="O840" s="1476">
        <v>1.345381263526036</v>
      </c>
    </row>
    <row r="841" spans="11:15">
      <c r="K841" s="1473">
        <v>42898</v>
      </c>
      <c r="L841" s="1474" t="s">
        <v>2123</v>
      </c>
      <c r="M841" s="1475">
        <v>3.8370000000000001E-2</v>
      </c>
      <c r="N841" s="1476">
        <v>1.3341522033936322</v>
      </c>
      <c r="O841" s="1476">
        <v>1.3460880057575788</v>
      </c>
    </row>
    <row r="842" spans="11:15">
      <c r="K842" s="1473">
        <v>42899</v>
      </c>
      <c r="L842" s="1474" t="s">
        <v>2123</v>
      </c>
      <c r="M842" s="1475">
        <v>3.8370000000000001E-2</v>
      </c>
      <c r="N842" s="1476">
        <v>1.3346641175940743</v>
      </c>
      <c r="O842" s="1476">
        <v>1.3467951192478833</v>
      </c>
    </row>
    <row r="843" spans="11:15">
      <c r="K843" s="1473">
        <v>42900</v>
      </c>
      <c r="L843" s="1474" t="s">
        <v>2123</v>
      </c>
      <c r="M843" s="1475">
        <v>3.8370000000000001E-2</v>
      </c>
      <c r="N843" s="1476">
        <v>1.3351762282159951</v>
      </c>
      <c r="O843" s="1476">
        <v>1.3475026041919753</v>
      </c>
    </row>
    <row r="844" spans="11:15">
      <c r="K844" s="1473">
        <v>42901</v>
      </c>
      <c r="L844" s="1474"/>
      <c r="M844" s="1475">
        <v>0</v>
      </c>
      <c r="N844" s="1476">
        <v>1.3351762282159951</v>
      </c>
      <c r="O844" s="1476">
        <v>1.3475026041919753</v>
      </c>
    </row>
    <row r="845" spans="11:15">
      <c r="K845" s="1473">
        <v>42902</v>
      </c>
      <c r="L845" s="1474" t="s">
        <v>2123</v>
      </c>
      <c r="M845" s="1475">
        <v>3.8370000000000001E-2</v>
      </c>
      <c r="N845" s="1476">
        <v>1.3356885353347616</v>
      </c>
      <c r="O845" s="1476">
        <v>1.3482104607849834</v>
      </c>
    </row>
    <row r="846" spans="11:15">
      <c r="K846" s="1473">
        <v>42903</v>
      </c>
      <c r="L846" s="1474"/>
      <c r="M846" s="1475">
        <v>0</v>
      </c>
      <c r="N846" s="1476">
        <v>1.3356885353347616</v>
      </c>
      <c r="O846" s="1476">
        <v>1.3482104607849834</v>
      </c>
    </row>
    <row r="847" spans="11:15">
      <c r="K847" s="1473">
        <v>42904</v>
      </c>
      <c r="L847" s="1474"/>
      <c r="M847" s="1475">
        <v>0</v>
      </c>
      <c r="N847" s="1476">
        <v>1.3356885353347616</v>
      </c>
      <c r="O847" s="1476">
        <v>1.3482104607849834</v>
      </c>
    </row>
    <row r="848" spans="11:15">
      <c r="K848" s="1473">
        <v>42905</v>
      </c>
      <c r="L848" s="1474" t="s">
        <v>2123</v>
      </c>
      <c r="M848" s="1475">
        <v>3.8370000000000001E-2</v>
      </c>
      <c r="N848" s="1476">
        <v>1.3362010390257695</v>
      </c>
      <c r="O848" s="1476">
        <v>1.3489186892221383</v>
      </c>
    </row>
    <row r="849" spans="11:15">
      <c r="K849" s="1473">
        <v>42906</v>
      </c>
      <c r="L849" s="1474" t="s">
        <v>2123</v>
      </c>
      <c r="M849" s="1475">
        <v>3.8370000000000001E-2</v>
      </c>
      <c r="N849" s="1476">
        <v>1.3367137393644437</v>
      </c>
      <c r="O849" s="1476">
        <v>1.3496272896987735</v>
      </c>
    </row>
    <row r="850" spans="11:15">
      <c r="K850" s="1473">
        <v>42907</v>
      </c>
      <c r="L850" s="1474" t="s">
        <v>2123</v>
      </c>
      <c r="M850" s="1475">
        <v>3.8370000000000001E-2</v>
      </c>
      <c r="N850" s="1476">
        <v>1.3372266364262377</v>
      </c>
      <c r="O850" s="1476">
        <v>1.3503362624103252</v>
      </c>
    </row>
    <row r="851" spans="11:15">
      <c r="K851" s="1473">
        <v>42908</v>
      </c>
      <c r="L851" s="1474" t="s">
        <v>2123</v>
      </c>
      <c r="M851" s="1475">
        <v>3.8370000000000001E-2</v>
      </c>
      <c r="N851" s="1476">
        <v>1.3377397302866345</v>
      </c>
      <c r="O851" s="1476">
        <v>1.3510456075523321</v>
      </c>
    </row>
    <row r="852" spans="11:15">
      <c r="K852" s="1473">
        <v>42909</v>
      </c>
      <c r="L852" s="1474" t="s">
        <v>2123</v>
      </c>
      <c r="M852" s="1475">
        <v>3.8370000000000001E-2</v>
      </c>
      <c r="N852" s="1476">
        <v>1.3382530210211454</v>
      </c>
      <c r="O852" s="1476">
        <v>1.3517553253204353</v>
      </c>
    </row>
    <row r="853" spans="11:15">
      <c r="K853" s="1473">
        <v>42910</v>
      </c>
      <c r="L853" s="1474"/>
      <c r="M853" s="1475">
        <v>0</v>
      </c>
      <c r="N853" s="1476">
        <v>1.3382530210211454</v>
      </c>
      <c r="O853" s="1476">
        <v>1.3517553253204353</v>
      </c>
    </row>
    <row r="854" spans="11:15">
      <c r="K854" s="1473">
        <v>42911</v>
      </c>
      <c r="L854" s="1474"/>
      <c r="M854" s="1475">
        <v>0</v>
      </c>
      <c r="N854" s="1476">
        <v>1.3382530210211454</v>
      </c>
      <c r="O854" s="1476">
        <v>1.3517553253204353</v>
      </c>
    </row>
    <row r="855" spans="11:15">
      <c r="K855" s="1473">
        <v>42912</v>
      </c>
      <c r="L855" s="1474" t="s">
        <v>2123</v>
      </c>
      <c r="M855" s="1475">
        <v>3.8370000000000001E-2</v>
      </c>
      <c r="N855" s="1476">
        <v>1.3387665087053111</v>
      </c>
      <c r="O855" s="1476">
        <v>1.3524654159103793</v>
      </c>
    </row>
    <row r="856" spans="11:15">
      <c r="K856" s="1473">
        <v>42913</v>
      </c>
      <c r="L856" s="1474" t="s">
        <v>2123</v>
      </c>
      <c r="M856" s="1475">
        <v>3.8370000000000001E-2</v>
      </c>
      <c r="N856" s="1476">
        <v>1.3392801934147014</v>
      </c>
      <c r="O856" s="1476">
        <v>1.3531758795180111</v>
      </c>
    </row>
    <row r="857" spans="11:15">
      <c r="K857" s="1473">
        <v>42914</v>
      </c>
      <c r="L857" s="1474" t="s">
        <v>2123</v>
      </c>
      <c r="M857" s="1475">
        <v>3.8370000000000001E-2</v>
      </c>
      <c r="N857" s="1476">
        <v>1.3397940752249147</v>
      </c>
      <c r="O857" s="1476">
        <v>1.3538867163392807</v>
      </c>
    </row>
    <row r="858" spans="11:15">
      <c r="K858" s="1473">
        <v>42915</v>
      </c>
      <c r="L858" s="1474" t="s">
        <v>2123</v>
      </c>
      <c r="M858" s="1475">
        <v>3.8370000000000001E-2</v>
      </c>
      <c r="N858" s="1476">
        <v>1.3403081542115785</v>
      </c>
      <c r="O858" s="1476">
        <v>1.3545979265702408</v>
      </c>
    </row>
    <row r="859" spans="11:15">
      <c r="K859" s="1473">
        <v>42916</v>
      </c>
      <c r="L859" s="1474" t="s">
        <v>2123</v>
      </c>
      <c r="M859" s="1475">
        <v>3.8370000000000001E-2</v>
      </c>
      <c r="N859" s="1476">
        <v>1.3408224304503493</v>
      </c>
      <c r="O859" s="1476">
        <v>1.3553095104070474</v>
      </c>
    </row>
    <row r="860" spans="11:15">
      <c r="K860" s="1473">
        <v>42917</v>
      </c>
      <c r="L860" s="1474"/>
      <c r="M860" s="1475">
        <v>0</v>
      </c>
      <c r="N860" s="1476">
        <v>1.3408224304503493</v>
      </c>
      <c r="O860" s="1476">
        <v>1.3553095104070474</v>
      </c>
    </row>
    <row r="861" spans="11:15">
      <c r="K861" s="1473">
        <v>42918</v>
      </c>
      <c r="L861" s="1474"/>
      <c r="M861" s="1475">
        <v>0</v>
      </c>
      <c r="N861" s="1476">
        <v>1.3408224304503493</v>
      </c>
      <c r="O861" s="1476">
        <v>1.3553095104070474</v>
      </c>
    </row>
    <row r="862" spans="11:15">
      <c r="K862" s="1473">
        <v>42919</v>
      </c>
      <c r="L862" s="1474" t="s">
        <v>2123</v>
      </c>
      <c r="M862" s="1475">
        <v>3.8370000000000001E-2</v>
      </c>
      <c r="N862" s="1476">
        <v>1.3413369040169132</v>
      </c>
      <c r="O862" s="1476">
        <v>1.3560214680459592</v>
      </c>
    </row>
    <row r="863" spans="11:15">
      <c r="K863" s="1473">
        <v>42920</v>
      </c>
      <c r="L863" s="1474" t="s">
        <v>2123</v>
      </c>
      <c r="M863" s="1475">
        <v>3.8370000000000001E-2</v>
      </c>
      <c r="N863" s="1476">
        <v>1.3418515749869844</v>
      </c>
      <c r="O863" s="1476">
        <v>1.3567337996833384</v>
      </c>
    </row>
    <row r="864" spans="11:15">
      <c r="K864" s="1473">
        <v>42921</v>
      </c>
      <c r="L864" s="1474" t="s">
        <v>2123</v>
      </c>
      <c r="M864" s="1475">
        <v>3.8370000000000001E-2</v>
      </c>
      <c r="N864" s="1476">
        <v>1.342366443436307</v>
      </c>
      <c r="O864" s="1476">
        <v>1.3574465055156502</v>
      </c>
    </row>
    <row r="865" spans="11:15">
      <c r="K865" s="1473">
        <v>42922</v>
      </c>
      <c r="L865" s="1474" t="s">
        <v>2123</v>
      </c>
      <c r="M865" s="1475">
        <v>3.8370000000000001E-2</v>
      </c>
      <c r="N865" s="1476">
        <v>1.3428815094406534</v>
      </c>
      <c r="O865" s="1476">
        <v>1.3581595857394626</v>
      </c>
    </row>
    <row r="866" spans="11:15">
      <c r="K866" s="1473">
        <v>42923</v>
      </c>
      <c r="L866" s="1474" t="s">
        <v>2123</v>
      </c>
      <c r="M866" s="1475">
        <v>3.8370000000000001E-2</v>
      </c>
      <c r="N866" s="1476">
        <v>1.3433967730758258</v>
      </c>
      <c r="O866" s="1476">
        <v>1.3588730405514473</v>
      </c>
    </row>
    <row r="867" spans="11:15">
      <c r="K867" s="1473">
        <v>42924</v>
      </c>
      <c r="L867" s="1474"/>
      <c r="M867" s="1475">
        <v>0</v>
      </c>
      <c r="N867" s="1476">
        <v>1.3433967730758258</v>
      </c>
      <c r="O867" s="1476">
        <v>1.3588730405514473</v>
      </c>
    </row>
    <row r="868" spans="11:15">
      <c r="K868" s="1473">
        <v>42925</v>
      </c>
      <c r="L868" s="1474"/>
      <c r="M868" s="1475">
        <v>0</v>
      </c>
      <c r="N868" s="1476">
        <v>1.3433967730758258</v>
      </c>
      <c r="O868" s="1476">
        <v>1.3588730405514473</v>
      </c>
    </row>
    <row r="869" spans="11:15">
      <c r="K869" s="1473">
        <v>42926</v>
      </c>
      <c r="L869" s="1474" t="s">
        <v>2123</v>
      </c>
      <c r="M869" s="1475">
        <v>3.8370000000000001E-2</v>
      </c>
      <c r="N869" s="1476">
        <v>1.3439122344176551</v>
      </c>
      <c r="O869" s="1476">
        <v>1.3595868701483793</v>
      </c>
    </row>
    <row r="870" spans="11:15">
      <c r="K870" s="1473">
        <v>42927</v>
      </c>
      <c r="L870" s="1474" t="s">
        <v>2123</v>
      </c>
      <c r="M870" s="1475">
        <v>3.8370000000000001E-2</v>
      </c>
      <c r="N870" s="1476">
        <v>1.3444278935420011</v>
      </c>
      <c r="O870" s="1476">
        <v>1.3603010747271369</v>
      </c>
    </row>
    <row r="871" spans="11:15">
      <c r="K871" s="1473">
        <v>42928</v>
      </c>
      <c r="L871" s="1474" t="s">
        <v>2123</v>
      </c>
      <c r="M871" s="1475">
        <v>3.8370000000000001E-2</v>
      </c>
      <c r="N871" s="1476">
        <v>1.3449437505247532</v>
      </c>
      <c r="O871" s="1476">
        <v>1.3610156544847019</v>
      </c>
    </row>
    <row r="872" spans="11:15">
      <c r="K872" s="1473">
        <v>42929</v>
      </c>
      <c r="L872" s="1474" t="s">
        <v>2123</v>
      </c>
      <c r="M872" s="1475">
        <v>3.8370000000000001E-2</v>
      </c>
      <c r="N872" s="1476">
        <v>1.3454598054418296</v>
      </c>
      <c r="O872" s="1476">
        <v>1.3617306096181592</v>
      </c>
    </row>
    <row r="873" spans="11:15">
      <c r="K873" s="1473">
        <v>42930</v>
      </c>
      <c r="L873" s="1474" t="s">
        <v>2123</v>
      </c>
      <c r="M873" s="1475">
        <v>3.8370000000000001E-2</v>
      </c>
      <c r="N873" s="1476">
        <v>1.3459760583691776</v>
      </c>
      <c r="O873" s="1476">
        <v>1.3624459403246978</v>
      </c>
    </row>
    <row r="874" spans="11:15">
      <c r="K874" s="1473">
        <v>42931</v>
      </c>
      <c r="L874" s="1474"/>
      <c r="M874" s="1475">
        <v>0</v>
      </c>
      <c r="N874" s="1476">
        <v>1.3459760583691776</v>
      </c>
      <c r="O874" s="1476">
        <v>1.3624459403246978</v>
      </c>
    </row>
    <row r="875" spans="11:15">
      <c r="K875" s="1473">
        <v>42932</v>
      </c>
      <c r="L875" s="1474"/>
      <c r="M875" s="1475">
        <v>0</v>
      </c>
      <c r="N875" s="1476">
        <v>1.3459760583691776</v>
      </c>
      <c r="O875" s="1476">
        <v>1.3624459403246978</v>
      </c>
    </row>
    <row r="876" spans="11:15">
      <c r="K876" s="1473">
        <v>42933</v>
      </c>
      <c r="L876" s="1474" t="s">
        <v>2123</v>
      </c>
      <c r="M876" s="1475">
        <v>3.8370000000000001E-2</v>
      </c>
      <c r="N876" s="1476">
        <v>1.3464925093827738</v>
      </c>
      <c r="O876" s="1476">
        <v>1.3631616468016097</v>
      </c>
    </row>
    <row r="877" spans="11:15">
      <c r="K877" s="1473">
        <v>42934</v>
      </c>
      <c r="L877" s="1474" t="s">
        <v>2123</v>
      </c>
      <c r="M877" s="1475">
        <v>3.8370000000000001E-2</v>
      </c>
      <c r="N877" s="1476">
        <v>1.3470091585586239</v>
      </c>
      <c r="O877" s="1476">
        <v>1.3638777292462911</v>
      </c>
    </row>
    <row r="878" spans="11:15">
      <c r="K878" s="1473">
        <v>42935</v>
      </c>
      <c r="L878" s="1474" t="s">
        <v>2123</v>
      </c>
      <c r="M878" s="1475">
        <v>3.8370000000000001E-2</v>
      </c>
      <c r="N878" s="1476">
        <v>1.3475260059727627</v>
      </c>
      <c r="O878" s="1476">
        <v>1.3645941878562415</v>
      </c>
    </row>
    <row r="879" spans="11:15">
      <c r="K879" s="1473">
        <v>42936</v>
      </c>
      <c r="L879" s="1474" t="s">
        <v>2123</v>
      </c>
      <c r="M879" s="1475">
        <v>3.8370000000000001E-2</v>
      </c>
      <c r="N879" s="1476">
        <v>1.3480430517012545</v>
      </c>
      <c r="O879" s="1476">
        <v>1.3653110228290644</v>
      </c>
    </row>
    <row r="880" spans="11:15">
      <c r="K880" s="1473">
        <v>42937</v>
      </c>
      <c r="L880" s="1474" t="s">
        <v>2123</v>
      </c>
      <c r="M880" s="1475">
        <v>3.8370000000000001E-2</v>
      </c>
      <c r="N880" s="1476">
        <v>1.3485602958201923</v>
      </c>
      <c r="O880" s="1476">
        <v>1.3660282343624668</v>
      </c>
    </row>
    <row r="881" spans="11:15">
      <c r="K881" s="1473">
        <v>42938</v>
      </c>
      <c r="L881" s="1474"/>
      <c r="M881" s="1475">
        <v>0</v>
      </c>
      <c r="N881" s="1476">
        <v>1.3485602958201923</v>
      </c>
      <c r="O881" s="1476">
        <v>1.3660282343624668</v>
      </c>
    </row>
    <row r="882" spans="11:15">
      <c r="K882" s="1473">
        <v>42939</v>
      </c>
      <c r="L882" s="1474"/>
      <c r="M882" s="1475">
        <v>0</v>
      </c>
      <c r="N882" s="1476">
        <v>1.3485602958201923</v>
      </c>
      <c r="O882" s="1476">
        <v>1.3660282343624668</v>
      </c>
    </row>
    <row r="883" spans="11:15">
      <c r="K883" s="1473">
        <v>42940</v>
      </c>
      <c r="L883" s="1474" t="s">
        <v>2123</v>
      </c>
      <c r="M883" s="1475">
        <v>3.8370000000000001E-2</v>
      </c>
      <c r="N883" s="1476">
        <v>1.3490777384056984</v>
      </c>
      <c r="O883" s="1476">
        <v>1.3667458226542597</v>
      </c>
    </row>
    <row r="884" spans="11:15">
      <c r="K884" s="1473">
        <v>42941</v>
      </c>
      <c r="L884" s="1474" t="s">
        <v>2123</v>
      </c>
      <c r="M884" s="1475">
        <v>3.8370000000000001E-2</v>
      </c>
      <c r="N884" s="1476">
        <v>1.3495953795339246</v>
      </c>
      <c r="O884" s="1476">
        <v>1.3674637879023581</v>
      </c>
    </row>
    <row r="885" spans="11:15">
      <c r="K885" s="1473">
        <v>42942</v>
      </c>
      <c r="L885" s="1474" t="s">
        <v>2123</v>
      </c>
      <c r="M885" s="1475">
        <v>3.8370000000000001E-2</v>
      </c>
      <c r="N885" s="1476">
        <v>1.3501132192810517</v>
      </c>
      <c r="O885" s="1476">
        <v>1.3681821303047812</v>
      </c>
    </row>
    <row r="886" spans="11:15">
      <c r="K886" s="1473">
        <v>42943</v>
      </c>
      <c r="L886" s="1474" t="s">
        <v>2123</v>
      </c>
      <c r="M886" s="1475">
        <v>3.4749000000000002E-2</v>
      </c>
      <c r="N886" s="1476">
        <v>1.3505823701236197</v>
      </c>
      <c r="O886" s="1476">
        <v>1.3689008500596516</v>
      </c>
    </row>
    <row r="887" spans="11:15">
      <c r="K887" s="1473">
        <v>42944</v>
      </c>
      <c r="L887" s="1474" t="s">
        <v>2123</v>
      </c>
      <c r="M887" s="1475">
        <v>3.4749000000000002E-2</v>
      </c>
      <c r="N887" s="1476">
        <v>1.351051683991414</v>
      </c>
      <c r="O887" s="1476">
        <v>1.3696199473651964</v>
      </c>
    </row>
    <row r="888" spans="11:15">
      <c r="K888" s="1473">
        <v>42945</v>
      </c>
      <c r="L888" s="1474"/>
      <c r="M888" s="1475">
        <v>0</v>
      </c>
      <c r="N888" s="1476">
        <v>1.351051683991414</v>
      </c>
      <c r="O888" s="1476">
        <v>1.3696199473651964</v>
      </c>
    </row>
    <row r="889" spans="11:15">
      <c r="K889" s="1473">
        <v>42946</v>
      </c>
      <c r="L889" s="1474"/>
      <c r="M889" s="1475">
        <v>0</v>
      </c>
      <c r="N889" s="1476">
        <v>1.351051683991414</v>
      </c>
      <c r="O889" s="1476">
        <v>1.3696199473651964</v>
      </c>
    </row>
    <row r="890" spans="11:15">
      <c r="K890" s="1473">
        <v>42947</v>
      </c>
      <c r="L890" s="1474" t="s">
        <v>2123</v>
      </c>
      <c r="M890" s="1475">
        <v>3.4749000000000002E-2</v>
      </c>
      <c r="N890" s="1476">
        <v>1.3515211609410842</v>
      </c>
      <c r="O890" s="1476">
        <v>1.3703394224197469</v>
      </c>
    </row>
    <row r="891" spans="11:15">
      <c r="K891" s="1473">
        <v>42948</v>
      </c>
      <c r="L891" s="1474" t="s">
        <v>2123</v>
      </c>
      <c r="M891" s="1475">
        <v>3.4749000000000002E-2</v>
      </c>
      <c r="N891" s="1476">
        <v>1.3519908010292996</v>
      </c>
      <c r="O891" s="1476">
        <v>1.3710592754217383</v>
      </c>
    </row>
    <row r="892" spans="11:15">
      <c r="K892" s="1473">
        <v>42949</v>
      </c>
      <c r="L892" s="1474" t="s">
        <v>2123</v>
      </c>
      <c r="M892" s="1475">
        <v>3.4749000000000002E-2</v>
      </c>
      <c r="N892" s="1476">
        <v>1.3524606043127492</v>
      </c>
      <c r="O892" s="1476">
        <v>1.37177950656971</v>
      </c>
    </row>
    <row r="893" spans="11:15">
      <c r="K893" s="1473">
        <v>42950</v>
      </c>
      <c r="L893" s="1474" t="s">
        <v>2123</v>
      </c>
      <c r="M893" s="1475">
        <v>3.4749000000000002E-2</v>
      </c>
      <c r="N893" s="1476">
        <v>1.3529305708481418</v>
      </c>
      <c r="O893" s="1476">
        <v>1.3725001160623063</v>
      </c>
    </row>
    <row r="894" spans="11:15">
      <c r="K894" s="1473">
        <v>42951</v>
      </c>
      <c r="L894" s="1474" t="s">
        <v>2123</v>
      </c>
      <c r="M894" s="1475">
        <v>3.4749000000000002E-2</v>
      </c>
      <c r="N894" s="1476">
        <v>1.353400700692206</v>
      </c>
      <c r="O894" s="1476">
        <v>1.3732211040982749</v>
      </c>
    </row>
    <row r="895" spans="11:15">
      <c r="K895" s="1473">
        <v>42952</v>
      </c>
      <c r="L895" s="1474"/>
      <c r="M895" s="1475">
        <v>0</v>
      </c>
      <c r="N895" s="1476">
        <v>1.353400700692206</v>
      </c>
      <c r="O895" s="1476">
        <v>1.3732211040982749</v>
      </c>
    </row>
    <row r="896" spans="11:15">
      <c r="K896" s="1473">
        <v>42953</v>
      </c>
      <c r="L896" s="1474"/>
      <c r="M896" s="1475">
        <v>0</v>
      </c>
      <c r="N896" s="1476">
        <v>1.353400700692206</v>
      </c>
      <c r="O896" s="1476">
        <v>1.3732211040982749</v>
      </c>
    </row>
    <row r="897" spans="11:15">
      <c r="K897" s="1473">
        <v>42954</v>
      </c>
      <c r="L897" s="1474" t="s">
        <v>2123</v>
      </c>
      <c r="M897" s="1475">
        <v>3.4749000000000002E-2</v>
      </c>
      <c r="N897" s="1476">
        <v>1.3538709939016895</v>
      </c>
      <c r="O897" s="1476">
        <v>1.3739424708764687</v>
      </c>
    </row>
    <row r="898" spans="11:15">
      <c r="K898" s="1473">
        <v>42955</v>
      </c>
      <c r="L898" s="1474" t="s">
        <v>2123</v>
      </c>
      <c r="M898" s="1475">
        <v>3.4749000000000002E-2</v>
      </c>
      <c r="N898" s="1476">
        <v>1.3543414505333604</v>
      </c>
      <c r="O898" s="1476">
        <v>1.3746642165958449</v>
      </c>
    </row>
    <row r="899" spans="11:15">
      <c r="K899" s="1473">
        <v>42956</v>
      </c>
      <c r="L899" s="1474" t="s">
        <v>2123</v>
      </c>
      <c r="M899" s="1475">
        <v>3.4749000000000002E-2</v>
      </c>
      <c r="N899" s="1476">
        <v>1.3548120706440063</v>
      </c>
      <c r="O899" s="1476">
        <v>1.3753863414554648</v>
      </c>
    </row>
    <row r="900" spans="11:15">
      <c r="K900" s="1473">
        <v>42957</v>
      </c>
      <c r="L900" s="1474" t="s">
        <v>2123</v>
      </c>
      <c r="M900" s="1475">
        <v>3.4749000000000002E-2</v>
      </c>
      <c r="N900" s="1476">
        <v>1.3552828542904345</v>
      </c>
      <c r="O900" s="1476">
        <v>1.3761088456544948</v>
      </c>
    </row>
    <row r="901" spans="11:15">
      <c r="K901" s="1473">
        <v>42958</v>
      </c>
      <c r="L901" s="1474" t="s">
        <v>2123</v>
      </c>
      <c r="M901" s="1475">
        <v>3.4749000000000002E-2</v>
      </c>
      <c r="N901" s="1476">
        <v>1.3557538015294719</v>
      </c>
      <c r="O901" s="1476">
        <v>1.3768317293922054</v>
      </c>
    </row>
    <row r="902" spans="11:15">
      <c r="K902" s="1473">
        <v>42959</v>
      </c>
      <c r="L902" s="1474"/>
      <c r="M902" s="1475">
        <v>0</v>
      </c>
      <c r="N902" s="1476">
        <v>1.3557538015294719</v>
      </c>
      <c r="O902" s="1476">
        <v>1.3768317293922054</v>
      </c>
    </row>
    <row r="903" spans="11:15">
      <c r="K903" s="1473">
        <v>42960</v>
      </c>
      <c r="L903" s="1474"/>
      <c r="M903" s="1475">
        <v>0</v>
      </c>
      <c r="N903" s="1476">
        <v>1.3557538015294719</v>
      </c>
      <c r="O903" s="1476">
        <v>1.3768317293922054</v>
      </c>
    </row>
    <row r="904" spans="11:15">
      <c r="K904" s="1473">
        <v>42961</v>
      </c>
      <c r="L904" s="1474" t="s">
        <v>2123</v>
      </c>
      <c r="M904" s="1475">
        <v>3.4749000000000002E-2</v>
      </c>
      <c r="N904" s="1476">
        <v>1.3562249124179653</v>
      </c>
      <c r="O904" s="1476">
        <v>1.3775549928679724</v>
      </c>
    </row>
    <row r="905" spans="11:15">
      <c r="K905" s="1473">
        <v>42962</v>
      </c>
      <c r="L905" s="1474" t="s">
        <v>2123</v>
      </c>
      <c r="M905" s="1475">
        <v>3.4749000000000002E-2</v>
      </c>
      <c r="N905" s="1476">
        <v>1.3566961870127814</v>
      </c>
      <c r="O905" s="1476">
        <v>1.378278636281276</v>
      </c>
    </row>
    <row r="906" spans="11:15">
      <c r="K906" s="1473">
        <v>42963</v>
      </c>
      <c r="L906" s="1474" t="s">
        <v>2123</v>
      </c>
      <c r="M906" s="1475">
        <v>3.4749000000000002E-2</v>
      </c>
      <c r="N906" s="1476">
        <v>1.3571676253708065</v>
      </c>
      <c r="O906" s="1476">
        <v>1.3790026598317009</v>
      </c>
    </row>
    <row r="907" spans="11:15">
      <c r="K907" s="1473">
        <v>42964</v>
      </c>
      <c r="L907" s="1474" t="s">
        <v>2123</v>
      </c>
      <c r="M907" s="1475">
        <v>3.4749000000000002E-2</v>
      </c>
      <c r="N907" s="1476">
        <v>1.3576392275489466</v>
      </c>
      <c r="O907" s="1476">
        <v>1.3797270637189372</v>
      </c>
    </row>
    <row r="908" spans="11:15">
      <c r="K908" s="1473">
        <v>42965</v>
      </c>
      <c r="L908" s="1474" t="s">
        <v>2123</v>
      </c>
      <c r="M908" s="1475">
        <v>3.4749000000000002E-2</v>
      </c>
      <c r="N908" s="1476">
        <v>1.3581109936041276</v>
      </c>
      <c r="O908" s="1476">
        <v>1.3804518481427794</v>
      </c>
    </row>
    <row r="909" spans="11:15">
      <c r="K909" s="1473">
        <v>42966</v>
      </c>
      <c r="L909" s="1474"/>
      <c r="M909" s="1475">
        <v>0</v>
      </c>
      <c r="N909" s="1476">
        <v>1.3581109936041276</v>
      </c>
      <c r="O909" s="1476">
        <v>1.3804518481427794</v>
      </c>
    </row>
    <row r="910" spans="11:15">
      <c r="K910" s="1473">
        <v>42967</v>
      </c>
      <c r="L910" s="1474"/>
      <c r="M910" s="1475">
        <v>0</v>
      </c>
      <c r="N910" s="1476">
        <v>1.3581109936041276</v>
      </c>
      <c r="O910" s="1476">
        <v>1.3804518481427794</v>
      </c>
    </row>
    <row r="911" spans="11:15">
      <c r="K911" s="1473">
        <v>42968</v>
      </c>
      <c r="L911" s="1474" t="s">
        <v>2123</v>
      </c>
      <c r="M911" s="1475">
        <v>3.4749000000000002E-2</v>
      </c>
      <c r="N911" s="1476">
        <v>1.3585829235932951</v>
      </c>
      <c r="O911" s="1476">
        <v>1.3811770133031274</v>
      </c>
    </row>
    <row r="912" spans="11:15">
      <c r="K912" s="1473">
        <v>42969</v>
      </c>
      <c r="L912" s="1474" t="s">
        <v>2123</v>
      </c>
      <c r="M912" s="1475">
        <v>3.4749000000000002E-2</v>
      </c>
      <c r="N912" s="1476">
        <v>1.3590550175734146</v>
      </c>
      <c r="O912" s="1476">
        <v>1.3819025593999856</v>
      </c>
    </row>
    <row r="913" spans="11:15">
      <c r="K913" s="1473">
        <v>42970</v>
      </c>
      <c r="L913" s="1474" t="s">
        <v>2123</v>
      </c>
      <c r="M913" s="1475">
        <v>3.4749000000000002E-2</v>
      </c>
      <c r="N913" s="1476">
        <v>1.3595272756014711</v>
      </c>
      <c r="O913" s="1476">
        <v>1.3826284866334639</v>
      </c>
    </row>
    <row r="914" spans="11:15">
      <c r="K914" s="1473">
        <v>42971</v>
      </c>
      <c r="L914" s="1474" t="s">
        <v>2123</v>
      </c>
      <c r="M914" s="1475">
        <v>3.4749000000000002E-2</v>
      </c>
      <c r="N914" s="1476">
        <v>1.3599996977344699</v>
      </c>
      <c r="O914" s="1476">
        <v>1.3833547952037775</v>
      </c>
    </row>
    <row r="915" spans="11:15">
      <c r="K915" s="1473">
        <v>42972</v>
      </c>
      <c r="L915" s="1474" t="s">
        <v>2123</v>
      </c>
      <c r="M915" s="1475">
        <v>3.4749000000000002E-2</v>
      </c>
      <c r="N915" s="1476">
        <v>1.3604722840294357</v>
      </c>
      <c r="O915" s="1476">
        <v>1.384081485311246</v>
      </c>
    </row>
    <row r="916" spans="11:15">
      <c r="K916" s="1473">
        <v>42973</v>
      </c>
      <c r="L916" s="1474"/>
      <c r="M916" s="1475">
        <v>0</v>
      </c>
      <c r="N916" s="1476">
        <v>1.3604722840294357</v>
      </c>
      <c r="O916" s="1476">
        <v>1.384081485311246</v>
      </c>
    </row>
    <row r="917" spans="11:15">
      <c r="K917" s="1473">
        <v>42974</v>
      </c>
      <c r="L917" s="1474"/>
      <c r="M917" s="1475">
        <v>0</v>
      </c>
      <c r="N917" s="1476">
        <v>1.3604722840294357</v>
      </c>
      <c r="O917" s="1476">
        <v>1.384081485311246</v>
      </c>
    </row>
    <row r="918" spans="11:15">
      <c r="K918" s="1473">
        <v>42975</v>
      </c>
      <c r="L918" s="1474" t="s">
        <v>2123</v>
      </c>
      <c r="M918" s="1475">
        <v>3.4749000000000002E-2</v>
      </c>
      <c r="N918" s="1476">
        <v>1.3609450345434131</v>
      </c>
      <c r="O918" s="1476">
        <v>1.3848085571562949</v>
      </c>
    </row>
    <row r="919" spans="11:15">
      <c r="K919" s="1473">
        <v>42976</v>
      </c>
      <c r="L919" s="1474" t="s">
        <v>2123</v>
      </c>
      <c r="M919" s="1475">
        <v>3.4749000000000002E-2</v>
      </c>
      <c r="N919" s="1476">
        <v>1.3614179493334666</v>
      </c>
      <c r="O919" s="1476">
        <v>1.3855360109394548</v>
      </c>
    </row>
    <row r="920" spans="11:15">
      <c r="K920" s="1473">
        <v>42977</v>
      </c>
      <c r="L920" s="1474" t="s">
        <v>2123</v>
      </c>
      <c r="M920" s="1475">
        <v>3.4749000000000002E-2</v>
      </c>
      <c r="N920" s="1476">
        <v>1.3618910284566805</v>
      </c>
      <c r="O920" s="1476">
        <v>1.3862638468613613</v>
      </c>
    </row>
    <row r="921" spans="11:15">
      <c r="K921" s="1473">
        <v>42978</v>
      </c>
      <c r="L921" s="1474" t="s">
        <v>2123</v>
      </c>
      <c r="M921" s="1475">
        <v>3.4749000000000002E-2</v>
      </c>
      <c r="N921" s="1476">
        <v>1.362364271970159</v>
      </c>
      <c r="O921" s="1476">
        <v>1.3869920651227561</v>
      </c>
    </row>
    <row r="922" spans="11:15">
      <c r="K922" s="1473">
        <v>42979</v>
      </c>
      <c r="L922" s="1474" t="s">
        <v>2123</v>
      </c>
      <c r="M922" s="1475">
        <v>3.4749000000000002E-2</v>
      </c>
      <c r="N922" s="1476">
        <v>1.3628376799310258</v>
      </c>
      <c r="O922" s="1476">
        <v>1.3877206659244856</v>
      </c>
    </row>
    <row r="923" spans="11:15">
      <c r="K923" s="1473">
        <v>42980</v>
      </c>
      <c r="L923" s="1474"/>
      <c r="M923" s="1475">
        <v>0</v>
      </c>
      <c r="N923" s="1476">
        <v>1.3628376799310258</v>
      </c>
      <c r="O923" s="1476">
        <v>1.3877206659244856</v>
      </c>
    </row>
    <row r="924" spans="11:15">
      <c r="K924" s="1473">
        <v>42981</v>
      </c>
      <c r="L924" s="1474"/>
      <c r="M924" s="1475">
        <v>0</v>
      </c>
      <c r="N924" s="1476">
        <v>1.3628376799310258</v>
      </c>
      <c r="O924" s="1476">
        <v>1.3877206659244856</v>
      </c>
    </row>
    <row r="925" spans="11:15">
      <c r="K925" s="1473">
        <v>42982</v>
      </c>
      <c r="L925" s="1474" t="s">
        <v>2123</v>
      </c>
      <c r="M925" s="1475">
        <v>3.4749000000000002E-2</v>
      </c>
      <c r="N925" s="1476">
        <v>1.363311252396425</v>
      </c>
      <c r="O925" s="1476">
        <v>1.3884496494675025</v>
      </c>
    </row>
    <row r="926" spans="11:15">
      <c r="K926" s="1473">
        <v>42983</v>
      </c>
      <c r="L926" s="1474" t="s">
        <v>2123</v>
      </c>
      <c r="M926" s="1475">
        <v>3.4749000000000002E-2</v>
      </c>
      <c r="N926" s="1476">
        <v>1.3637849894235203</v>
      </c>
      <c r="O926" s="1476">
        <v>1.3891790159528643</v>
      </c>
    </row>
    <row r="927" spans="11:15">
      <c r="K927" s="1473">
        <v>42984</v>
      </c>
      <c r="L927" s="1474" t="s">
        <v>2123</v>
      </c>
      <c r="M927" s="1475">
        <v>3.4749000000000002E-2</v>
      </c>
      <c r="N927" s="1476">
        <v>1.364258891069495</v>
      </c>
      <c r="O927" s="1476">
        <v>1.3899087655817346</v>
      </c>
    </row>
    <row r="928" spans="11:15">
      <c r="K928" s="1473">
        <v>42985</v>
      </c>
      <c r="L928" s="1474"/>
      <c r="M928" s="1475">
        <v>0</v>
      </c>
      <c r="N928" s="1476">
        <v>1.364258891069495</v>
      </c>
      <c r="O928" s="1476">
        <v>1.3899087655817346</v>
      </c>
    </row>
    <row r="929" spans="11:15">
      <c r="K929" s="1473">
        <v>42986</v>
      </c>
      <c r="L929" s="1474" t="s">
        <v>2123</v>
      </c>
      <c r="M929" s="1475">
        <v>3.1095999999999999E-2</v>
      </c>
      <c r="N929" s="1476">
        <v>1.364683121014262</v>
      </c>
      <c r="O929" s="1476">
        <v>1.3906388985553824</v>
      </c>
    </row>
    <row r="930" spans="11:15">
      <c r="K930" s="1473">
        <v>42987</v>
      </c>
      <c r="L930" s="1474"/>
      <c r="M930" s="1475">
        <v>0</v>
      </c>
      <c r="N930" s="1476">
        <v>1.364683121014262</v>
      </c>
      <c r="O930" s="1476">
        <v>1.3906388985553824</v>
      </c>
    </row>
    <row r="931" spans="11:15">
      <c r="K931" s="1473">
        <v>42988</v>
      </c>
      <c r="L931" s="1474"/>
      <c r="M931" s="1475">
        <v>0</v>
      </c>
      <c r="N931" s="1476">
        <v>1.364683121014262</v>
      </c>
      <c r="O931" s="1476">
        <v>1.3906388985553824</v>
      </c>
    </row>
    <row r="932" spans="11:15">
      <c r="K932" s="1473">
        <v>42989</v>
      </c>
      <c r="L932" s="1474" t="s">
        <v>2123</v>
      </c>
      <c r="M932" s="1475">
        <v>3.1095999999999999E-2</v>
      </c>
      <c r="N932" s="1476">
        <v>1.3651074828775727</v>
      </c>
      <c r="O932" s="1476">
        <v>1.3913694150751825</v>
      </c>
    </row>
    <row r="933" spans="11:15">
      <c r="K933" s="1473">
        <v>42990</v>
      </c>
      <c r="L933" s="1474" t="s">
        <v>2123</v>
      </c>
      <c r="M933" s="1475">
        <v>3.1095999999999999E-2</v>
      </c>
      <c r="N933" s="1476">
        <v>1.3655319767004481</v>
      </c>
      <c r="O933" s="1476">
        <v>1.3921003153426157</v>
      </c>
    </row>
    <row r="934" spans="11:15">
      <c r="K934" s="1473">
        <v>42991</v>
      </c>
      <c r="L934" s="1474" t="s">
        <v>2123</v>
      </c>
      <c r="M934" s="1475">
        <v>3.1095999999999999E-2</v>
      </c>
      <c r="N934" s="1476">
        <v>1.3659566025239229</v>
      </c>
      <c r="O934" s="1476">
        <v>1.3928315995592684</v>
      </c>
    </row>
    <row r="935" spans="11:15">
      <c r="K935" s="1473">
        <v>42992</v>
      </c>
      <c r="L935" s="1474" t="s">
        <v>2123</v>
      </c>
      <c r="M935" s="1475">
        <v>3.1095999999999999E-2</v>
      </c>
      <c r="N935" s="1476">
        <v>1.3663813603890438</v>
      </c>
      <c r="O935" s="1476">
        <v>1.3935632679268328</v>
      </c>
    </row>
    <row r="936" spans="11:15">
      <c r="K936" s="1473">
        <v>42993</v>
      </c>
      <c r="L936" s="1474" t="s">
        <v>2123</v>
      </c>
      <c r="M936" s="1475">
        <v>3.1095999999999999E-2</v>
      </c>
      <c r="N936" s="1476">
        <v>1.3668062503368703</v>
      </c>
      <c r="O936" s="1476">
        <v>1.3942953206471074</v>
      </c>
    </row>
    <row r="937" spans="11:15">
      <c r="K937" s="1473">
        <v>42994</v>
      </c>
      <c r="L937" s="1474"/>
      <c r="M937" s="1475">
        <v>0</v>
      </c>
      <c r="N937" s="1476">
        <v>1.3668062503368703</v>
      </c>
      <c r="O937" s="1476">
        <v>1.3942953206471074</v>
      </c>
    </row>
    <row r="938" spans="11:15">
      <c r="K938" s="1473">
        <v>42995</v>
      </c>
      <c r="L938" s="1474"/>
      <c r="M938" s="1475">
        <v>0</v>
      </c>
      <c r="N938" s="1476">
        <v>1.3668062503368703</v>
      </c>
      <c r="O938" s="1476">
        <v>1.3942953206471074</v>
      </c>
    </row>
    <row r="939" spans="11:15">
      <c r="K939" s="1473">
        <v>42996</v>
      </c>
      <c r="L939" s="1474" t="s">
        <v>2123</v>
      </c>
      <c r="M939" s="1475">
        <v>3.1095999999999999E-2</v>
      </c>
      <c r="N939" s="1476">
        <v>1.367231272408475</v>
      </c>
      <c r="O939" s="1476">
        <v>1.3950277579219965</v>
      </c>
    </row>
    <row r="940" spans="11:15">
      <c r="K940" s="1473">
        <v>42997</v>
      </c>
      <c r="L940" s="1474" t="s">
        <v>2123</v>
      </c>
      <c r="M940" s="1475">
        <v>3.1095999999999999E-2</v>
      </c>
      <c r="N940" s="1476">
        <v>1.3676564266449431</v>
      </c>
      <c r="O940" s="1476">
        <v>1.3957605799535104</v>
      </c>
    </row>
    <row r="941" spans="11:15">
      <c r="K941" s="1473">
        <v>42998</v>
      </c>
      <c r="L941" s="1474" t="s">
        <v>2123</v>
      </c>
      <c r="M941" s="1475">
        <v>3.1095999999999999E-2</v>
      </c>
      <c r="N941" s="1476">
        <v>1.3680817130873726</v>
      </c>
      <c r="O941" s="1476">
        <v>1.3964937869437659</v>
      </c>
    </row>
    <row r="942" spans="11:15">
      <c r="K942" s="1473">
        <v>42999</v>
      </c>
      <c r="L942" s="1474" t="s">
        <v>2123</v>
      </c>
      <c r="M942" s="1475">
        <v>3.1095999999999999E-2</v>
      </c>
      <c r="N942" s="1476">
        <v>1.3685071317768742</v>
      </c>
      <c r="O942" s="1476">
        <v>1.3972273790949854</v>
      </c>
    </row>
    <row r="943" spans="11:15">
      <c r="K943" s="1473">
        <v>43000</v>
      </c>
      <c r="L943" s="1474" t="s">
        <v>2123</v>
      </c>
      <c r="M943" s="1475">
        <v>3.1095999999999999E-2</v>
      </c>
      <c r="N943" s="1476">
        <v>1.3689326827545716</v>
      </c>
      <c r="O943" s="1476">
        <v>1.3979613566094977</v>
      </c>
    </row>
    <row r="944" spans="11:15">
      <c r="K944" s="1473">
        <v>43001</v>
      </c>
      <c r="L944" s="1474"/>
      <c r="M944" s="1475">
        <v>0</v>
      </c>
      <c r="N944" s="1476">
        <v>1.3689326827545716</v>
      </c>
      <c r="O944" s="1476">
        <v>1.3979613566094977</v>
      </c>
    </row>
    <row r="945" spans="11:15">
      <c r="K945" s="1473">
        <v>43002</v>
      </c>
      <c r="L945" s="1474"/>
      <c r="M945" s="1475">
        <v>0</v>
      </c>
      <c r="N945" s="1476">
        <v>1.3689326827545716</v>
      </c>
      <c r="O945" s="1476">
        <v>1.3979613566094977</v>
      </c>
    </row>
    <row r="946" spans="11:15">
      <c r="K946" s="1473">
        <v>43003</v>
      </c>
      <c r="L946" s="1474" t="s">
        <v>2123</v>
      </c>
      <c r="M946" s="1475">
        <v>3.1095999999999999E-2</v>
      </c>
      <c r="N946" s="1476">
        <v>1.3693583660616009</v>
      </c>
      <c r="O946" s="1476">
        <v>1.3986957196897383</v>
      </c>
    </row>
    <row r="947" spans="11:15">
      <c r="K947" s="1473">
        <v>43004</v>
      </c>
      <c r="L947" s="1474" t="s">
        <v>2123</v>
      </c>
      <c r="M947" s="1475">
        <v>3.1095999999999999E-2</v>
      </c>
      <c r="N947" s="1476">
        <v>1.3697841817391114</v>
      </c>
      <c r="O947" s="1476">
        <v>1.3994304685382486</v>
      </c>
    </row>
    <row r="948" spans="11:15">
      <c r="K948" s="1473">
        <v>43005</v>
      </c>
      <c r="L948" s="1474" t="s">
        <v>2123</v>
      </c>
      <c r="M948" s="1475">
        <v>3.1095999999999999E-2</v>
      </c>
      <c r="N948" s="1476">
        <v>1.370210129828265</v>
      </c>
      <c r="O948" s="1476">
        <v>1.4001656033576764</v>
      </c>
    </row>
    <row r="949" spans="11:15">
      <c r="K949" s="1473">
        <v>43006</v>
      </c>
      <c r="L949" s="1474" t="s">
        <v>2123</v>
      </c>
      <c r="M949" s="1475">
        <v>3.1095999999999999E-2</v>
      </c>
      <c r="N949" s="1476">
        <v>1.3706362103702363</v>
      </c>
      <c r="O949" s="1476">
        <v>1.4009011243507763</v>
      </c>
    </row>
    <row r="950" spans="11:15">
      <c r="K950" s="1473">
        <v>43007</v>
      </c>
      <c r="L950" s="1474" t="s">
        <v>2123</v>
      </c>
      <c r="M950" s="1475">
        <v>3.1095999999999999E-2</v>
      </c>
      <c r="N950" s="1476">
        <v>1.371062423406213</v>
      </c>
      <c r="O950" s="1476">
        <v>1.401637031720409</v>
      </c>
    </row>
    <row r="951" spans="11:15">
      <c r="K951" s="1473">
        <v>43008</v>
      </c>
      <c r="L951" s="1474"/>
      <c r="M951" s="1475">
        <v>0</v>
      </c>
      <c r="N951" s="1476">
        <v>1.371062423406213</v>
      </c>
      <c r="O951" s="1476">
        <v>1.401637031720409</v>
      </c>
    </row>
    <row r="952" spans="11:15">
      <c r="K952" s="1473">
        <v>43009</v>
      </c>
      <c r="L952" s="1474"/>
      <c r="M952" s="1475">
        <v>0</v>
      </c>
      <c r="N952" s="1476">
        <v>1.371062423406213</v>
      </c>
      <c r="O952" s="1476">
        <v>1.401637031720409</v>
      </c>
    </row>
    <row r="953" spans="11:15">
      <c r="K953" s="1473">
        <v>43010</v>
      </c>
      <c r="L953" s="1474" t="s">
        <v>2123</v>
      </c>
      <c r="M953" s="1475">
        <v>3.1095999999999999E-2</v>
      </c>
      <c r="N953" s="1476">
        <v>1.3714887689773954</v>
      </c>
      <c r="O953" s="1476">
        <v>1.4023733256695421</v>
      </c>
    </row>
    <row r="954" spans="11:15">
      <c r="K954" s="1473">
        <v>43011</v>
      </c>
      <c r="L954" s="1474" t="s">
        <v>2123</v>
      </c>
      <c r="M954" s="1475">
        <v>3.1095999999999999E-2</v>
      </c>
      <c r="N954" s="1476">
        <v>1.3719152471249965</v>
      </c>
      <c r="O954" s="1476">
        <v>1.4031100064012496</v>
      </c>
    </row>
    <row r="955" spans="11:15">
      <c r="K955" s="1473">
        <v>43012</v>
      </c>
      <c r="L955" s="1474" t="s">
        <v>2123</v>
      </c>
      <c r="M955" s="1475">
        <v>3.1095999999999999E-2</v>
      </c>
      <c r="N955" s="1476">
        <v>1.3723418578902424</v>
      </c>
      <c r="O955" s="1476">
        <v>1.4038470741187123</v>
      </c>
    </row>
    <row r="956" spans="11:15">
      <c r="K956" s="1473">
        <v>43013</v>
      </c>
      <c r="L956" s="1474" t="s">
        <v>2123</v>
      </c>
      <c r="M956" s="1475">
        <v>3.1095999999999999E-2</v>
      </c>
      <c r="N956" s="1476">
        <v>1.3727686013143718</v>
      </c>
      <c r="O956" s="1476">
        <v>1.4045845290252177</v>
      </c>
    </row>
    <row r="957" spans="11:15">
      <c r="K957" s="1473">
        <v>43014</v>
      </c>
      <c r="L957" s="1474" t="s">
        <v>2123</v>
      </c>
      <c r="M957" s="1475">
        <v>3.1095999999999999E-2</v>
      </c>
      <c r="N957" s="1476">
        <v>1.3731954774386366</v>
      </c>
      <c r="O957" s="1476">
        <v>1.4053223713241598</v>
      </c>
    </row>
    <row r="958" spans="11:15">
      <c r="K958" s="1473">
        <v>43015</v>
      </c>
      <c r="L958" s="1474"/>
      <c r="M958" s="1475">
        <v>0</v>
      </c>
      <c r="N958" s="1476">
        <v>1.3731954774386366</v>
      </c>
      <c r="O958" s="1476">
        <v>1.4053223713241598</v>
      </c>
    </row>
    <row r="959" spans="11:15">
      <c r="K959" s="1473">
        <v>43016</v>
      </c>
      <c r="L959" s="1474"/>
      <c r="M959" s="1475">
        <v>0</v>
      </c>
      <c r="N959" s="1476">
        <v>1.3731954774386366</v>
      </c>
      <c r="O959" s="1476">
        <v>1.4053223713241598</v>
      </c>
    </row>
    <row r="960" spans="11:15">
      <c r="K960" s="1473">
        <v>43017</v>
      </c>
      <c r="L960" s="1474" t="s">
        <v>2123</v>
      </c>
      <c r="M960" s="1475">
        <v>3.1095999999999999E-2</v>
      </c>
      <c r="N960" s="1476">
        <v>1.3736224863043009</v>
      </c>
      <c r="O960" s="1476">
        <v>1.4060606012190402</v>
      </c>
    </row>
    <row r="961" spans="11:15">
      <c r="K961" s="1473">
        <v>43018</v>
      </c>
      <c r="L961" s="1474" t="s">
        <v>2123</v>
      </c>
      <c r="M961" s="1475">
        <v>3.1095999999999999E-2</v>
      </c>
      <c r="N961" s="1476">
        <v>1.3740496279526422</v>
      </c>
      <c r="O961" s="1476">
        <v>1.4067992189134666</v>
      </c>
    </row>
    <row r="962" spans="11:15">
      <c r="K962" s="1473">
        <v>43019</v>
      </c>
      <c r="L962" s="1474" t="s">
        <v>2123</v>
      </c>
      <c r="M962" s="1475">
        <v>3.1095999999999999E-2</v>
      </c>
      <c r="N962" s="1476">
        <v>1.3744769024249504</v>
      </c>
      <c r="O962" s="1476">
        <v>1.4075382246111541</v>
      </c>
    </row>
    <row r="963" spans="11:15">
      <c r="K963" s="1473">
        <v>43020</v>
      </c>
      <c r="L963" s="1474"/>
      <c r="M963" s="1475">
        <v>0</v>
      </c>
      <c r="N963" s="1476">
        <v>1.3744769024249504</v>
      </c>
      <c r="O963" s="1476">
        <v>1.4075382246111541</v>
      </c>
    </row>
    <row r="964" spans="11:15">
      <c r="K964" s="1473">
        <v>43021</v>
      </c>
      <c r="L964" s="1474" t="s">
        <v>2123</v>
      </c>
      <c r="M964" s="1475">
        <v>3.1095999999999999E-2</v>
      </c>
      <c r="N964" s="1476">
        <v>1.3749043097625284</v>
      </c>
      <c r="O964" s="1476">
        <v>1.4082776185159245</v>
      </c>
    </row>
    <row r="965" spans="11:15">
      <c r="K965" s="1473">
        <v>43022</v>
      </c>
      <c r="L965" s="1474"/>
      <c r="M965" s="1475">
        <v>0</v>
      </c>
      <c r="N965" s="1476">
        <v>1.3749043097625284</v>
      </c>
      <c r="O965" s="1476">
        <v>1.4082776185159245</v>
      </c>
    </row>
    <row r="966" spans="11:15">
      <c r="K966" s="1473">
        <v>43023</v>
      </c>
      <c r="L966" s="1474"/>
      <c r="M966" s="1475">
        <v>0</v>
      </c>
      <c r="N966" s="1476">
        <v>1.3749043097625284</v>
      </c>
      <c r="O966" s="1476">
        <v>1.4082776185159245</v>
      </c>
    </row>
    <row r="967" spans="11:15">
      <c r="K967" s="1473">
        <v>43024</v>
      </c>
      <c r="L967" s="1474" t="s">
        <v>2123</v>
      </c>
      <c r="M967" s="1475">
        <v>3.1095999999999999E-2</v>
      </c>
      <c r="N967" s="1476">
        <v>1.3753318500066922</v>
      </c>
      <c r="O967" s="1476">
        <v>1.4090174008317071</v>
      </c>
    </row>
    <row r="968" spans="11:15">
      <c r="K968" s="1473">
        <v>43025</v>
      </c>
      <c r="L968" s="1474" t="s">
        <v>2123</v>
      </c>
      <c r="M968" s="1475">
        <v>3.1095999999999999E-2</v>
      </c>
      <c r="N968" s="1476">
        <v>1.3757595231987703</v>
      </c>
      <c r="O968" s="1476">
        <v>1.4097575717625381</v>
      </c>
    </row>
    <row r="969" spans="11:15">
      <c r="K969" s="1473">
        <v>43026</v>
      </c>
      <c r="L969" s="1474" t="s">
        <v>2123</v>
      </c>
      <c r="M969" s="1475">
        <v>3.1095999999999999E-2</v>
      </c>
      <c r="N969" s="1476">
        <v>1.3761873293801041</v>
      </c>
      <c r="O969" s="1476">
        <v>1.4104981315125606</v>
      </c>
    </row>
    <row r="970" spans="11:15">
      <c r="K970" s="1473">
        <v>43027</v>
      </c>
      <c r="L970" s="1474" t="s">
        <v>2123</v>
      </c>
      <c r="M970" s="1475">
        <v>3.1095999999999999E-2</v>
      </c>
      <c r="N970" s="1476">
        <v>1.3766152685920481</v>
      </c>
      <c r="O970" s="1476">
        <v>1.4112390802860255</v>
      </c>
    </row>
    <row r="971" spans="11:15">
      <c r="K971" s="1473">
        <v>43028</v>
      </c>
      <c r="L971" s="1474" t="s">
        <v>2123</v>
      </c>
      <c r="M971" s="1475">
        <v>3.1095999999999999E-2</v>
      </c>
      <c r="N971" s="1476">
        <v>1.3770433408759695</v>
      </c>
      <c r="O971" s="1476">
        <v>1.4119804182872906</v>
      </c>
    </row>
    <row r="972" spans="11:15">
      <c r="K972" s="1473">
        <v>43029</v>
      </c>
      <c r="L972" s="1474"/>
      <c r="M972" s="1475">
        <v>0</v>
      </c>
      <c r="N972" s="1476">
        <v>1.3770433408759695</v>
      </c>
      <c r="O972" s="1476">
        <v>1.4119804182872906</v>
      </c>
    </row>
    <row r="973" spans="11:15">
      <c r="K973" s="1473">
        <v>43030</v>
      </c>
      <c r="L973" s="1474"/>
      <c r="M973" s="1475">
        <v>0</v>
      </c>
      <c r="N973" s="1476">
        <v>1.3770433408759695</v>
      </c>
      <c r="O973" s="1476">
        <v>1.4119804182872906</v>
      </c>
    </row>
    <row r="974" spans="11:15">
      <c r="K974" s="1473">
        <v>43031</v>
      </c>
      <c r="L974" s="1474" t="s">
        <v>2123</v>
      </c>
      <c r="M974" s="1475">
        <v>3.1095999999999999E-2</v>
      </c>
      <c r="N974" s="1476">
        <v>1.3774715462732483</v>
      </c>
      <c r="O974" s="1476">
        <v>1.412722145720821</v>
      </c>
    </row>
    <row r="975" spans="11:15">
      <c r="K975" s="1473">
        <v>43032</v>
      </c>
      <c r="L975" s="1474" t="s">
        <v>2123</v>
      </c>
      <c r="M975" s="1475">
        <v>3.1095999999999999E-2</v>
      </c>
      <c r="N975" s="1476">
        <v>1.3778998848252775</v>
      </c>
      <c r="O975" s="1476">
        <v>1.4134642627911895</v>
      </c>
    </row>
    <row r="976" spans="11:15">
      <c r="K976" s="1473">
        <v>43033</v>
      </c>
      <c r="L976" s="1474" t="s">
        <v>2123</v>
      </c>
      <c r="M976" s="1475">
        <v>3.1095999999999999E-2</v>
      </c>
      <c r="N976" s="1476">
        <v>1.3783283565734628</v>
      </c>
      <c r="O976" s="1476">
        <v>1.4142067697030765</v>
      </c>
    </row>
    <row r="977" spans="11:15">
      <c r="K977" s="1473">
        <v>43034</v>
      </c>
      <c r="L977" s="1474" t="s">
        <v>2123</v>
      </c>
      <c r="M977" s="1475">
        <v>2.8333000000000001E-2</v>
      </c>
      <c r="N977" s="1476">
        <v>1.3787188783467308</v>
      </c>
      <c r="O977" s="1476">
        <v>1.4149496666612691</v>
      </c>
    </row>
    <row r="978" spans="11:15">
      <c r="K978" s="1473">
        <v>43035</v>
      </c>
      <c r="L978" s="1474" t="s">
        <v>2123</v>
      </c>
      <c r="M978" s="1475">
        <v>2.8333000000000001E-2</v>
      </c>
      <c r="N978" s="1476">
        <v>1.3791095107665328</v>
      </c>
      <c r="O978" s="1476">
        <v>1.4156929538706629</v>
      </c>
    </row>
    <row r="979" spans="11:15">
      <c r="K979" s="1473">
        <v>43036</v>
      </c>
      <c r="L979" s="1474"/>
      <c r="M979" s="1475">
        <v>0</v>
      </c>
      <c r="N979" s="1476">
        <v>1.3791095107665328</v>
      </c>
      <c r="O979" s="1476">
        <v>1.4156929538706629</v>
      </c>
    </row>
    <row r="980" spans="11:15">
      <c r="K980" s="1473">
        <v>43037</v>
      </c>
      <c r="L980" s="1474"/>
      <c r="M980" s="1475">
        <v>0</v>
      </c>
      <c r="N980" s="1476">
        <v>1.3791095107665328</v>
      </c>
      <c r="O980" s="1476">
        <v>1.4156929538706629</v>
      </c>
    </row>
    <row r="981" spans="11:15">
      <c r="K981" s="1473">
        <v>43038</v>
      </c>
      <c r="L981" s="1474" t="s">
        <v>2123</v>
      </c>
      <c r="M981" s="1475">
        <v>2.8333000000000001E-2</v>
      </c>
      <c r="N981" s="1476">
        <v>1.3795002538642183</v>
      </c>
      <c r="O981" s="1476">
        <v>1.4164366315362606</v>
      </c>
    </row>
    <row r="982" spans="11:15">
      <c r="K982" s="1473">
        <v>43039</v>
      </c>
      <c r="L982" s="1474" t="s">
        <v>2123</v>
      </c>
      <c r="M982" s="1475">
        <v>2.8333000000000001E-2</v>
      </c>
      <c r="N982" s="1476">
        <v>1.3798911076711458</v>
      </c>
      <c r="O982" s="1476">
        <v>1.4171806998631729</v>
      </c>
    </row>
    <row r="983" spans="11:15">
      <c r="K983" s="1473">
        <v>43040</v>
      </c>
      <c r="L983" s="1474" t="s">
        <v>2123</v>
      </c>
      <c r="M983" s="1475">
        <v>2.8333000000000001E-2</v>
      </c>
      <c r="N983" s="1476">
        <v>1.3802820722186822</v>
      </c>
      <c r="O983" s="1476">
        <v>1.417925159056618</v>
      </c>
    </row>
    <row r="984" spans="11:15">
      <c r="K984" s="1473">
        <v>43041</v>
      </c>
      <c r="L984" s="1474"/>
      <c r="M984" s="1475">
        <v>0</v>
      </c>
      <c r="N984" s="1476">
        <v>1.3802820722186822</v>
      </c>
      <c r="O984" s="1476">
        <v>1.417925159056618</v>
      </c>
    </row>
    <row r="985" spans="11:15">
      <c r="K985" s="1473">
        <v>43042</v>
      </c>
      <c r="L985" s="1474" t="s">
        <v>2123</v>
      </c>
      <c r="M985" s="1475">
        <v>2.8333000000000001E-2</v>
      </c>
      <c r="N985" s="1476">
        <v>1.3806731475382039</v>
      </c>
      <c r="O985" s="1476">
        <v>1.418670009321922</v>
      </c>
    </row>
    <row r="986" spans="11:15">
      <c r="K986" s="1473">
        <v>43043</v>
      </c>
      <c r="L986" s="1474"/>
      <c r="M986" s="1475">
        <v>0</v>
      </c>
      <c r="N986" s="1476">
        <v>1.3806731475382039</v>
      </c>
      <c r="O986" s="1476">
        <v>1.418670009321922</v>
      </c>
    </row>
    <row r="987" spans="11:15">
      <c r="K987" s="1473">
        <v>43044</v>
      </c>
      <c r="L987" s="1474"/>
      <c r="M987" s="1475">
        <v>0</v>
      </c>
      <c r="N987" s="1476">
        <v>1.3806731475382039</v>
      </c>
      <c r="O987" s="1476">
        <v>1.418670009321922</v>
      </c>
    </row>
    <row r="988" spans="11:15">
      <c r="K988" s="1473">
        <v>43045</v>
      </c>
      <c r="L988" s="1474" t="s">
        <v>2123</v>
      </c>
      <c r="M988" s="1475">
        <v>2.8333000000000001E-2</v>
      </c>
      <c r="N988" s="1476">
        <v>1.3810643336610959</v>
      </c>
      <c r="O988" s="1476">
        <v>1.4194152508645188</v>
      </c>
    </row>
    <row r="989" spans="11:15">
      <c r="K989" s="1473">
        <v>43046</v>
      </c>
      <c r="L989" s="1474" t="s">
        <v>2123</v>
      </c>
      <c r="M989" s="1475">
        <v>2.8333000000000001E-2</v>
      </c>
      <c r="N989" s="1476">
        <v>1.3814556306187522</v>
      </c>
      <c r="O989" s="1476">
        <v>1.4201608838899504</v>
      </c>
    </row>
    <row r="990" spans="11:15">
      <c r="K990" s="1473">
        <v>43047</v>
      </c>
      <c r="L990" s="1474" t="s">
        <v>2123</v>
      </c>
      <c r="M990" s="1475">
        <v>2.8333000000000001E-2</v>
      </c>
      <c r="N990" s="1476">
        <v>1.3818470384425754</v>
      </c>
      <c r="O990" s="1476">
        <v>1.4209069086038666</v>
      </c>
    </row>
    <row r="991" spans="11:15">
      <c r="K991" s="1473">
        <v>43048</v>
      </c>
      <c r="L991" s="1474" t="s">
        <v>2123</v>
      </c>
      <c r="M991" s="1475">
        <v>2.8333000000000001E-2</v>
      </c>
      <c r="N991" s="1476">
        <v>1.3822385571639773</v>
      </c>
      <c r="O991" s="1476">
        <v>1.4216533252120254</v>
      </c>
    </row>
    <row r="992" spans="11:15">
      <c r="K992" s="1473">
        <v>43049</v>
      </c>
      <c r="L992" s="1474" t="s">
        <v>2123</v>
      </c>
      <c r="M992" s="1475">
        <v>2.8333000000000001E-2</v>
      </c>
      <c r="N992" s="1476">
        <v>1.3826301868143787</v>
      </c>
      <c r="O992" s="1476">
        <v>1.4224001339202925</v>
      </c>
    </row>
    <row r="993" spans="11:15">
      <c r="K993" s="1473">
        <v>43050</v>
      </c>
      <c r="L993" s="1474"/>
      <c r="M993" s="1475">
        <v>0</v>
      </c>
      <c r="N993" s="1476">
        <v>1.3826301868143787</v>
      </c>
      <c r="O993" s="1476">
        <v>1.4224001339202925</v>
      </c>
    </row>
    <row r="994" spans="11:15">
      <c r="K994" s="1473">
        <v>43051</v>
      </c>
      <c r="L994" s="1474"/>
      <c r="M994" s="1475">
        <v>0</v>
      </c>
      <c r="N994" s="1476">
        <v>1.3826301868143787</v>
      </c>
      <c r="O994" s="1476">
        <v>1.4224001339202925</v>
      </c>
    </row>
    <row r="995" spans="11:15">
      <c r="K995" s="1473">
        <v>43052</v>
      </c>
      <c r="L995" s="1474" t="s">
        <v>2123</v>
      </c>
      <c r="M995" s="1475">
        <v>2.8333000000000001E-2</v>
      </c>
      <c r="N995" s="1476">
        <v>1.3830219274252089</v>
      </c>
      <c r="O995" s="1476">
        <v>1.4231473349346422</v>
      </c>
    </row>
    <row r="996" spans="11:15">
      <c r="K996" s="1473">
        <v>43053</v>
      </c>
      <c r="L996" s="1474" t="s">
        <v>2123</v>
      </c>
      <c r="M996" s="1475">
        <v>2.8333000000000001E-2</v>
      </c>
      <c r="N996" s="1476">
        <v>1.3834137790279064</v>
      </c>
      <c r="O996" s="1476">
        <v>1.4238949284611566</v>
      </c>
    </row>
    <row r="997" spans="11:15">
      <c r="K997" s="1473">
        <v>43054</v>
      </c>
      <c r="L997" s="1474"/>
      <c r="M997" s="1475">
        <v>0</v>
      </c>
      <c r="N997" s="1476">
        <v>1.3834137790279064</v>
      </c>
      <c r="O997" s="1476">
        <v>1.4238949284611566</v>
      </c>
    </row>
    <row r="998" spans="11:15">
      <c r="K998" s="1473">
        <v>43055</v>
      </c>
      <c r="L998" s="1474" t="s">
        <v>2123</v>
      </c>
      <c r="M998" s="1475">
        <v>2.8333000000000001E-2</v>
      </c>
      <c r="N998" s="1476">
        <v>1.3838057416539185</v>
      </c>
      <c r="O998" s="1476">
        <v>1.4246429147060264</v>
      </c>
    </row>
    <row r="999" spans="11:15">
      <c r="K999" s="1473">
        <v>43056</v>
      </c>
      <c r="L999" s="1474" t="s">
        <v>2123</v>
      </c>
      <c r="M999" s="1475">
        <v>2.8333000000000001E-2</v>
      </c>
      <c r="N999" s="1476">
        <v>1.3841978153347012</v>
      </c>
      <c r="O999" s="1476">
        <v>1.4253912938755506</v>
      </c>
    </row>
    <row r="1000" spans="11:15">
      <c r="K1000" s="1473">
        <v>43057</v>
      </c>
      <c r="L1000" s="1474"/>
      <c r="M1000" s="1475">
        <v>0</v>
      </c>
      <c r="N1000" s="1476">
        <v>1.3841978153347012</v>
      </c>
      <c r="O1000" s="1476">
        <v>1.4253912938755506</v>
      </c>
    </row>
    <row r="1001" spans="11:15">
      <c r="K1001" s="1473">
        <v>43058</v>
      </c>
      <c r="L1001" s="1474"/>
      <c r="M1001" s="1475">
        <v>0</v>
      </c>
      <c r="N1001" s="1476">
        <v>1.3841978153347012</v>
      </c>
      <c r="O1001" s="1476">
        <v>1.4253912938755506</v>
      </c>
    </row>
    <row r="1002" spans="11:15">
      <c r="K1002" s="1473">
        <v>43059</v>
      </c>
      <c r="L1002" s="1474" t="s">
        <v>2123</v>
      </c>
      <c r="M1002" s="1475">
        <v>2.8333000000000001E-2</v>
      </c>
      <c r="N1002" s="1476">
        <v>1.38459000010172</v>
      </c>
      <c r="O1002" s="1476">
        <v>1.4261400661761363</v>
      </c>
    </row>
    <row r="1003" spans="11:15">
      <c r="K1003" s="1473">
        <v>43060</v>
      </c>
      <c r="L1003" s="1474" t="s">
        <v>2123</v>
      </c>
      <c r="M1003" s="1475">
        <v>2.8333000000000001E-2</v>
      </c>
      <c r="N1003" s="1476">
        <v>1.3849822959864488</v>
      </c>
      <c r="O1003" s="1476">
        <v>1.4268892318142994</v>
      </c>
    </row>
    <row r="1004" spans="11:15">
      <c r="K1004" s="1473">
        <v>43061</v>
      </c>
      <c r="L1004" s="1474" t="s">
        <v>2123</v>
      </c>
      <c r="M1004" s="1475">
        <v>2.8333000000000001E-2</v>
      </c>
      <c r="N1004" s="1476">
        <v>1.3853747030203707</v>
      </c>
      <c r="O1004" s="1476">
        <v>1.4276387909966637</v>
      </c>
    </row>
    <row r="1005" spans="11:15">
      <c r="K1005" s="1473">
        <v>43062</v>
      </c>
      <c r="L1005" s="1474" t="s">
        <v>2123</v>
      </c>
      <c r="M1005" s="1475">
        <v>2.8333000000000001E-2</v>
      </c>
      <c r="N1005" s="1476">
        <v>1.3857672212349774</v>
      </c>
      <c r="O1005" s="1476">
        <v>1.4283887439299621</v>
      </c>
    </row>
    <row r="1006" spans="11:15">
      <c r="K1006" s="1473">
        <v>43063</v>
      </c>
      <c r="L1006" s="1474" t="s">
        <v>2123</v>
      </c>
      <c r="M1006" s="1475">
        <v>2.8333000000000001E-2</v>
      </c>
      <c r="N1006" s="1476">
        <v>1.3861598506617701</v>
      </c>
      <c r="O1006" s="1476">
        <v>1.429139090821036</v>
      </c>
    </row>
    <row r="1007" spans="11:15">
      <c r="K1007" s="1473">
        <v>43064</v>
      </c>
      <c r="L1007" s="1474"/>
      <c r="M1007" s="1475">
        <v>0</v>
      </c>
      <c r="N1007" s="1476">
        <v>1.3861598506617701</v>
      </c>
      <c r="O1007" s="1476">
        <v>1.429139090821036</v>
      </c>
    </row>
    <row r="1008" spans="11:15">
      <c r="K1008" s="1473">
        <v>43065</v>
      </c>
      <c r="L1008" s="1474"/>
      <c r="M1008" s="1475">
        <v>0</v>
      </c>
      <c r="N1008" s="1476">
        <v>1.3861598506617701</v>
      </c>
      <c r="O1008" s="1476">
        <v>1.429139090821036</v>
      </c>
    </row>
    <row r="1009" spans="11:15">
      <c r="K1009" s="1473">
        <v>43066</v>
      </c>
      <c r="L1009" s="1474" t="s">
        <v>2123</v>
      </c>
      <c r="M1009" s="1475">
        <v>2.8333000000000001E-2</v>
      </c>
      <c r="N1009" s="1476">
        <v>1.3865525913322581</v>
      </c>
      <c r="O1009" s="1476">
        <v>1.4298898318768352</v>
      </c>
    </row>
    <row r="1010" spans="11:15">
      <c r="K1010" s="1473">
        <v>43067</v>
      </c>
      <c r="L1010" s="1474" t="s">
        <v>2123</v>
      </c>
      <c r="M1010" s="1475">
        <v>2.8333000000000001E-2</v>
      </c>
      <c r="N1010" s="1476">
        <v>1.3869454432779602</v>
      </c>
      <c r="O1010" s="1476">
        <v>1.4306409673044185</v>
      </c>
    </row>
    <row r="1011" spans="11:15">
      <c r="K1011" s="1473">
        <v>43068</v>
      </c>
      <c r="L1011" s="1474" t="s">
        <v>2123</v>
      </c>
      <c r="M1011" s="1475">
        <v>2.8333000000000001E-2</v>
      </c>
      <c r="N1011" s="1476">
        <v>1.3873384065304042</v>
      </c>
      <c r="O1011" s="1476">
        <v>1.4313924973109531</v>
      </c>
    </row>
    <row r="1012" spans="11:15">
      <c r="K1012" s="1473">
        <v>43069</v>
      </c>
      <c r="L1012" s="1474" t="s">
        <v>2123</v>
      </c>
      <c r="M1012" s="1475">
        <v>2.8333000000000001E-2</v>
      </c>
      <c r="N1012" s="1476">
        <v>1.3877314811211265</v>
      </c>
      <c r="O1012" s="1476">
        <v>1.4321444221037154</v>
      </c>
    </row>
    <row r="1013" spans="11:15">
      <c r="K1013" s="1473">
        <v>43070</v>
      </c>
      <c r="L1013" s="1474" t="s">
        <v>2123</v>
      </c>
      <c r="M1013" s="1475">
        <v>2.8333000000000001E-2</v>
      </c>
      <c r="N1013" s="1476">
        <v>1.3881246670816727</v>
      </c>
      <c r="O1013" s="1476">
        <v>1.4328967418900906</v>
      </c>
    </row>
    <row r="1014" spans="11:15">
      <c r="K1014" s="1473">
        <v>43071</v>
      </c>
      <c r="L1014" s="1474"/>
      <c r="M1014" s="1475">
        <v>0</v>
      </c>
      <c r="N1014" s="1476">
        <v>1.3881246670816727</v>
      </c>
      <c r="O1014" s="1476">
        <v>1.4328967418900906</v>
      </c>
    </row>
    <row r="1015" spans="11:15">
      <c r="K1015" s="1473">
        <v>43072</v>
      </c>
      <c r="L1015" s="1474"/>
      <c r="M1015" s="1475">
        <v>0</v>
      </c>
      <c r="N1015" s="1476">
        <v>1.3881246670816727</v>
      </c>
      <c r="O1015" s="1476">
        <v>1.4328967418900906</v>
      </c>
    </row>
    <row r="1016" spans="11:15">
      <c r="K1016" s="1473">
        <v>43073</v>
      </c>
      <c r="L1016" s="1474" t="s">
        <v>2123</v>
      </c>
      <c r="M1016" s="1475">
        <v>2.8333000000000001E-2</v>
      </c>
      <c r="N1016" s="1476">
        <v>1.388517964443597</v>
      </c>
      <c r="O1016" s="1476">
        <v>1.4336494568775728</v>
      </c>
    </row>
    <row r="1017" spans="11:15">
      <c r="K1017" s="1473">
        <v>43074</v>
      </c>
      <c r="L1017" s="1474" t="s">
        <v>2123</v>
      </c>
      <c r="M1017" s="1475">
        <v>2.8333000000000001E-2</v>
      </c>
      <c r="N1017" s="1476">
        <v>1.3889113732384628</v>
      </c>
      <c r="O1017" s="1476">
        <v>1.4344025672737652</v>
      </c>
    </row>
    <row r="1018" spans="11:15">
      <c r="K1018" s="1473">
        <v>43075</v>
      </c>
      <c r="L1018" s="1474" t="s">
        <v>2123</v>
      </c>
      <c r="M1018" s="1475">
        <v>2.8333000000000001E-2</v>
      </c>
      <c r="N1018" s="1476">
        <v>1.3893048934978425</v>
      </c>
      <c r="O1018" s="1476">
        <v>1.4351560732863797</v>
      </c>
    </row>
    <row r="1019" spans="11:15">
      <c r="K1019" s="1473">
        <v>43076</v>
      </c>
      <c r="L1019" s="1474" t="s">
        <v>2123</v>
      </c>
      <c r="M1019" s="1475">
        <v>2.6481000000000001E-2</v>
      </c>
      <c r="N1019" s="1476">
        <v>1.3896727953266896</v>
      </c>
      <c r="O1019" s="1476">
        <v>1.4359099751232378</v>
      </c>
    </row>
    <row r="1020" spans="11:15">
      <c r="K1020" s="1473">
        <v>43077</v>
      </c>
      <c r="L1020" s="1474" t="s">
        <v>2123</v>
      </c>
      <c r="M1020" s="1475">
        <v>2.6481000000000001E-2</v>
      </c>
      <c r="N1020" s="1476">
        <v>1.39004079457962</v>
      </c>
      <c r="O1020" s="1476">
        <v>1.4366642729922698</v>
      </c>
    </row>
    <row r="1021" spans="11:15">
      <c r="K1021" s="1473">
        <v>43078</v>
      </c>
      <c r="L1021" s="1474"/>
      <c r="M1021" s="1475">
        <v>0</v>
      </c>
      <c r="N1021" s="1476">
        <v>1.39004079457962</v>
      </c>
      <c r="O1021" s="1476">
        <v>1.4366642729922698</v>
      </c>
    </row>
    <row r="1022" spans="11:15">
      <c r="K1022" s="1473">
        <v>43079</v>
      </c>
      <c r="L1022" s="1474"/>
      <c r="M1022" s="1475">
        <v>0</v>
      </c>
      <c r="N1022" s="1476">
        <v>1.39004079457962</v>
      </c>
      <c r="O1022" s="1476">
        <v>1.4366642729922698</v>
      </c>
    </row>
    <row r="1023" spans="11:15">
      <c r="K1023" s="1473">
        <v>43080</v>
      </c>
      <c r="L1023" s="1474" t="s">
        <v>2123</v>
      </c>
      <c r="M1023" s="1475">
        <v>2.6481000000000001E-2</v>
      </c>
      <c r="N1023" s="1476">
        <v>1.3904088912824326</v>
      </c>
      <c r="O1023" s="1476">
        <v>1.4374189671015154</v>
      </c>
    </row>
    <row r="1024" spans="11:15">
      <c r="K1024" s="1473">
        <v>43081</v>
      </c>
      <c r="L1024" s="1474" t="s">
        <v>2123</v>
      </c>
      <c r="M1024" s="1475">
        <v>2.6481000000000001E-2</v>
      </c>
      <c r="N1024" s="1476">
        <v>1.3907770854609331</v>
      </c>
      <c r="O1024" s="1476">
        <v>1.4381740576591235</v>
      </c>
    </row>
    <row r="1025" spans="11:15">
      <c r="K1025" s="1473">
        <v>43082</v>
      </c>
      <c r="L1025" s="1474" t="s">
        <v>2123</v>
      </c>
      <c r="M1025" s="1475">
        <v>2.6481000000000001E-2</v>
      </c>
      <c r="N1025" s="1476">
        <v>1.3911453771409341</v>
      </c>
      <c r="O1025" s="1476">
        <v>1.4389295448733526</v>
      </c>
    </row>
    <row r="1026" spans="11:15">
      <c r="K1026" s="1473">
        <v>43083</v>
      </c>
      <c r="L1026" s="1474" t="s">
        <v>2123</v>
      </c>
      <c r="M1026" s="1475">
        <v>2.6481000000000001E-2</v>
      </c>
      <c r="N1026" s="1476">
        <v>1.3915137663482549</v>
      </c>
      <c r="O1026" s="1476">
        <v>1.43968542895257</v>
      </c>
    </row>
    <row r="1027" spans="11:15">
      <c r="K1027" s="1473">
        <v>43084</v>
      </c>
      <c r="L1027" s="1474" t="s">
        <v>2123</v>
      </c>
      <c r="M1027" s="1475">
        <v>2.6481000000000001E-2</v>
      </c>
      <c r="N1027" s="1476">
        <v>1.3918822531087216</v>
      </c>
      <c r="O1027" s="1476">
        <v>1.4404417101052531</v>
      </c>
    </row>
    <row r="1028" spans="11:15">
      <c r="K1028" s="1473">
        <v>43085</v>
      </c>
      <c r="L1028" s="1474"/>
      <c r="M1028" s="1475">
        <v>0</v>
      </c>
      <c r="N1028" s="1476">
        <v>1.3918822531087216</v>
      </c>
      <c r="O1028" s="1476">
        <v>1.4404417101052531</v>
      </c>
    </row>
    <row r="1029" spans="11:15">
      <c r="K1029" s="1473">
        <v>43086</v>
      </c>
      <c r="L1029" s="1474"/>
      <c r="M1029" s="1475">
        <v>0</v>
      </c>
      <c r="N1029" s="1476">
        <v>1.3918822531087216</v>
      </c>
      <c r="O1029" s="1476">
        <v>1.4404417101052531</v>
      </c>
    </row>
    <row r="1030" spans="11:15">
      <c r="K1030" s="1473">
        <v>43087</v>
      </c>
      <c r="L1030" s="1474" t="s">
        <v>2123</v>
      </c>
      <c r="M1030" s="1475">
        <v>2.6481000000000001E-2</v>
      </c>
      <c r="N1030" s="1476">
        <v>1.3922508374481672</v>
      </c>
      <c r="O1030" s="1476">
        <v>1.4411983885399886</v>
      </c>
    </row>
    <row r="1031" spans="11:15">
      <c r="K1031" s="1473">
        <v>43088</v>
      </c>
      <c r="L1031" s="1474" t="s">
        <v>2123</v>
      </c>
      <c r="M1031" s="1475">
        <v>2.6481000000000001E-2</v>
      </c>
      <c r="N1031" s="1476">
        <v>1.392619519392432</v>
      </c>
      <c r="O1031" s="1476">
        <v>1.4419554644654726</v>
      </c>
    </row>
    <row r="1032" spans="11:15">
      <c r="K1032" s="1473">
        <v>43089</v>
      </c>
      <c r="L1032" s="1474" t="s">
        <v>2123</v>
      </c>
      <c r="M1032" s="1475">
        <v>2.6481000000000001E-2</v>
      </c>
      <c r="N1032" s="1476">
        <v>1.3929882989673623</v>
      </c>
      <c r="O1032" s="1476">
        <v>1.442712938090511</v>
      </c>
    </row>
    <row r="1033" spans="11:15">
      <c r="K1033" s="1473">
        <v>43090</v>
      </c>
      <c r="L1033" s="1474" t="s">
        <v>2123</v>
      </c>
      <c r="M1033" s="1475">
        <v>2.6481000000000001E-2</v>
      </c>
      <c r="N1033" s="1476">
        <v>1.3933571761988119</v>
      </c>
      <c r="O1033" s="1476">
        <v>1.4434708096240194</v>
      </c>
    </row>
    <row r="1034" spans="11:15">
      <c r="K1034" s="1473">
        <v>43091</v>
      </c>
      <c r="L1034" s="1474" t="s">
        <v>2123</v>
      </c>
      <c r="M1034" s="1475">
        <v>2.6481000000000001E-2</v>
      </c>
      <c r="N1034" s="1476">
        <v>1.3937261511126411</v>
      </c>
      <c r="O1034" s="1476">
        <v>1.444229079275023</v>
      </c>
    </row>
    <row r="1035" spans="11:15">
      <c r="K1035" s="1473">
        <v>43092</v>
      </c>
      <c r="L1035" s="1474"/>
      <c r="M1035" s="1475">
        <v>0</v>
      </c>
      <c r="N1035" s="1476">
        <v>1.3937261511126411</v>
      </c>
      <c r="O1035" s="1476">
        <v>1.444229079275023</v>
      </c>
    </row>
    <row r="1036" spans="11:15">
      <c r="K1036" s="1473">
        <v>43093</v>
      </c>
      <c r="L1036" s="1474"/>
      <c r="M1036" s="1475">
        <v>0</v>
      </c>
      <c r="N1036" s="1476">
        <v>1.3937261511126411</v>
      </c>
      <c r="O1036" s="1476">
        <v>1.444229079275023</v>
      </c>
    </row>
    <row r="1037" spans="11:15">
      <c r="K1037" s="1473">
        <v>43094</v>
      </c>
      <c r="L1037" s="1474"/>
      <c r="M1037" s="1475">
        <v>0</v>
      </c>
      <c r="N1037" s="1476">
        <v>1.3937261511126411</v>
      </c>
      <c r="O1037" s="1476">
        <v>1.444229079275023</v>
      </c>
    </row>
    <row r="1038" spans="11:15">
      <c r="K1038" s="1473">
        <v>43095</v>
      </c>
      <c r="L1038" s="1474" t="s">
        <v>2123</v>
      </c>
      <c r="M1038" s="1475">
        <v>2.6481000000000001E-2</v>
      </c>
      <c r="N1038" s="1476">
        <v>1.3940952237347173</v>
      </c>
      <c r="O1038" s="1476">
        <v>1.4449877472526569</v>
      </c>
    </row>
    <row r="1039" spans="11:15">
      <c r="K1039" s="1473">
        <v>43096</v>
      </c>
      <c r="L1039" s="1474" t="s">
        <v>2123</v>
      </c>
      <c r="M1039" s="1475">
        <v>2.6481000000000001E-2</v>
      </c>
      <c r="N1039" s="1476">
        <v>1.3944643940909145</v>
      </c>
      <c r="O1039" s="1476">
        <v>1.4457468137661662</v>
      </c>
    </row>
    <row r="1040" spans="11:15">
      <c r="K1040" s="1473">
        <v>43097</v>
      </c>
      <c r="L1040" s="1474" t="s">
        <v>2123</v>
      </c>
      <c r="M1040" s="1475">
        <v>2.6481000000000001E-2</v>
      </c>
      <c r="N1040" s="1476">
        <v>1.3948336622071138</v>
      </c>
      <c r="O1040" s="1476">
        <v>1.4465062790249057</v>
      </c>
    </row>
    <row r="1041" spans="11:15">
      <c r="K1041" s="1473">
        <v>43098</v>
      </c>
      <c r="L1041" s="1474" t="s">
        <v>2123</v>
      </c>
      <c r="M1041" s="1475">
        <v>2.6481000000000001E-2</v>
      </c>
      <c r="N1041" s="1476">
        <v>1.3952030281092029</v>
      </c>
      <c r="O1041" s="1476">
        <v>1.4472661432383402</v>
      </c>
    </row>
    <row r="1042" spans="11:15">
      <c r="K1042" s="1473">
        <v>43099</v>
      </c>
      <c r="L1042" s="1474"/>
      <c r="M1042" s="1475">
        <v>0</v>
      </c>
      <c r="N1042" s="1476">
        <v>1.3952030281092029</v>
      </c>
      <c r="O1042" s="1476">
        <v>1.4472661432383402</v>
      </c>
    </row>
    <row r="1043" spans="11:15">
      <c r="K1043" s="1473">
        <v>43100</v>
      </c>
      <c r="L1043" s="1474"/>
      <c r="M1043" s="1475">
        <v>0</v>
      </c>
      <c r="N1043" s="1476">
        <v>1.3952030281092029</v>
      </c>
      <c r="O1043" s="1476">
        <v>1.4472661432383402</v>
      </c>
    </row>
    <row r="1044" spans="11:15">
      <c r="K1044" s="1473">
        <v>43101</v>
      </c>
      <c r="L1044" s="1474"/>
      <c r="M1044" s="1475">
        <v>0</v>
      </c>
      <c r="N1044" s="1476">
        <v>1.3952030281092029</v>
      </c>
      <c r="O1044" s="1476">
        <v>1.4472661432383402</v>
      </c>
    </row>
    <row r="1045" spans="11:15">
      <c r="K1045" s="1473">
        <v>43102</v>
      </c>
      <c r="L1045" s="1474" t="s">
        <v>2123</v>
      </c>
      <c r="M1045" s="1475">
        <v>2.6481000000000001E-2</v>
      </c>
      <c r="N1045" s="1476">
        <v>1.3955724918230765</v>
      </c>
      <c r="O1045" s="1476"/>
    </row>
    <row r="1046" spans="11:15">
      <c r="K1046" s="1473">
        <v>43103</v>
      </c>
      <c r="L1046" s="1474" t="s">
        <v>2123</v>
      </c>
      <c r="M1046" s="1475">
        <v>2.6481000000000001E-2</v>
      </c>
      <c r="N1046" s="1476">
        <v>1.3959420533746363</v>
      </c>
      <c r="O1046" s="1476"/>
    </row>
    <row r="1047" spans="11:15">
      <c r="K1047" s="1473">
        <v>43104</v>
      </c>
      <c r="L1047" s="1474" t="s">
        <v>2123</v>
      </c>
      <c r="M1047" s="1475">
        <v>2.6481000000000001E-2</v>
      </c>
      <c r="N1047" s="1476">
        <v>1.3963117127897904</v>
      </c>
      <c r="O1047" s="1476"/>
    </row>
    <row r="1048" spans="11:15">
      <c r="K1048" s="1473">
        <v>43105</v>
      </c>
      <c r="L1048" s="1474" t="s">
        <v>2123</v>
      </c>
      <c r="M1048" s="1475">
        <v>2.6481000000000001E-2</v>
      </c>
      <c r="N1048" s="1476">
        <v>1.3966814700944543</v>
      </c>
      <c r="O1048" s="1476"/>
    </row>
    <row r="1049" spans="11:15">
      <c r="K1049" s="1473">
        <v>43106</v>
      </c>
      <c r="L1049" s="1474"/>
      <c r="M1049" s="1475">
        <v>0</v>
      </c>
      <c r="N1049" s="1476">
        <v>1.3966814700944543</v>
      </c>
      <c r="O1049" s="1476"/>
    </row>
    <row r="1050" spans="11:15">
      <c r="K1050" s="1473">
        <v>43107</v>
      </c>
      <c r="L1050" s="1474"/>
      <c r="M1050" s="1475">
        <v>0</v>
      </c>
      <c r="N1050" s="1476">
        <v>1.3966814700944543</v>
      </c>
      <c r="O1050" s="1476"/>
    </row>
    <row r="1051" spans="11:15">
      <c r="K1051" s="1473">
        <v>43108</v>
      </c>
      <c r="L1051" s="1474" t="s">
        <v>2123</v>
      </c>
      <c r="M1051" s="1475">
        <v>2.6481000000000001E-2</v>
      </c>
      <c r="N1051" s="1476">
        <v>1.39705132531455</v>
      </c>
      <c r="O1051" s="1476"/>
    </row>
    <row r="1052" spans="11:15">
      <c r="K1052" s="1473">
        <v>43109</v>
      </c>
      <c r="L1052" s="1474" t="s">
        <v>2123</v>
      </c>
      <c r="M1052" s="1475">
        <v>2.6481000000000001E-2</v>
      </c>
      <c r="N1052" s="1476">
        <v>1.3974212784760065</v>
      </c>
      <c r="O1052" s="1476"/>
    </row>
    <row r="1053" spans="11:15">
      <c r="K1053" s="1473">
        <v>43110</v>
      </c>
      <c r="L1053" s="1474" t="s">
        <v>2123</v>
      </c>
      <c r="M1053" s="1475">
        <v>2.6481000000000001E-2</v>
      </c>
      <c r="N1053" s="1476">
        <v>1.3977913296047597</v>
      </c>
      <c r="O1053" s="1476"/>
    </row>
    <row r="1054" spans="11:15">
      <c r="K1054" s="1473">
        <v>43111</v>
      </c>
      <c r="L1054" s="1474" t="s">
        <v>2123</v>
      </c>
      <c r="M1054" s="1475">
        <v>2.6481000000000001E-2</v>
      </c>
      <c r="N1054" s="1476">
        <v>1.3981614787267524</v>
      </c>
      <c r="O1054" s="1476"/>
    </row>
    <row r="1055" spans="11:15">
      <c r="K1055" s="1473">
        <v>43112</v>
      </c>
      <c r="L1055" s="1474" t="s">
        <v>2123</v>
      </c>
      <c r="M1055" s="1475">
        <v>2.6481000000000001E-2</v>
      </c>
      <c r="N1055" s="1476">
        <v>1.3985317258679342</v>
      </c>
      <c r="O1055" s="1476"/>
    </row>
    <row r="1056" spans="11:15">
      <c r="K1056" s="1473">
        <v>43113</v>
      </c>
      <c r="L1056" s="1474"/>
      <c r="M1056" s="1475">
        <v>0</v>
      </c>
      <c r="N1056" s="1476">
        <v>1.3985317258679342</v>
      </c>
      <c r="O1056" s="1476"/>
    </row>
    <row r="1057" spans="11:15">
      <c r="K1057" s="1473">
        <v>43114</v>
      </c>
      <c r="L1057" s="1474"/>
      <c r="M1057" s="1475">
        <v>0</v>
      </c>
      <c r="N1057" s="1476">
        <v>1.3985317258679342</v>
      </c>
      <c r="O1057" s="1476"/>
    </row>
    <row r="1058" spans="11:15">
      <c r="K1058" s="1473">
        <v>43115</v>
      </c>
      <c r="L1058" s="1474" t="s">
        <v>2123</v>
      </c>
      <c r="M1058" s="1475">
        <v>2.6481000000000001E-2</v>
      </c>
      <c r="N1058" s="1476">
        <v>1.3989020710542612</v>
      </c>
      <c r="O1058" s="1476"/>
    </row>
    <row r="1059" spans="11:15">
      <c r="K1059" s="1473">
        <v>43116</v>
      </c>
      <c r="L1059" s="1474" t="s">
        <v>2123</v>
      </c>
      <c r="M1059" s="1475">
        <v>2.6481000000000001E-2</v>
      </c>
      <c r="N1059" s="1476">
        <v>1.3992725143116971</v>
      </c>
      <c r="O1059" s="1476"/>
    </row>
    <row r="1060" spans="11:15">
      <c r="K1060" s="1473">
        <v>43117</v>
      </c>
      <c r="L1060" s="1474" t="s">
        <v>2123</v>
      </c>
      <c r="M1060" s="1475">
        <v>2.6481000000000001E-2</v>
      </c>
      <c r="N1060" s="1476">
        <v>1.3996430556662121</v>
      </c>
      <c r="O1060" s="1476"/>
    </row>
    <row r="1061" spans="11:15">
      <c r="K1061" s="1473">
        <v>43118</v>
      </c>
      <c r="L1061" s="1474" t="s">
        <v>2123</v>
      </c>
      <c r="M1061" s="1475">
        <v>2.6481000000000001E-2</v>
      </c>
      <c r="N1061" s="1476">
        <v>1.4000136951437829</v>
      </c>
      <c r="O1061" s="1476"/>
    </row>
    <row r="1062" spans="11:15">
      <c r="K1062" s="1473">
        <v>43119</v>
      </c>
      <c r="L1062" s="1474" t="s">
        <v>2123</v>
      </c>
      <c r="M1062" s="1475">
        <v>2.6481000000000001E-2</v>
      </c>
      <c r="N1062" s="1476">
        <v>1.400384432770394</v>
      </c>
      <c r="O1062" s="1476"/>
    </row>
    <row r="1063" spans="11:15">
      <c r="K1063" s="1473">
        <v>43120</v>
      </c>
      <c r="L1063" s="1474"/>
      <c r="M1063" s="1475">
        <v>0</v>
      </c>
      <c r="N1063" s="1476">
        <v>1.400384432770394</v>
      </c>
      <c r="O1063" s="1476"/>
    </row>
    <row r="1064" spans="11:15">
      <c r="K1064" s="1473">
        <v>43121</v>
      </c>
      <c r="L1064" s="1474"/>
      <c r="M1064" s="1475">
        <v>0</v>
      </c>
      <c r="N1064" s="1476">
        <v>1.400384432770394</v>
      </c>
      <c r="O1064" s="1476"/>
    </row>
    <row r="1065" spans="11:15">
      <c r="K1065" s="1473">
        <v>43122</v>
      </c>
      <c r="L1065" s="1474" t="s">
        <v>2123</v>
      </c>
      <c r="M1065" s="1475">
        <v>2.6481000000000001E-2</v>
      </c>
      <c r="N1065" s="1476">
        <v>1.4007552685720359</v>
      </c>
      <c r="O1065" s="1476"/>
    </row>
    <row r="1066" spans="11:15">
      <c r="K1066" s="1473">
        <v>43123</v>
      </c>
      <c r="L1066" s="1474" t="s">
        <v>2123</v>
      </c>
      <c r="M1066" s="1475">
        <v>2.6481000000000001E-2</v>
      </c>
      <c r="N1066" s="1476">
        <v>1.4011262025747064</v>
      </c>
      <c r="O1066" s="1476"/>
    </row>
    <row r="1067" spans="11:15">
      <c r="K1067" s="1473">
        <v>43124</v>
      </c>
      <c r="L1067" s="1474" t="s">
        <v>2123</v>
      </c>
      <c r="M1067" s="1475">
        <v>2.6481000000000001E-2</v>
      </c>
      <c r="N1067" s="1476">
        <v>1.4014972348044104</v>
      </c>
      <c r="O1067" s="1476"/>
    </row>
    <row r="1068" spans="11:15">
      <c r="K1068" s="1473">
        <v>43125</v>
      </c>
      <c r="L1068" s="1474" t="s">
        <v>2123</v>
      </c>
      <c r="M1068" s="1475">
        <v>2.6481000000000001E-2</v>
      </c>
      <c r="N1068" s="1476">
        <v>1.4018683652871589</v>
      </c>
      <c r="O1068" s="1476"/>
    </row>
    <row r="1069" spans="11:15">
      <c r="K1069" s="1473">
        <v>43126</v>
      </c>
      <c r="L1069" s="1474" t="s">
        <v>2123</v>
      </c>
      <c r="M1069" s="1475">
        <v>2.6481000000000001E-2</v>
      </c>
      <c r="N1069" s="1476">
        <v>1.4022395940489705</v>
      </c>
      <c r="O1069" s="1476"/>
    </row>
    <row r="1070" spans="11:15">
      <c r="K1070" s="1473">
        <v>43127</v>
      </c>
      <c r="L1070" s="1474"/>
      <c r="M1070" s="1475">
        <v>0</v>
      </c>
      <c r="N1070" s="1476">
        <v>1.4022395940489705</v>
      </c>
      <c r="O1070" s="1476"/>
    </row>
    <row r="1071" spans="11:15">
      <c r="K1071" s="1473">
        <v>43128</v>
      </c>
      <c r="L1071" s="1474"/>
      <c r="M1071" s="1475">
        <v>0</v>
      </c>
      <c r="N1071" s="1476">
        <v>1.4022395940489705</v>
      </c>
      <c r="O1071" s="1476"/>
    </row>
    <row r="1072" spans="11:15">
      <c r="K1072" s="1473">
        <v>43129</v>
      </c>
      <c r="L1072" s="1474" t="s">
        <v>2123</v>
      </c>
      <c r="M1072" s="1475">
        <v>2.6481000000000001E-2</v>
      </c>
      <c r="N1072" s="1476">
        <v>1.4026109211158706</v>
      </c>
      <c r="O1072" s="1476"/>
    </row>
    <row r="1073" spans="11:15">
      <c r="K1073" s="1473">
        <v>43130</v>
      </c>
      <c r="L1073" s="1474" t="s">
        <v>2123</v>
      </c>
      <c r="M1073" s="1475">
        <v>2.6481000000000001E-2</v>
      </c>
      <c r="N1073" s="1476">
        <v>1.4029823465138913</v>
      </c>
      <c r="O1073" s="1476"/>
    </row>
    <row r="1074" spans="11:15">
      <c r="K1074" s="1473">
        <v>43131</v>
      </c>
      <c r="L1074" s="1474" t="s">
        <v>2123</v>
      </c>
      <c r="M1074" s="1475">
        <v>2.6481000000000001E-2</v>
      </c>
      <c r="N1074" s="1476">
        <v>1.4033538702690718</v>
      </c>
      <c r="O1074" s="1476"/>
    </row>
    <row r="1075" spans="11:15">
      <c r="K1075" s="1473">
        <v>43132</v>
      </c>
      <c r="L1075" s="1474" t="s">
        <v>2123</v>
      </c>
      <c r="M1075" s="1475">
        <v>2.6481000000000001E-2</v>
      </c>
      <c r="N1075" s="1476">
        <v>1.4037254924074578</v>
      </c>
      <c r="O1075" s="1476"/>
    </row>
    <row r="1076" spans="11:15">
      <c r="K1076" s="1473">
        <v>43133</v>
      </c>
      <c r="L1076" s="1474" t="s">
        <v>2123</v>
      </c>
      <c r="M1076" s="1475">
        <v>2.6481000000000001E-2</v>
      </c>
      <c r="N1076" s="1476">
        <v>1.4040972129551021</v>
      </c>
      <c r="O1076" s="1476"/>
    </row>
    <row r="1077" spans="11:15">
      <c r="K1077" s="1473">
        <v>43134</v>
      </c>
      <c r="L1077" s="1474"/>
      <c r="M1077" s="1475">
        <v>0</v>
      </c>
      <c r="N1077" s="1476">
        <v>1.4040972129551021</v>
      </c>
      <c r="O1077" s="1476"/>
    </row>
    <row r="1078" spans="11:15">
      <c r="K1078" s="1473">
        <v>43135</v>
      </c>
      <c r="L1078" s="1474"/>
      <c r="M1078" s="1475">
        <v>0</v>
      </c>
      <c r="N1078" s="1476">
        <v>1.4040972129551021</v>
      </c>
      <c r="O1078" s="1476"/>
    </row>
    <row r="1079" spans="11:15">
      <c r="K1079" s="1473">
        <v>43136</v>
      </c>
      <c r="L1079" s="1474" t="s">
        <v>2123</v>
      </c>
      <c r="M1079" s="1475">
        <v>2.6481000000000001E-2</v>
      </c>
      <c r="N1079" s="1476">
        <v>1.4044690319380648</v>
      </c>
      <c r="O1079" s="1476"/>
    </row>
    <row r="1080" spans="11:15">
      <c r="K1080" s="1473">
        <v>43137</v>
      </c>
      <c r="L1080" s="1474" t="s">
        <v>2123</v>
      </c>
      <c r="M1080" s="1475">
        <v>2.6481000000000001E-2</v>
      </c>
      <c r="N1080" s="1476">
        <v>1.4048409493824123</v>
      </c>
      <c r="O1080" s="1476"/>
    </row>
    <row r="1081" spans="11:15">
      <c r="K1081" s="1473">
        <v>43138</v>
      </c>
      <c r="L1081" s="1474" t="s">
        <v>2123</v>
      </c>
      <c r="M1081" s="1475">
        <v>2.6481000000000001E-2</v>
      </c>
      <c r="N1081" s="1476">
        <v>1.4052129653142182</v>
      </c>
      <c r="O1081" s="1476"/>
    </row>
    <row r="1082" spans="11:15">
      <c r="K1082" s="1473">
        <v>43139</v>
      </c>
      <c r="L1082" s="1474" t="s">
        <v>2123</v>
      </c>
      <c r="M1082" s="1475">
        <v>2.5551999999999998E-2</v>
      </c>
      <c r="N1082" s="1476">
        <v>1.4055720253311155</v>
      </c>
      <c r="O1082" s="1476"/>
    </row>
    <row r="1083" spans="11:15">
      <c r="K1083" s="1473">
        <v>43140</v>
      </c>
      <c r="L1083" s="1474" t="s">
        <v>2123</v>
      </c>
      <c r="M1083" s="1475">
        <v>2.5551999999999998E-2</v>
      </c>
      <c r="N1083" s="1476">
        <v>1.4059311770950282</v>
      </c>
      <c r="O1083" s="1476"/>
    </row>
    <row r="1084" spans="11:15">
      <c r="K1084" s="1473">
        <v>43141</v>
      </c>
      <c r="L1084" s="1474"/>
      <c r="M1084" s="1475">
        <v>0</v>
      </c>
      <c r="N1084" s="1476">
        <v>1.4059311770950282</v>
      </c>
      <c r="O1084" s="1476"/>
    </row>
    <row r="1085" spans="11:15">
      <c r="K1085" s="1473">
        <v>43142</v>
      </c>
      <c r="L1085" s="1474"/>
      <c r="M1085" s="1475">
        <v>0</v>
      </c>
      <c r="N1085" s="1476">
        <v>1.4059311770950282</v>
      </c>
      <c r="O1085" s="1476"/>
    </row>
    <row r="1086" spans="11:15">
      <c r="K1086" s="1473">
        <v>43143</v>
      </c>
      <c r="L1086" s="1474"/>
      <c r="M1086" s="1475">
        <v>0</v>
      </c>
      <c r="N1086" s="1476">
        <v>1.4059311770950282</v>
      </c>
      <c r="O1086" s="1476"/>
    </row>
    <row r="1087" spans="11:15">
      <c r="K1087" s="1473">
        <v>43144</v>
      </c>
      <c r="L1087" s="1474"/>
      <c r="M1087" s="1475">
        <v>0</v>
      </c>
      <c r="N1087" s="1476">
        <v>1.4059311770950282</v>
      </c>
      <c r="O1087" s="1476"/>
    </row>
    <row r="1088" spans="11:15">
      <c r="K1088" s="1473">
        <v>43145</v>
      </c>
      <c r="L1088" s="1474" t="s">
        <v>2123</v>
      </c>
      <c r="M1088" s="1475">
        <v>2.5551999999999998E-2</v>
      </c>
      <c r="N1088" s="1476">
        <v>1.4062904206293996</v>
      </c>
      <c r="O1088" s="1476"/>
    </row>
    <row r="1089" spans="11:15">
      <c r="K1089" s="1473">
        <v>43146</v>
      </c>
      <c r="L1089" s="1474" t="s">
        <v>2123</v>
      </c>
      <c r="M1089" s="1475">
        <v>2.5551999999999998E-2</v>
      </c>
      <c r="N1089" s="1476">
        <v>1.4066497559576789</v>
      </c>
      <c r="O1089" s="1476"/>
    </row>
    <row r="1090" spans="11:15">
      <c r="K1090" s="1473">
        <v>43147</v>
      </c>
      <c r="L1090" s="1474" t="s">
        <v>2123</v>
      </c>
      <c r="M1090" s="1475">
        <v>2.5551999999999998E-2</v>
      </c>
      <c r="N1090" s="1476">
        <v>1.4070091831033213</v>
      </c>
      <c r="O1090" s="1476"/>
    </row>
    <row r="1091" spans="11:15">
      <c r="K1091" s="1473">
        <v>43148</v>
      </c>
      <c r="L1091" s="1474"/>
      <c r="M1091" s="1475">
        <v>0</v>
      </c>
      <c r="N1091" s="1476">
        <v>1.4070091831033213</v>
      </c>
      <c r="O1091" s="1476"/>
    </row>
    <row r="1092" spans="11:15">
      <c r="K1092" s="1473">
        <v>43149</v>
      </c>
      <c r="L1092" s="1474"/>
      <c r="M1092" s="1475">
        <v>0</v>
      </c>
      <c r="N1092" s="1476">
        <v>1.4070091831033213</v>
      </c>
      <c r="O1092" s="1476"/>
    </row>
    <row r="1093" spans="11:15">
      <c r="K1093" s="1473">
        <v>43150</v>
      </c>
      <c r="L1093" s="1474" t="s">
        <v>2123</v>
      </c>
      <c r="M1093" s="1475">
        <v>2.5551999999999998E-2</v>
      </c>
      <c r="N1093" s="1476">
        <v>1.407368702089788</v>
      </c>
      <c r="O1093" s="1476"/>
    </row>
    <row r="1094" spans="11:15">
      <c r="K1094" s="1473">
        <v>43151</v>
      </c>
      <c r="L1094" s="1474" t="s">
        <v>2123</v>
      </c>
      <c r="M1094" s="1475">
        <v>2.5551999999999998E-2</v>
      </c>
      <c r="N1094" s="1476">
        <v>1.407728312940546</v>
      </c>
      <c r="O1094" s="1476"/>
    </row>
    <row r="1095" spans="11:15">
      <c r="K1095" s="1473">
        <v>43152</v>
      </c>
      <c r="L1095" s="1474" t="s">
        <v>2123</v>
      </c>
      <c r="M1095" s="1475">
        <v>2.5551999999999998E-2</v>
      </c>
      <c r="N1095" s="1476">
        <v>1.4080880156790687</v>
      </c>
      <c r="O1095" s="1476"/>
    </row>
    <row r="1096" spans="11:15">
      <c r="K1096" s="1473">
        <v>43153</v>
      </c>
      <c r="L1096" s="1474" t="s">
        <v>2123</v>
      </c>
      <c r="M1096" s="1475">
        <v>2.5551999999999998E-2</v>
      </c>
      <c r="N1096" s="1476">
        <v>1.4084478103288351</v>
      </c>
      <c r="O1096" s="1476"/>
    </row>
    <row r="1097" spans="11:15">
      <c r="K1097" s="1473">
        <v>43154</v>
      </c>
      <c r="L1097" s="1474" t="s">
        <v>2123</v>
      </c>
      <c r="M1097" s="1475">
        <v>2.5551999999999998E-2</v>
      </c>
      <c r="N1097" s="1476">
        <v>1.4088076969133305</v>
      </c>
      <c r="O1097" s="1476"/>
    </row>
    <row r="1098" spans="11:15">
      <c r="K1098" s="1473">
        <v>43155</v>
      </c>
      <c r="L1098" s="1474"/>
      <c r="M1098" s="1475">
        <v>0</v>
      </c>
      <c r="N1098" s="1476">
        <v>1.4088076969133305</v>
      </c>
      <c r="O1098" s="1476"/>
    </row>
    <row r="1099" spans="11:15">
      <c r="K1099" s="1473">
        <v>43156</v>
      </c>
      <c r="L1099" s="1474"/>
      <c r="M1099" s="1475">
        <v>0</v>
      </c>
      <c r="N1099" s="1476">
        <v>1.4088076969133305</v>
      </c>
      <c r="O1099" s="1476"/>
    </row>
    <row r="1100" spans="11:15">
      <c r="K1100" s="1473">
        <v>43157</v>
      </c>
      <c r="L1100" s="1474" t="s">
        <v>2123</v>
      </c>
      <c r="M1100" s="1475">
        <v>2.5551999999999998E-2</v>
      </c>
      <c r="N1100" s="1476">
        <v>1.4091676754560458</v>
      </c>
      <c r="O1100" s="1476"/>
    </row>
    <row r="1101" spans="11:15">
      <c r="K1101" s="1473">
        <v>43158</v>
      </c>
      <c r="L1101" s="1474" t="s">
        <v>2123</v>
      </c>
      <c r="M1101" s="1475">
        <v>2.5551999999999998E-2</v>
      </c>
      <c r="N1101" s="1476">
        <v>1.4095277459804785</v>
      </c>
      <c r="O1101" s="1476"/>
    </row>
    <row r="1102" spans="11:15">
      <c r="K1102" s="1473">
        <v>43159</v>
      </c>
      <c r="L1102" s="1474" t="s">
        <v>2123</v>
      </c>
      <c r="M1102" s="1475">
        <v>2.5551999999999998E-2</v>
      </c>
      <c r="N1102" s="1476">
        <v>1.4098879085101315</v>
      </c>
      <c r="O1102" s="1476"/>
    </row>
    <row r="1103" spans="11:15">
      <c r="K1103" s="1473">
        <v>43160</v>
      </c>
      <c r="L1103" s="1474" t="s">
        <v>2123</v>
      </c>
      <c r="M1103" s="1475">
        <v>2.5551999999999998E-2</v>
      </c>
      <c r="N1103" s="1476">
        <v>1.410248163068514</v>
      </c>
      <c r="O1103" s="1476"/>
    </row>
    <row r="1104" spans="11:15">
      <c r="K1104" s="1473">
        <v>43161</v>
      </c>
      <c r="L1104" s="1474" t="s">
        <v>2123</v>
      </c>
      <c r="M1104" s="1475">
        <v>2.5551999999999998E-2</v>
      </c>
      <c r="N1104" s="1476">
        <v>1.4106085096791414</v>
      </c>
      <c r="O1104" s="1476"/>
    </row>
    <row r="1105" spans="11:15">
      <c r="K1105" s="1473">
        <v>43162</v>
      </c>
      <c r="L1105" s="1474"/>
      <c r="M1105" s="1475">
        <v>0</v>
      </c>
      <c r="N1105" s="1476">
        <v>1.4106085096791414</v>
      </c>
      <c r="O1105" s="1476"/>
    </row>
    <row r="1106" spans="11:15">
      <c r="K1106" s="1473">
        <v>43163</v>
      </c>
      <c r="L1106" s="1474"/>
      <c r="M1106" s="1475">
        <v>0</v>
      </c>
      <c r="N1106" s="1476">
        <v>1.4106085096791414</v>
      </c>
      <c r="O1106" s="1476"/>
    </row>
    <row r="1107" spans="11:15">
      <c r="K1107" s="1473">
        <v>43164</v>
      </c>
      <c r="L1107" s="1474" t="s">
        <v>2123</v>
      </c>
      <c r="M1107" s="1475">
        <v>2.5551999999999998E-2</v>
      </c>
      <c r="N1107" s="1476">
        <v>1.4109689483655348</v>
      </c>
      <c r="O1107" s="1476"/>
    </row>
    <row r="1108" spans="11:15">
      <c r="K1108" s="1473">
        <v>43165</v>
      </c>
      <c r="L1108" s="1474" t="s">
        <v>2123</v>
      </c>
      <c r="M1108" s="1475">
        <v>2.5551999999999998E-2</v>
      </c>
      <c r="N1108" s="1476">
        <v>1.4113294791512212</v>
      </c>
      <c r="O1108" s="1476"/>
    </row>
    <row r="1109" spans="11:15">
      <c r="K1109" s="1473">
        <v>43166</v>
      </c>
      <c r="L1109" s="1474" t="s">
        <v>2123</v>
      </c>
      <c r="M1109" s="1475">
        <v>2.5551999999999998E-2</v>
      </c>
      <c r="N1109" s="1476">
        <v>1.4116901020597341</v>
      </c>
      <c r="O1109" s="1476"/>
    </row>
    <row r="1110" spans="11:15">
      <c r="K1110" s="1473">
        <v>43167</v>
      </c>
      <c r="L1110" s="1474" t="s">
        <v>2123</v>
      </c>
      <c r="M1110" s="1475">
        <v>2.5551999999999998E-2</v>
      </c>
      <c r="N1110" s="1476">
        <v>1.4120508171146124</v>
      </c>
      <c r="O1110" s="1476"/>
    </row>
    <row r="1111" spans="11:15">
      <c r="K1111" s="1473">
        <v>43168</v>
      </c>
      <c r="L1111" s="1474" t="s">
        <v>2123</v>
      </c>
      <c r="M1111" s="1475">
        <v>2.5551999999999998E-2</v>
      </c>
      <c r="N1111" s="1476">
        <v>1.4124116243394016</v>
      </c>
      <c r="O1111" s="1476"/>
    </row>
    <row r="1112" spans="11:15">
      <c r="K1112" s="1473">
        <v>43169</v>
      </c>
      <c r="L1112" s="1474"/>
      <c r="M1112" s="1475">
        <v>0</v>
      </c>
      <c r="N1112" s="1476">
        <v>1.4124116243394016</v>
      </c>
      <c r="O1112" s="1476"/>
    </row>
    <row r="1113" spans="11:15">
      <c r="K1113" s="1473">
        <v>43170</v>
      </c>
      <c r="L1113" s="1474"/>
      <c r="M1113" s="1475">
        <v>0</v>
      </c>
      <c r="N1113" s="1476">
        <v>1.4124116243394016</v>
      </c>
      <c r="O1113" s="1476"/>
    </row>
    <row r="1114" spans="11:15">
      <c r="K1114" s="1473">
        <v>43171</v>
      </c>
      <c r="L1114" s="1474" t="s">
        <v>2123</v>
      </c>
      <c r="M1114" s="1475">
        <v>2.5551999999999998E-2</v>
      </c>
      <c r="N1114" s="1476">
        <v>1.4127725237576529</v>
      </c>
      <c r="O1114" s="1476"/>
    </row>
    <row r="1115" spans="11:15">
      <c r="K1115" s="1473">
        <v>43172</v>
      </c>
      <c r="L1115" s="1474" t="s">
        <v>2123</v>
      </c>
      <c r="M1115" s="1475">
        <v>2.5551999999999998E-2</v>
      </c>
      <c r="N1115" s="1476">
        <v>1.4131335153929236</v>
      </c>
      <c r="O1115" s="1476"/>
    </row>
    <row r="1116" spans="11:15">
      <c r="K1116" s="1473">
        <v>43173</v>
      </c>
      <c r="L1116" s="1474" t="s">
        <v>2123</v>
      </c>
      <c r="M1116" s="1475">
        <v>2.5551999999999998E-2</v>
      </c>
      <c r="N1116" s="1476">
        <v>1.4134945992687769</v>
      </c>
      <c r="O1116" s="1476"/>
    </row>
    <row r="1117" spans="11:15">
      <c r="K1117" s="1473">
        <v>43174</v>
      </c>
      <c r="L1117" s="1474" t="s">
        <v>2123</v>
      </c>
      <c r="M1117" s="1475">
        <v>2.5551999999999998E-2</v>
      </c>
      <c r="N1117" s="1476">
        <v>1.4138557754087822</v>
      </c>
      <c r="O1117" s="1476"/>
    </row>
    <row r="1118" spans="11:15">
      <c r="K1118" s="1473">
        <v>43175</v>
      </c>
      <c r="L1118" s="1474" t="s">
        <v>2123</v>
      </c>
      <c r="M1118" s="1475">
        <v>2.5551999999999998E-2</v>
      </c>
      <c r="N1118" s="1476">
        <v>1.4142170438365147</v>
      </c>
      <c r="O1118" s="1476"/>
    </row>
    <row r="1119" spans="11:15">
      <c r="K1119" s="1473">
        <v>43176</v>
      </c>
      <c r="L1119" s="1474"/>
      <c r="M1119" s="1475">
        <v>0</v>
      </c>
      <c r="N1119" s="1476">
        <v>1.4142170438365147</v>
      </c>
      <c r="O1119" s="1476"/>
    </row>
    <row r="1120" spans="11:15">
      <c r="K1120" s="1473">
        <v>43177</v>
      </c>
      <c r="L1120" s="1474"/>
      <c r="M1120" s="1475">
        <v>0</v>
      </c>
      <c r="N1120" s="1476">
        <v>1.4142170438365147</v>
      </c>
      <c r="O1120" s="1476"/>
    </row>
    <row r="1121" spans="11:15">
      <c r="K1121" s="1473">
        <v>43178</v>
      </c>
      <c r="L1121" s="1474" t="s">
        <v>2123</v>
      </c>
      <c r="M1121" s="1475">
        <v>2.5551999999999998E-2</v>
      </c>
      <c r="N1121" s="1476">
        <v>1.4145784045755558</v>
      </c>
      <c r="O1121" s="1476"/>
    </row>
    <row r="1122" spans="11:15">
      <c r="K1122" s="1473">
        <v>43179</v>
      </c>
      <c r="L1122" s="1474" t="s">
        <v>2123</v>
      </c>
      <c r="M1122" s="1475">
        <v>2.5551999999999998E-2</v>
      </c>
      <c r="N1122" s="1476">
        <v>1.4149398576494931</v>
      </c>
      <c r="O1122" s="1476"/>
    </row>
    <row r="1123" spans="11:15">
      <c r="K1123" s="1473">
        <v>43180</v>
      </c>
      <c r="L1123" s="1474" t="s">
        <v>2123</v>
      </c>
      <c r="M1123" s="1475">
        <v>2.5551999999999998E-2</v>
      </c>
      <c r="N1123" s="1476">
        <v>1.4153014030819198</v>
      </c>
      <c r="O1123" s="1476"/>
    </row>
    <row r="1124" spans="11:15">
      <c r="K1124" s="1473">
        <v>43181</v>
      </c>
      <c r="L1124" s="1474" t="s">
        <v>2123</v>
      </c>
      <c r="M1124" s="1475">
        <v>2.462E-2</v>
      </c>
      <c r="N1124" s="1476">
        <v>1.4156498502873587</v>
      </c>
      <c r="O1124" s="1476"/>
    </row>
    <row r="1125" spans="11:15">
      <c r="K1125" s="1473">
        <v>43182</v>
      </c>
      <c r="L1125" s="1474" t="s">
        <v>2123</v>
      </c>
      <c r="M1125" s="1475">
        <v>2.462E-2</v>
      </c>
      <c r="N1125" s="1476">
        <v>1.4159983832804997</v>
      </c>
      <c r="O1125" s="1476"/>
    </row>
    <row r="1126" spans="11:15">
      <c r="K1126" s="1473">
        <v>43183</v>
      </c>
      <c r="L1126" s="1474"/>
      <c r="M1126" s="1475">
        <v>0</v>
      </c>
      <c r="N1126" s="1476">
        <v>1.4159983832804997</v>
      </c>
      <c r="O1126" s="1476"/>
    </row>
    <row r="1127" spans="11:15">
      <c r="K1127" s="1473">
        <v>43184</v>
      </c>
      <c r="L1127" s="1474"/>
      <c r="M1127" s="1475">
        <v>0</v>
      </c>
      <c r="N1127" s="1476">
        <v>1.4159983832804997</v>
      </c>
      <c r="O1127" s="1476"/>
    </row>
    <row r="1128" spans="11:15">
      <c r="K1128" s="1473">
        <v>43185</v>
      </c>
      <c r="L1128" s="1474" t="s">
        <v>2123</v>
      </c>
      <c r="M1128" s="1475">
        <v>2.462E-2</v>
      </c>
      <c r="N1128" s="1476">
        <v>1.4163470020824633</v>
      </c>
      <c r="O1128" s="1476"/>
    </row>
    <row r="1129" spans="11:15">
      <c r="K1129" s="1473">
        <v>43186</v>
      </c>
      <c r="L1129" s="1474" t="s">
        <v>2123</v>
      </c>
      <c r="M1129" s="1475">
        <v>2.462E-2</v>
      </c>
      <c r="N1129" s="1476">
        <v>1.4166957067143762</v>
      </c>
      <c r="O1129" s="1476"/>
    </row>
    <row r="1130" spans="11:15">
      <c r="K1130" s="1473">
        <v>43187</v>
      </c>
      <c r="L1130" s="1474" t="s">
        <v>2123</v>
      </c>
      <c r="M1130" s="1475">
        <v>2.462E-2</v>
      </c>
      <c r="N1130" s="1476">
        <v>1.4170444971973695</v>
      </c>
      <c r="O1130" s="1476"/>
    </row>
    <row r="1131" spans="11:15">
      <c r="K1131" s="1473">
        <v>43188</v>
      </c>
      <c r="L1131" s="1474" t="s">
        <v>2123</v>
      </c>
      <c r="M1131" s="1475">
        <v>2.462E-2</v>
      </c>
      <c r="N1131" s="1476">
        <v>1.4173933735525797</v>
      </c>
      <c r="O1131" s="1476"/>
    </row>
    <row r="1132" spans="11:15">
      <c r="K1132" s="1473">
        <v>43189</v>
      </c>
      <c r="L1132" s="1474"/>
      <c r="M1132" s="1475">
        <v>0</v>
      </c>
      <c r="N1132" s="1476">
        <v>1.4173933735525797</v>
      </c>
      <c r="O1132" s="1476"/>
    </row>
    <row r="1133" spans="11:15">
      <c r="K1133" s="1473">
        <v>43190</v>
      </c>
      <c r="L1133" s="1474"/>
      <c r="M1133" s="1475">
        <v>0</v>
      </c>
      <c r="N1133" s="1476">
        <v>1.4173933735525797</v>
      </c>
      <c r="O1133" s="1476"/>
    </row>
    <row r="1134" spans="11:15">
      <c r="K1134" s="1473">
        <v>43191</v>
      </c>
      <c r="L1134" s="1474"/>
      <c r="M1134" s="1475">
        <v>0</v>
      </c>
      <c r="N1134" s="1476">
        <v>1.4173933735525797</v>
      </c>
      <c r="O1134" s="1476"/>
    </row>
    <row r="1135" spans="11:15">
      <c r="K1135" s="1473">
        <v>43192</v>
      </c>
      <c r="L1135" s="1474" t="s">
        <v>2123</v>
      </c>
      <c r="M1135" s="1475">
        <v>2.462E-2</v>
      </c>
      <c r="N1135" s="1476">
        <v>1.4177423358011485</v>
      </c>
      <c r="O1135" s="1476"/>
    </row>
    <row r="1136" spans="11:15">
      <c r="K1136" s="1473">
        <v>43193</v>
      </c>
      <c r="L1136" s="1474" t="s">
        <v>2123</v>
      </c>
      <c r="M1136" s="1475">
        <v>2.462E-2</v>
      </c>
      <c r="N1136" s="1476">
        <v>1.4180913839642229</v>
      </c>
      <c r="O1136" s="1476"/>
    </row>
    <row r="1137" spans="11:15">
      <c r="K1137" s="1473">
        <v>43194</v>
      </c>
      <c r="L1137" s="1474" t="s">
        <v>2123</v>
      </c>
      <c r="M1137" s="1475">
        <v>2.462E-2</v>
      </c>
      <c r="N1137" s="1476">
        <v>1.4184405180629549</v>
      </c>
      <c r="O1137" s="1476"/>
    </row>
    <row r="1138" spans="11:15">
      <c r="K1138" s="1473">
        <v>43195</v>
      </c>
      <c r="L1138" s="1474" t="s">
        <v>2123</v>
      </c>
      <c r="M1138" s="1475">
        <v>2.462E-2</v>
      </c>
      <c r="N1138" s="1476">
        <v>1.4187897381185022</v>
      </c>
      <c r="O1138" s="1476"/>
    </row>
    <row r="1139" spans="11:15">
      <c r="K1139" s="1473">
        <v>43196</v>
      </c>
      <c r="L1139" s="1474" t="s">
        <v>2123</v>
      </c>
      <c r="M1139" s="1475">
        <v>2.462E-2</v>
      </c>
      <c r="N1139" s="1476">
        <v>1.4191390441520271</v>
      </c>
      <c r="O1139" s="1476"/>
    </row>
    <row r="1140" spans="11:15">
      <c r="K1140" s="1473">
        <v>43197</v>
      </c>
      <c r="L1140" s="1474"/>
      <c r="M1140" s="1475">
        <v>0</v>
      </c>
      <c r="N1140" s="1476">
        <v>1.4191390441520271</v>
      </c>
      <c r="O1140" s="1476"/>
    </row>
    <row r="1141" spans="11:15">
      <c r="K1141" s="1473">
        <v>43198</v>
      </c>
      <c r="L1141" s="1474"/>
      <c r="M1141" s="1475">
        <v>0</v>
      </c>
      <c r="N1141" s="1476">
        <v>1.4191390441520271</v>
      </c>
      <c r="O1141" s="1476"/>
    </row>
    <row r="1142" spans="11:15">
      <c r="K1142" s="1473">
        <v>43199</v>
      </c>
      <c r="L1142" s="1474" t="s">
        <v>2123</v>
      </c>
      <c r="M1142" s="1475">
        <v>2.462E-2</v>
      </c>
      <c r="N1142" s="1476">
        <v>1.4194884361846973</v>
      </c>
      <c r="O1142" s="1476"/>
    </row>
    <row r="1143" spans="11:15">
      <c r="K1143" s="1473">
        <v>43200</v>
      </c>
      <c r="L1143" s="1474" t="s">
        <v>2123</v>
      </c>
      <c r="M1143" s="1475">
        <v>2.462E-2</v>
      </c>
      <c r="N1143" s="1476">
        <v>1.419837914237686</v>
      </c>
      <c r="O1143" s="1476"/>
    </row>
    <row r="1144" spans="11:15">
      <c r="K1144" s="1473">
        <v>43201</v>
      </c>
      <c r="L1144" s="1474" t="s">
        <v>2123</v>
      </c>
      <c r="M1144" s="1475">
        <v>2.462E-2</v>
      </c>
      <c r="N1144" s="1476">
        <v>1.4201874783321715</v>
      </c>
      <c r="O1144" s="1476"/>
    </row>
    <row r="1145" spans="11:15">
      <c r="K1145" s="1473">
        <v>43202</v>
      </c>
      <c r="L1145" s="1474" t="s">
        <v>2123</v>
      </c>
      <c r="M1145" s="1475">
        <v>2.462E-2</v>
      </c>
      <c r="N1145" s="1476">
        <v>1.4205371284893371</v>
      </c>
      <c r="O1145" s="1476"/>
    </row>
    <row r="1146" spans="11:15">
      <c r="K1146" s="1473">
        <v>43203</v>
      </c>
      <c r="L1146" s="1474" t="s">
        <v>2123</v>
      </c>
      <c r="M1146" s="1475">
        <v>2.462E-2</v>
      </c>
      <c r="N1146" s="1476">
        <v>1.4208868647303714</v>
      </c>
      <c r="O1146" s="1476"/>
    </row>
    <row r="1147" spans="11:15">
      <c r="K1147" s="1473">
        <v>43204</v>
      </c>
      <c r="L1147" s="1474"/>
      <c r="M1147" s="1475">
        <v>0</v>
      </c>
      <c r="N1147" s="1476">
        <v>1.4208868647303714</v>
      </c>
      <c r="O1147" s="1476"/>
    </row>
    <row r="1148" spans="11:15">
      <c r="K1148" s="1473">
        <v>43205</v>
      </c>
      <c r="L1148" s="1474"/>
      <c r="M1148" s="1475">
        <v>0</v>
      </c>
      <c r="N1148" s="1476">
        <v>1.4208868647303714</v>
      </c>
      <c r="O1148" s="1476"/>
    </row>
    <row r="1149" spans="11:15">
      <c r="K1149" s="1473">
        <v>43206</v>
      </c>
      <c r="L1149" s="1474" t="s">
        <v>2123</v>
      </c>
      <c r="M1149" s="1475">
        <v>2.462E-2</v>
      </c>
      <c r="N1149" s="1476">
        <v>1.4212366870764681</v>
      </c>
      <c r="O1149" s="1476"/>
    </row>
    <row r="1150" spans="11:15">
      <c r="K1150" s="1473">
        <v>43207</v>
      </c>
      <c r="L1150" s="1474" t="s">
        <v>2123</v>
      </c>
      <c r="M1150" s="1475">
        <v>2.462E-2</v>
      </c>
      <c r="N1150" s="1476">
        <v>1.4215865955488265</v>
      </c>
      <c r="O1150" s="1476"/>
    </row>
    <row r="1151" spans="11:15">
      <c r="K1151" s="1473">
        <v>43208</v>
      </c>
      <c r="L1151" s="1474" t="s">
        <v>2123</v>
      </c>
      <c r="M1151" s="1475">
        <v>2.462E-2</v>
      </c>
      <c r="N1151" s="1476">
        <v>1.4219365901686507</v>
      </c>
      <c r="O1151" s="1476"/>
    </row>
    <row r="1152" spans="11:15">
      <c r="K1152" s="1473">
        <v>43209</v>
      </c>
      <c r="L1152" s="1474" t="s">
        <v>2123</v>
      </c>
      <c r="M1152" s="1475">
        <v>2.462E-2</v>
      </c>
      <c r="N1152" s="1476">
        <v>1.4222866709571504</v>
      </c>
      <c r="O1152" s="1476"/>
    </row>
    <row r="1153" spans="11:15">
      <c r="K1153" s="1473">
        <v>43210</v>
      </c>
      <c r="L1153" s="1474" t="s">
        <v>2123</v>
      </c>
      <c r="M1153" s="1475">
        <v>2.462E-2</v>
      </c>
      <c r="N1153" s="1476">
        <v>1.4226368379355403</v>
      </c>
      <c r="O1153" s="1476"/>
    </row>
    <row r="1154" spans="11:15">
      <c r="K1154" s="1473">
        <v>43211</v>
      </c>
      <c r="L1154" s="1474"/>
      <c r="M1154" s="1475">
        <v>0</v>
      </c>
      <c r="N1154" s="1476">
        <v>1.4226368379355403</v>
      </c>
      <c r="O1154" s="1476"/>
    </row>
    <row r="1155" spans="11:15">
      <c r="K1155" s="1473">
        <v>43212</v>
      </c>
      <c r="L1155" s="1474"/>
      <c r="M1155" s="1475">
        <v>0</v>
      </c>
      <c r="N1155" s="1476">
        <v>1.4226368379355403</v>
      </c>
      <c r="O1155" s="1476"/>
    </row>
    <row r="1156" spans="11:15">
      <c r="K1156" s="1473">
        <v>43213</v>
      </c>
      <c r="L1156" s="1474" t="s">
        <v>2123</v>
      </c>
      <c r="M1156" s="1475">
        <v>2.462E-2</v>
      </c>
      <c r="N1156" s="1476">
        <v>1.4229870911250402</v>
      </c>
      <c r="O1156" s="1476"/>
    </row>
    <row r="1157" spans="11:15">
      <c r="K1157" s="1473">
        <v>43214</v>
      </c>
      <c r="L1157" s="1474" t="s">
        <v>2123</v>
      </c>
      <c r="M1157" s="1475">
        <v>2.462E-2</v>
      </c>
      <c r="N1157" s="1476">
        <v>1.4233374305468753</v>
      </c>
      <c r="O1157" s="1476"/>
    </row>
    <row r="1158" spans="11:15">
      <c r="K1158" s="1473">
        <v>43215</v>
      </c>
      <c r="L1158" s="1474" t="s">
        <v>2123</v>
      </c>
      <c r="M1158" s="1475">
        <v>2.462E-2</v>
      </c>
      <c r="N1158" s="1476">
        <v>1.4236878562222761</v>
      </c>
      <c r="O1158" s="1476"/>
    </row>
    <row r="1159" spans="11:15">
      <c r="K1159" s="1473">
        <v>43216</v>
      </c>
      <c r="L1159" s="1474" t="s">
        <v>2123</v>
      </c>
      <c r="M1159" s="1475">
        <v>2.462E-2</v>
      </c>
      <c r="N1159" s="1476">
        <v>1.4240383681724782</v>
      </c>
      <c r="O1159" s="1476"/>
    </row>
    <row r="1160" spans="11:15">
      <c r="K1160" s="1473">
        <v>43217</v>
      </c>
      <c r="L1160" s="1474" t="s">
        <v>2123</v>
      </c>
      <c r="M1160" s="1475">
        <v>2.462E-2</v>
      </c>
      <c r="N1160" s="1476">
        <v>1.4243889664187224</v>
      </c>
      <c r="O1160" s="1476"/>
    </row>
    <row r="1161" spans="11:15">
      <c r="K1161" s="1473">
        <v>43218</v>
      </c>
      <c r="L1161" s="1474"/>
      <c r="M1161" s="1475">
        <v>0</v>
      </c>
      <c r="N1161" s="1476">
        <v>1.4243889664187224</v>
      </c>
      <c r="O1161" s="1476"/>
    </row>
    <row r="1162" spans="11:15">
      <c r="K1162" s="1473">
        <v>43219</v>
      </c>
      <c r="L1162" s="1474"/>
      <c r="M1162" s="1475">
        <v>0</v>
      </c>
      <c r="N1162" s="1476">
        <v>1.4243889664187224</v>
      </c>
      <c r="O1162" s="1476"/>
    </row>
    <row r="1163" spans="11:15">
      <c r="K1163" s="1473">
        <v>43220</v>
      </c>
      <c r="L1163" s="1474" t="s">
        <v>2123</v>
      </c>
      <c r="M1163" s="1475">
        <v>2.462E-2</v>
      </c>
      <c r="N1163" s="1476">
        <v>1.4247396509822547</v>
      </c>
      <c r="O1163" s="1476"/>
    </row>
    <row r="1164" spans="11:15">
      <c r="K1164" s="1473">
        <v>43221</v>
      </c>
      <c r="L1164" s="1474"/>
      <c r="M1164" s="1475">
        <v>0</v>
      </c>
      <c r="N1164" s="1476">
        <v>1.4247396509822547</v>
      </c>
      <c r="O1164" s="1476"/>
    </row>
    <row r="1165" spans="11:15">
      <c r="K1165" s="1473">
        <v>43222</v>
      </c>
      <c r="L1165" s="1474" t="s">
        <v>2123</v>
      </c>
      <c r="M1165" s="1475">
        <v>2.462E-2</v>
      </c>
      <c r="N1165" s="1476">
        <v>1.4250904218843268</v>
      </c>
      <c r="O1165" s="1476"/>
    </row>
    <row r="1166" spans="11:15">
      <c r="K1166" s="1473">
        <v>43223</v>
      </c>
      <c r="L1166" s="1474" t="s">
        <v>2123</v>
      </c>
      <c r="M1166" s="1475">
        <v>2.462E-2</v>
      </c>
      <c r="N1166" s="1476">
        <v>1.4254412791461948</v>
      </c>
      <c r="O1166" s="1476"/>
    </row>
    <row r="1167" spans="11:15">
      <c r="K1167" s="1473">
        <v>43224</v>
      </c>
      <c r="L1167" s="1474" t="s">
        <v>2123</v>
      </c>
      <c r="M1167" s="1475">
        <v>2.462E-2</v>
      </c>
      <c r="N1167" s="1476">
        <v>1.4257922227891207</v>
      </c>
      <c r="O1167" s="1476"/>
    </row>
    <row r="1168" spans="11:15">
      <c r="K1168" s="1473">
        <v>43225</v>
      </c>
      <c r="L1168" s="1474"/>
      <c r="M1168" s="1475">
        <v>0</v>
      </c>
      <c r="N1168" s="1476">
        <v>1.4257922227891207</v>
      </c>
      <c r="O1168" s="1476"/>
    </row>
    <row r="1169" spans="11:15">
      <c r="K1169" s="1473">
        <v>43226</v>
      </c>
      <c r="L1169" s="1474"/>
      <c r="M1169" s="1475">
        <v>0</v>
      </c>
      <c r="N1169" s="1476">
        <v>1.4257922227891207</v>
      </c>
      <c r="O1169" s="1476"/>
    </row>
    <row r="1170" spans="11:15">
      <c r="K1170" s="1473">
        <v>43227</v>
      </c>
      <c r="L1170" s="1474" t="s">
        <v>2123</v>
      </c>
      <c r="M1170" s="1475">
        <v>2.462E-2</v>
      </c>
      <c r="N1170" s="1476">
        <v>1.4261432528343714</v>
      </c>
      <c r="O1170" s="1476"/>
    </row>
    <row r="1171" spans="11:15">
      <c r="K1171" s="1473">
        <v>43228</v>
      </c>
      <c r="L1171" s="1474" t="s">
        <v>2123</v>
      </c>
      <c r="M1171" s="1475">
        <v>2.462E-2</v>
      </c>
      <c r="N1171" s="1476">
        <v>1.4264943693032193</v>
      </c>
      <c r="O1171" s="1476"/>
    </row>
    <row r="1172" spans="11:15">
      <c r="K1172" s="1473">
        <v>43229</v>
      </c>
      <c r="L1172" s="1474" t="s">
        <v>2123</v>
      </c>
      <c r="M1172" s="1475">
        <v>2.462E-2</v>
      </c>
      <c r="N1172" s="1476">
        <v>1.4268455722169417</v>
      </c>
      <c r="O1172" s="1476"/>
    </row>
    <row r="1173" spans="11:15">
      <c r="K1173" s="1473">
        <v>43230</v>
      </c>
      <c r="L1173" s="1474" t="s">
        <v>2123</v>
      </c>
      <c r="M1173" s="1475">
        <v>2.462E-2</v>
      </c>
      <c r="N1173" s="1476">
        <v>1.4271968615968216</v>
      </c>
      <c r="O1173" s="1476"/>
    </row>
    <row r="1174" spans="11:15">
      <c r="K1174" s="1473">
        <v>43231</v>
      </c>
      <c r="L1174" s="1474" t="s">
        <v>2123</v>
      </c>
      <c r="M1174" s="1475">
        <v>2.462E-2</v>
      </c>
      <c r="N1174" s="1476">
        <v>1.4275482374641468</v>
      </c>
      <c r="O1174" s="1476"/>
    </row>
    <row r="1175" spans="11:15">
      <c r="K1175" s="1473">
        <v>43232</v>
      </c>
      <c r="L1175" s="1474"/>
      <c r="M1175" s="1475">
        <v>0</v>
      </c>
      <c r="N1175" s="1476">
        <v>1.4275482374641468</v>
      </c>
      <c r="O1175" s="1476"/>
    </row>
    <row r="1176" spans="11:15">
      <c r="K1176" s="1473">
        <v>43233</v>
      </c>
      <c r="L1176" s="1474"/>
      <c r="M1176" s="1475">
        <v>0</v>
      </c>
      <c r="N1176" s="1476">
        <v>1.4275482374641468</v>
      </c>
      <c r="O1176" s="1476"/>
    </row>
    <row r="1177" spans="11:15">
      <c r="K1177" s="1473">
        <v>43234</v>
      </c>
      <c r="L1177" s="1474" t="s">
        <v>2123</v>
      </c>
      <c r="M1177" s="1475">
        <v>2.462E-2</v>
      </c>
      <c r="N1177" s="1476">
        <v>1.4278996998402107</v>
      </c>
      <c r="O1177" s="1476"/>
    </row>
    <row r="1178" spans="11:15">
      <c r="K1178" s="1473">
        <v>43235</v>
      </c>
      <c r="L1178" s="1474" t="s">
        <v>2123</v>
      </c>
      <c r="M1178" s="1475">
        <v>2.462E-2</v>
      </c>
      <c r="N1178" s="1476">
        <v>1.4282512487463115</v>
      </c>
      <c r="O1178" s="1476"/>
    </row>
    <row r="1179" spans="11:15">
      <c r="K1179" s="1473">
        <v>43236</v>
      </c>
      <c r="L1179" s="1474" t="s">
        <v>2123</v>
      </c>
      <c r="M1179" s="1475">
        <v>2.462E-2</v>
      </c>
      <c r="N1179" s="1476">
        <v>1.428602884203753</v>
      </c>
      <c r="O1179" s="1476"/>
    </row>
    <row r="1180" spans="11:15">
      <c r="K1180" s="1473">
        <v>43237</v>
      </c>
      <c r="L1180" s="1474" t="s">
        <v>2123</v>
      </c>
      <c r="M1180" s="1475">
        <v>2.462E-2</v>
      </c>
      <c r="N1180" s="1476">
        <v>1.4289546062338441</v>
      </c>
      <c r="O1180" s="1476"/>
    </row>
    <row r="1181" spans="11:15">
      <c r="K1181" s="1473">
        <v>43238</v>
      </c>
      <c r="L1181" s="1474" t="s">
        <v>2123</v>
      </c>
      <c r="M1181" s="1475">
        <v>2.462E-2</v>
      </c>
      <c r="N1181" s="1476">
        <v>1.4293064148578989</v>
      </c>
      <c r="O1181" s="1476"/>
    </row>
    <row r="1182" spans="11:15">
      <c r="K1182" s="1473">
        <v>43239</v>
      </c>
      <c r="L1182" s="1474"/>
      <c r="M1182" s="1475">
        <v>0</v>
      </c>
      <c r="N1182" s="1476">
        <v>1.4293064148578989</v>
      </c>
      <c r="O1182" s="1476"/>
    </row>
    <row r="1183" spans="11:15">
      <c r="K1183" s="1473">
        <v>43240</v>
      </c>
      <c r="L1183" s="1474"/>
      <c r="M1183" s="1475">
        <v>0</v>
      </c>
      <c r="N1183" s="1476">
        <v>1.4293064148578989</v>
      </c>
      <c r="O1183" s="1476"/>
    </row>
    <row r="1184" spans="11:15">
      <c r="K1184" s="1473">
        <v>43241</v>
      </c>
      <c r="L1184" s="1474" t="s">
        <v>2123</v>
      </c>
      <c r="M1184" s="1475">
        <v>2.462E-2</v>
      </c>
      <c r="N1184" s="1476">
        <v>1.4296583100972371</v>
      </c>
      <c r="O1184" s="1476"/>
    </row>
    <row r="1185" spans="11:15">
      <c r="K1185" s="1473">
        <v>43242</v>
      </c>
      <c r="L1185" s="1474" t="s">
        <v>2123</v>
      </c>
      <c r="M1185" s="1475">
        <v>2.462E-2</v>
      </c>
      <c r="N1185" s="1476">
        <v>1.4300102919731832</v>
      </c>
      <c r="O1185" s="1476"/>
    </row>
    <row r="1186" spans="11:15">
      <c r="K1186" s="1473">
        <v>43243</v>
      </c>
      <c r="L1186" s="1474" t="s">
        <v>2123</v>
      </c>
      <c r="M1186" s="1475">
        <v>2.462E-2</v>
      </c>
      <c r="N1186" s="1476">
        <v>1.430362360507067</v>
      </c>
      <c r="O1186" s="1476"/>
    </row>
    <row r="1187" spans="11:15">
      <c r="K1187" s="1473">
        <v>43244</v>
      </c>
      <c r="L1187" s="1474" t="s">
        <v>2123</v>
      </c>
      <c r="M1187" s="1475">
        <v>2.462E-2</v>
      </c>
      <c r="N1187" s="1476">
        <v>1.4307145157202239</v>
      </c>
      <c r="O1187" s="1476"/>
    </row>
    <row r="1188" spans="11:15">
      <c r="K1188" s="1473">
        <v>43245</v>
      </c>
      <c r="L1188" s="1474" t="s">
        <v>2123</v>
      </c>
      <c r="M1188" s="1475">
        <v>2.462E-2</v>
      </c>
      <c r="N1188" s="1476">
        <v>1.4310667576339944</v>
      </c>
      <c r="O1188" s="1476"/>
    </row>
    <row r="1189" spans="11:15">
      <c r="K1189" s="1473">
        <v>43246</v>
      </c>
      <c r="L1189" s="1474"/>
      <c r="M1189" s="1475">
        <v>0</v>
      </c>
      <c r="N1189" s="1476">
        <v>1.4310667576339944</v>
      </c>
      <c r="O1189" s="1476"/>
    </row>
    <row r="1190" spans="11:15">
      <c r="K1190" s="1473">
        <v>43247</v>
      </c>
      <c r="L1190" s="1474"/>
      <c r="M1190" s="1475">
        <v>0</v>
      </c>
      <c r="N1190" s="1476">
        <v>1.4310667576339944</v>
      </c>
      <c r="O1190" s="1476"/>
    </row>
    <row r="1191" spans="11:15">
      <c r="K1191" s="1473">
        <v>43248</v>
      </c>
      <c r="L1191" s="1474" t="s">
        <v>2123</v>
      </c>
      <c r="M1191" s="1475">
        <v>2.462E-2</v>
      </c>
      <c r="N1191" s="1476">
        <v>1.431419086269724</v>
      </c>
      <c r="O1191" s="1476"/>
    </row>
    <row r="1192" spans="11:15">
      <c r="K1192" s="1473">
        <v>43249</v>
      </c>
      <c r="L1192" s="1474" t="s">
        <v>2123</v>
      </c>
      <c r="M1192" s="1475">
        <v>2.462E-2</v>
      </c>
      <c r="N1192" s="1476">
        <v>1.4317715016487638</v>
      </c>
      <c r="O1192" s="1476"/>
    </row>
    <row r="1193" spans="11:15">
      <c r="K1193" s="1473">
        <v>43250</v>
      </c>
      <c r="L1193" s="1474" t="s">
        <v>2123</v>
      </c>
      <c r="M1193" s="1475">
        <v>2.462E-2</v>
      </c>
      <c r="N1193" s="1476">
        <v>1.4321240037924698</v>
      </c>
      <c r="O1193" s="1476"/>
    </row>
    <row r="1194" spans="11:15">
      <c r="K1194" s="1473">
        <v>43251</v>
      </c>
      <c r="L1194" s="1474"/>
      <c r="M1194" s="1475">
        <v>0</v>
      </c>
      <c r="N1194" s="1476">
        <v>1.4321240037924698</v>
      </c>
      <c r="O1194" s="1476"/>
    </row>
    <row r="1195" spans="11:15">
      <c r="K1195" s="1473">
        <v>43252</v>
      </c>
      <c r="L1195" s="1474" t="s">
        <v>2123</v>
      </c>
      <c r="M1195" s="1475">
        <v>2.462E-2</v>
      </c>
      <c r="N1195" s="1476">
        <v>1.4324765927222036</v>
      </c>
      <c r="O1195" s="1476"/>
    </row>
    <row r="1196" spans="11:15">
      <c r="K1196" s="1473">
        <v>43253</v>
      </c>
      <c r="L1196" s="1474"/>
      <c r="M1196" s="1475">
        <v>0</v>
      </c>
      <c r="N1196" s="1476">
        <v>1.4324765927222036</v>
      </c>
      <c r="O1196" s="1476"/>
    </row>
    <row r="1197" spans="11:15">
      <c r="K1197" s="1473">
        <v>43254</v>
      </c>
      <c r="L1197" s="1474"/>
      <c r="M1197" s="1475">
        <v>0</v>
      </c>
      <c r="N1197" s="1476">
        <v>1.4324765927222036</v>
      </c>
      <c r="O1197" s="1476"/>
    </row>
    <row r="1198" spans="11:15">
      <c r="K1198" s="1473">
        <v>43255</v>
      </c>
      <c r="L1198" s="1474" t="s">
        <v>2123</v>
      </c>
      <c r="M1198" s="1475">
        <v>2.462E-2</v>
      </c>
      <c r="N1198" s="1476">
        <v>1.432829268459332</v>
      </c>
      <c r="O1198" s="1476"/>
    </row>
    <row r="1199" spans="11:15">
      <c r="K1199" s="1473">
        <v>43256</v>
      </c>
      <c r="L1199" s="1474" t="s">
        <v>2123</v>
      </c>
      <c r="M1199" s="1475">
        <v>2.462E-2</v>
      </c>
      <c r="N1199" s="1476">
        <v>1.4331820310252268</v>
      </c>
      <c r="O1199" s="1476"/>
    </row>
    <row r="1200" spans="11:15">
      <c r="K1200" s="1473">
        <v>43257</v>
      </c>
      <c r="L1200" s="1474" t="s">
        <v>2123</v>
      </c>
      <c r="M1200" s="1475">
        <v>2.462E-2</v>
      </c>
      <c r="N1200" s="1476">
        <v>1.4335348804412653</v>
      </c>
      <c r="O1200" s="1476"/>
    </row>
    <row r="1201" spans="11:15">
      <c r="K1201" s="1473">
        <v>43258</v>
      </c>
      <c r="L1201" s="1474" t="s">
        <v>2123</v>
      </c>
      <c r="M1201" s="1475">
        <v>2.462E-2</v>
      </c>
      <c r="N1201" s="1476">
        <v>1.43388781672883</v>
      </c>
      <c r="O1201" s="1476"/>
    </row>
    <row r="1202" spans="11:15">
      <c r="K1202" s="1473">
        <v>43259</v>
      </c>
      <c r="L1202" s="1474" t="s">
        <v>2123</v>
      </c>
      <c r="M1202" s="1475">
        <v>2.462E-2</v>
      </c>
      <c r="N1202" s="1476">
        <v>1.4342408399093087</v>
      </c>
      <c r="O1202" s="1476"/>
    </row>
    <row r="1203" spans="11:15">
      <c r="K1203" s="1473">
        <v>43260</v>
      </c>
      <c r="L1203" s="1474"/>
      <c r="M1203" s="1475">
        <v>0</v>
      </c>
      <c r="N1203" s="1476">
        <v>1.4342408399093087</v>
      </c>
      <c r="O1203" s="1476"/>
    </row>
    <row r="1204" spans="11:15">
      <c r="K1204" s="1473">
        <v>43261</v>
      </c>
      <c r="L1204" s="1474"/>
      <c r="M1204" s="1475">
        <v>0</v>
      </c>
      <c r="N1204" s="1476">
        <v>1.4342408399093087</v>
      </c>
      <c r="O1204" s="1476"/>
    </row>
    <row r="1205" spans="11:15">
      <c r="K1205" s="1473">
        <v>43262</v>
      </c>
      <c r="L1205" s="1474" t="s">
        <v>2123</v>
      </c>
      <c r="M1205" s="1475">
        <v>2.462E-2</v>
      </c>
      <c r="N1205" s="1476">
        <v>1.4345939500040945</v>
      </c>
      <c r="O1205" s="1476"/>
    </row>
    <row r="1206" spans="11:15">
      <c r="K1206" s="1473">
        <v>43263</v>
      </c>
      <c r="L1206" s="1474" t="s">
        <v>2123</v>
      </c>
      <c r="M1206" s="1475">
        <v>2.462E-2</v>
      </c>
      <c r="N1206" s="1476">
        <v>1.4349471470345856</v>
      </c>
      <c r="O1206" s="1476"/>
    </row>
    <row r="1207" spans="11:15">
      <c r="K1207" s="1473">
        <v>43264</v>
      </c>
      <c r="L1207" s="1474" t="s">
        <v>2123</v>
      </c>
      <c r="M1207" s="1475">
        <v>2.462E-2</v>
      </c>
      <c r="N1207" s="1476">
        <v>1.4353004310221855</v>
      </c>
      <c r="O1207" s="1476"/>
    </row>
    <row r="1208" spans="11:15">
      <c r="K1208" s="1473">
        <v>43265</v>
      </c>
      <c r="L1208" s="1474" t="s">
        <v>2123</v>
      </c>
      <c r="M1208" s="1475">
        <v>2.462E-2</v>
      </c>
      <c r="N1208" s="1476">
        <v>1.4356538019883034</v>
      </c>
      <c r="O1208" s="1476"/>
    </row>
    <row r="1209" spans="11:15">
      <c r="K1209" s="1473">
        <v>43266</v>
      </c>
      <c r="L1209" s="1474" t="s">
        <v>2123</v>
      </c>
      <c r="M1209" s="1475">
        <v>2.462E-2</v>
      </c>
      <c r="N1209" s="1476">
        <v>1.436007259954353</v>
      </c>
      <c r="O1209" s="1476"/>
    </row>
    <row r="1210" spans="11:15">
      <c r="K1210" s="1473">
        <v>43267</v>
      </c>
      <c r="L1210" s="1474"/>
      <c r="M1210" s="1475">
        <v>0</v>
      </c>
      <c r="N1210" s="1476">
        <v>1.436007259954353</v>
      </c>
      <c r="O1210" s="1476"/>
    </row>
    <row r="1211" spans="11:15">
      <c r="K1211" s="1473">
        <v>43268</v>
      </c>
      <c r="L1211" s="1474"/>
      <c r="M1211" s="1475">
        <v>0</v>
      </c>
      <c r="N1211" s="1476">
        <v>1.436007259954353</v>
      </c>
      <c r="O1211" s="1476"/>
    </row>
    <row r="1212" spans="11:15">
      <c r="K1212" s="1473">
        <v>43269</v>
      </c>
      <c r="L1212" s="1474" t="s">
        <v>2123</v>
      </c>
      <c r="M1212" s="1475">
        <v>2.462E-2</v>
      </c>
      <c r="N1212" s="1476">
        <v>1.4363608049417538</v>
      </c>
      <c r="O1212" s="1476"/>
    </row>
    <row r="1213" spans="11:15">
      <c r="K1213" s="1473">
        <v>43270</v>
      </c>
      <c r="L1213" s="1474" t="s">
        <v>2123</v>
      </c>
      <c r="M1213" s="1475">
        <v>2.462E-2</v>
      </c>
      <c r="N1213" s="1476">
        <v>1.4367144369719305</v>
      </c>
      <c r="O1213" s="1476"/>
    </row>
    <row r="1214" spans="11:15">
      <c r="K1214" s="1473">
        <v>43271</v>
      </c>
      <c r="L1214" s="1474" t="s">
        <v>2123</v>
      </c>
      <c r="M1214" s="1475">
        <v>2.462E-2</v>
      </c>
      <c r="N1214" s="1476">
        <v>1.437068156066313</v>
      </c>
      <c r="O1214" s="1476"/>
    </row>
    <row r="1215" spans="11:15">
      <c r="K1215" s="1473">
        <v>43272</v>
      </c>
      <c r="L1215" s="1474" t="s">
        <v>2123</v>
      </c>
      <c r="M1215" s="1475">
        <v>2.462E-2</v>
      </c>
      <c r="N1215" s="1476">
        <v>1.4374219622463367</v>
      </c>
      <c r="O1215" s="1476"/>
    </row>
    <row r="1216" spans="11:15">
      <c r="K1216" s="1473">
        <v>43273</v>
      </c>
      <c r="L1216" s="1474" t="s">
        <v>2123</v>
      </c>
      <c r="M1216" s="1475">
        <v>2.462E-2</v>
      </c>
      <c r="N1216" s="1476">
        <v>1.4377758555334419</v>
      </c>
      <c r="O1216" s="1476"/>
    </row>
    <row r="1217" spans="11:15">
      <c r="K1217" s="1473">
        <v>43274</v>
      </c>
      <c r="L1217" s="1474"/>
      <c r="M1217" s="1475">
        <v>0</v>
      </c>
      <c r="N1217" s="1476">
        <v>1.4377758555334419</v>
      </c>
      <c r="O1217" s="1476"/>
    </row>
    <row r="1218" spans="11:15">
      <c r="K1218" s="1473">
        <v>43275</v>
      </c>
      <c r="L1218" s="1474"/>
      <c r="M1218" s="1475">
        <v>0</v>
      </c>
      <c r="N1218" s="1476">
        <v>1.4377758555334419</v>
      </c>
      <c r="O1218" s="1476"/>
    </row>
    <row r="1219" spans="11:15">
      <c r="K1219" s="1473">
        <v>43276</v>
      </c>
      <c r="L1219" s="1474" t="s">
        <v>2123</v>
      </c>
      <c r="M1219" s="1475">
        <v>2.462E-2</v>
      </c>
      <c r="N1219" s="1476">
        <v>1.4381298359490744</v>
      </c>
      <c r="O1219" s="1476"/>
    </row>
    <row r="1220" spans="11:15">
      <c r="K1220" s="1473">
        <v>43277</v>
      </c>
      <c r="L1220" s="1474" t="s">
        <v>2123</v>
      </c>
      <c r="M1220" s="1475">
        <v>2.462E-2</v>
      </c>
      <c r="N1220" s="1476">
        <v>1.4384839035146852</v>
      </c>
      <c r="O1220" s="1476"/>
    </row>
    <row r="1221" spans="11:15">
      <c r="K1221" s="1473">
        <v>43278</v>
      </c>
      <c r="L1221" s="1474" t="s">
        <v>2123</v>
      </c>
      <c r="M1221" s="1475">
        <v>2.462E-2</v>
      </c>
      <c r="N1221" s="1476">
        <v>1.4388380582517306</v>
      </c>
      <c r="O1221" s="1476"/>
    </row>
    <row r="1222" spans="11:15">
      <c r="K1222" s="1473">
        <v>43279</v>
      </c>
      <c r="L1222" s="1474" t="s">
        <v>2123</v>
      </c>
      <c r="M1222" s="1475">
        <v>2.462E-2</v>
      </c>
      <c r="N1222" s="1476">
        <v>1.4391923001816722</v>
      </c>
      <c r="O1222" s="1476"/>
    </row>
    <row r="1223" spans="11:15">
      <c r="K1223" s="1473">
        <v>43280</v>
      </c>
      <c r="L1223" s="1474" t="s">
        <v>2123</v>
      </c>
      <c r="M1223" s="1475">
        <v>2.462E-2</v>
      </c>
      <c r="N1223" s="1476">
        <v>1.4395466293259771</v>
      </c>
      <c r="O1223" s="1476"/>
    </row>
    <row r="1224" spans="11:15">
      <c r="K1224" s="1473">
        <v>43281</v>
      </c>
      <c r="L1224" s="1474"/>
      <c r="M1224" s="1475">
        <v>0</v>
      </c>
      <c r="N1224" s="1476">
        <v>1.4395466293259771</v>
      </c>
      <c r="O1224" s="1476"/>
    </row>
    <row r="1225" spans="11:15">
      <c r="K1225" s="1473">
        <v>43282</v>
      </c>
      <c r="L1225" s="1474"/>
      <c r="M1225" s="1475">
        <v>0</v>
      </c>
      <c r="N1225" s="1476">
        <v>1.4395466293259771</v>
      </c>
      <c r="O1225" s="1476"/>
    </row>
    <row r="1226" spans="11:15">
      <c r="K1226" s="1473">
        <v>43283</v>
      </c>
      <c r="L1226" s="1474" t="s">
        <v>2123</v>
      </c>
      <c r="M1226" s="1475">
        <v>2.462E-2</v>
      </c>
      <c r="N1226" s="1476">
        <v>1.4399010457061172</v>
      </c>
      <c r="O1226" s="1476"/>
    </row>
    <row r="1227" spans="11:15">
      <c r="K1227" s="1473">
        <v>43284</v>
      </c>
      <c r="L1227" s="1474" t="s">
        <v>2123</v>
      </c>
      <c r="M1227" s="1475">
        <v>2.462E-2</v>
      </c>
      <c r="N1227" s="1476">
        <v>1.4402555493435703</v>
      </c>
      <c r="O1227" s="1476"/>
    </row>
    <row r="1228" spans="11:15">
      <c r="K1228" s="1473">
        <v>43285</v>
      </c>
      <c r="L1228" s="1474" t="s">
        <v>2123</v>
      </c>
      <c r="M1228" s="1475">
        <v>2.462E-2</v>
      </c>
      <c r="N1228" s="1476">
        <v>1.4406101402598188</v>
      </c>
      <c r="O1228" s="1476"/>
    </row>
    <row r="1229" spans="11:15">
      <c r="K1229" s="1473">
        <v>43286</v>
      </c>
      <c r="L1229" s="1474" t="s">
        <v>2123</v>
      </c>
      <c r="M1229" s="1475">
        <v>2.462E-2</v>
      </c>
      <c r="N1229" s="1476">
        <v>1.4409648184763508</v>
      </c>
      <c r="O1229" s="1476"/>
    </row>
    <row r="1230" spans="11:15">
      <c r="K1230" s="1473">
        <v>43287</v>
      </c>
      <c r="L1230" s="1474" t="s">
        <v>2123</v>
      </c>
      <c r="M1230" s="1475">
        <v>2.462E-2</v>
      </c>
      <c r="N1230" s="1476">
        <v>1.4413195840146598</v>
      </c>
      <c r="O1230" s="1476"/>
    </row>
    <row r="1231" spans="11:15">
      <c r="K1231" s="1473">
        <v>43288</v>
      </c>
      <c r="L1231" s="1474"/>
      <c r="M1231" s="1475">
        <v>0</v>
      </c>
      <c r="N1231" s="1476">
        <v>1.4413195840146598</v>
      </c>
      <c r="O1231" s="1476"/>
    </row>
    <row r="1232" spans="11:15">
      <c r="K1232" s="1473">
        <v>43289</v>
      </c>
      <c r="L1232" s="1474"/>
      <c r="M1232" s="1475">
        <v>0</v>
      </c>
      <c r="N1232" s="1476">
        <v>1.4413195840146598</v>
      </c>
      <c r="O1232" s="1476"/>
    </row>
    <row r="1233" spans="11:15">
      <c r="K1233" s="1473">
        <v>43290</v>
      </c>
      <c r="L1233" s="1474" t="s">
        <v>2123</v>
      </c>
      <c r="M1233" s="1475">
        <v>2.462E-2</v>
      </c>
      <c r="N1233" s="1476">
        <v>1.4416744368962442</v>
      </c>
      <c r="O1233" s="1476"/>
    </row>
    <row r="1234" spans="11:15">
      <c r="K1234" s="1473">
        <v>43291</v>
      </c>
      <c r="L1234" s="1474" t="s">
        <v>2123</v>
      </c>
      <c r="M1234" s="1475">
        <v>2.462E-2</v>
      </c>
      <c r="N1234" s="1476">
        <v>1.4420293771426083</v>
      </c>
      <c r="O1234" s="1476"/>
    </row>
    <row r="1235" spans="11:15">
      <c r="K1235" s="1473">
        <v>43292</v>
      </c>
      <c r="L1235" s="1474" t="s">
        <v>2123</v>
      </c>
      <c r="M1235" s="1475">
        <v>2.462E-2</v>
      </c>
      <c r="N1235" s="1476">
        <v>1.442384404775261</v>
      </c>
      <c r="O1235" s="1476"/>
    </row>
    <row r="1236" spans="11:15">
      <c r="K1236" s="1473">
        <v>43293</v>
      </c>
      <c r="L1236" s="1474" t="s">
        <v>2123</v>
      </c>
      <c r="M1236" s="1475">
        <v>2.462E-2</v>
      </c>
      <c r="N1236" s="1476">
        <v>1.4427395198157167</v>
      </c>
      <c r="O1236" s="1476"/>
    </row>
    <row r="1237" spans="11:15">
      <c r="K1237" s="1473">
        <v>43294</v>
      </c>
      <c r="L1237" s="1474" t="s">
        <v>2123</v>
      </c>
      <c r="M1237" s="1475">
        <v>2.462E-2</v>
      </c>
      <c r="N1237" s="1476">
        <v>1.4430947222854955</v>
      </c>
      <c r="O1237" s="1476"/>
    </row>
    <row r="1238" spans="11:15">
      <c r="K1238" s="1473">
        <v>43295</v>
      </c>
      <c r="L1238" s="1474"/>
      <c r="M1238" s="1475">
        <v>0</v>
      </c>
      <c r="N1238" s="1476">
        <v>1.4430947222854955</v>
      </c>
      <c r="O1238" s="1476"/>
    </row>
    <row r="1239" spans="11:15">
      <c r="K1239" s="1473">
        <v>43296</v>
      </c>
      <c r="L1239" s="1474"/>
      <c r="M1239" s="1475">
        <v>0</v>
      </c>
      <c r="N1239" s="1476">
        <v>1.4430947222854955</v>
      </c>
      <c r="O1239" s="1476"/>
    </row>
    <row r="1240" spans="11:15">
      <c r="K1240" s="1473">
        <v>43297</v>
      </c>
      <c r="L1240" s="1474" t="s">
        <v>2123</v>
      </c>
      <c r="M1240" s="1475">
        <v>2.462E-2</v>
      </c>
      <c r="N1240" s="1476">
        <v>1.4434500122061222</v>
      </c>
      <c r="O1240" s="1476"/>
    </row>
    <row r="1241" spans="11:15">
      <c r="K1241" s="1473">
        <v>43298</v>
      </c>
      <c r="L1241" s="1474" t="s">
        <v>2123</v>
      </c>
      <c r="M1241" s="1475">
        <v>2.462E-2</v>
      </c>
      <c r="N1241" s="1476">
        <v>1.4438053895991274</v>
      </c>
      <c r="O1241" s="1476"/>
    </row>
    <row r="1242" spans="11:15">
      <c r="K1242" s="1473">
        <v>43299</v>
      </c>
      <c r="L1242" s="1474" t="s">
        <v>2123</v>
      </c>
      <c r="M1242" s="1475">
        <v>2.462E-2</v>
      </c>
      <c r="N1242" s="1476">
        <v>1.4441608544860469</v>
      </c>
      <c r="O1242" s="1476"/>
    </row>
    <row r="1243" spans="11:15">
      <c r="K1243" s="1473">
        <v>43300</v>
      </c>
      <c r="L1243" s="1474" t="s">
        <v>2123</v>
      </c>
      <c r="M1243" s="1475">
        <v>2.462E-2</v>
      </c>
      <c r="N1243" s="1476">
        <v>1.4445164068884215</v>
      </c>
      <c r="O1243" s="1476"/>
    </row>
    <row r="1244" spans="11:15">
      <c r="K1244" s="1473">
        <v>43301</v>
      </c>
      <c r="L1244" s="1474" t="s">
        <v>2123</v>
      </c>
      <c r="M1244" s="1475">
        <v>2.462E-2</v>
      </c>
      <c r="N1244" s="1476">
        <v>1.4448720468277976</v>
      </c>
      <c r="O1244" s="1476"/>
    </row>
    <row r="1245" spans="11:15">
      <c r="K1245" s="1473">
        <v>43302</v>
      </c>
      <c r="L1245" s="1474"/>
      <c r="M1245" s="1475">
        <v>0</v>
      </c>
      <c r="N1245" s="1476">
        <v>1.4448720468277976</v>
      </c>
      <c r="O1245" s="1476"/>
    </row>
    <row r="1246" spans="11:15">
      <c r="K1246" s="1473">
        <v>43303</v>
      </c>
      <c r="L1246" s="1474"/>
      <c r="M1246" s="1475">
        <v>0</v>
      </c>
      <c r="N1246" s="1476">
        <v>1.4448720468277976</v>
      </c>
      <c r="O1246" s="1476"/>
    </row>
    <row r="1247" spans="11:15">
      <c r="K1247" s="1473">
        <v>43304</v>
      </c>
      <c r="L1247" s="1474" t="s">
        <v>2123</v>
      </c>
      <c r="M1247" s="1475">
        <v>2.462E-2</v>
      </c>
      <c r="N1247" s="1476">
        <v>1.4452277743257267</v>
      </c>
      <c r="O1247" s="1476"/>
    </row>
    <row r="1248" spans="11:15">
      <c r="K1248" s="1473">
        <v>43305</v>
      </c>
      <c r="L1248" s="1474" t="s">
        <v>2123</v>
      </c>
      <c r="M1248" s="1475">
        <v>2.462E-2</v>
      </c>
      <c r="N1248" s="1476">
        <v>1.4455835894037659</v>
      </c>
      <c r="O1248" s="1476"/>
    </row>
    <row r="1249" spans="11:15">
      <c r="K1249" s="1473">
        <v>43306</v>
      </c>
      <c r="L1249" s="1474" t="s">
        <v>2123</v>
      </c>
      <c r="M1249" s="1475">
        <v>2.462E-2</v>
      </c>
      <c r="N1249" s="1476">
        <v>1.4459394920834772</v>
      </c>
      <c r="O1249" s="1476"/>
    </row>
    <row r="1250" spans="11:15">
      <c r="K1250" s="1473">
        <v>43307</v>
      </c>
      <c r="L1250" s="1474" t="s">
        <v>2123</v>
      </c>
      <c r="M1250" s="1475">
        <v>2.462E-2</v>
      </c>
      <c r="N1250" s="1476">
        <v>1.4462954823864282</v>
      </c>
      <c r="O1250" s="1476"/>
    </row>
    <row r="1251" spans="11:15">
      <c r="K1251" s="1473">
        <v>43308</v>
      </c>
      <c r="L1251" s="1474" t="s">
        <v>2123</v>
      </c>
      <c r="M1251" s="1475">
        <v>2.462E-2</v>
      </c>
      <c r="N1251" s="1476">
        <v>1.4466515603341918</v>
      </c>
      <c r="O1251" s="1476"/>
    </row>
    <row r="1252" spans="11:15">
      <c r="K1252" s="1473">
        <v>43309</v>
      </c>
      <c r="L1252" s="1474"/>
      <c r="M1252" s="1475">
        <v>0</v>
      </c>
      <c r="N1252" s="1476">
        <v>1.4466515603341918</v>
      </c>
      <c r="O1252" s="1476"/>
    </row>
    <row r="1253" spans="11:15">
      <c r="K1253" s="1473">
        <v>43310</v>
      </c>
      <c r="L1253" s="1474"/>
      <c r="M1253" s="1475">
        <v>0</v>
      </c>
      <c r="N1253" s="1476">
        <v>1.4466515603341918</v>
      </c>
      <c r="O1253" s="1476"/>
    </row>
    <row r="1254" spans="11:15">
      <c r="K1254" s="1473">
        <v>43311</v>
      </c>
      <c r="L1254" s="1474" t="s">
        <v>2123</v>
      </c>
      <c r="M1254" s="1475">
        <v>2.462E-2</v>
      </c>
      <c r="N1254" s="1476">
        <v>1.4470077259483463</v>
      </c>
      <c r="O1254" s="1476"/>
    </row>
    <row r="1255" spans="11:15">
      <c r="K1255" s="1473">
        <v>43312</v>
      </c>
      <c r="L1255" s="1474" t="s">
        <v>2123</v>
      </c>
      <c r="M1255" s="1475">
        <v>2.462E-2</v>
      </c>
      <c r="N1255" s="1476">
        <v>1.4473639792504749</v>
      </c>
      <c r="O1255" s="1476"/>
    </row>
    <row r="1256" spans="11:15">
      <c r="K1256" s="1473">
        <v>43313</v>
      </c>
      <c r="L1256" s="1474" t="s">
        <v>2123</v>
      </c>
      <c r="M1256" s="1475">
        <v>2.462E-2</v>
      </c>
      <c r="N1256" s="1476">
        <v>1.4477203202621665</v>
      </c>
      <c r="O1256" s="1476"/>
    </row>
    <row r="1257" spans="11:15">
      <c r="K1257" s="1473">
        <v>43314</v>
      </c>
      <c r="L1257" s="1474" t="s">
        <v>2123</v>
      </c>
      <c r="M1257" s="1475">
        <v>2.462E-2</v>
      </c>
      <c r="N1257" s="1476">
        <v>1.448076749005015</v>
      </c>
      <c r="O1257" s="1476"/>
    </row>
    <row r="1258" spans="11:15">
      <c r="K1258" s="1473">
        <v>43315</v>
      </c>
      <c r="L1258" s="1474" t="s">
        <v>2123</v>
      </c>
      <c r="M1258" s="1475">
        <v>2.462E-2</v>
      </c>
      <c r="N1258" s="1476">
        <v>1.4484332655006202</v>
      </c>
      <c r="O1258" s="1476"/>
    </row>
    <row r="1259" spans="11:15">
      <c r="K1259" s="1473">
        <v>43316</v>
      </c>
      <c r="L1259" s="1474"/>
      <c r="M1259" s="1475">
        <v>0</v>
      </c>
      <c r="N1259" s="1476">
        <v>1.4484332655006202</v>
      </c>
      <c r="O1259" s="1476"/>
    </row>
    <row r="1260" spans="11:15">
      <c r="K1260" s="1473">
        <v>43317</v>
      </c>
      <c r="L1260" s="1474"/>
      <c r="M1260" s="1475">
        <v>0</v>
      </c>
      <c r="N1260" s="1476">
        <v>1.4484332655006202</v>
      </c>
      <c r="O1260" s="1476"/>
    </row>
    <row r="1261" spans="11:15">
      <c r="K1261" s="1473">
        <v>43318</v>
      </c>
      <c r="L1261" s="1474" t="s">
        <v>2123</v>
      </c>
      <c r="M1261" s="1475">
        <v>2.462E-2</v>
      </c>
      <c r="N1261" s="1476">
        <v>1.4487898697705865</v>
      </c>
      <c r="O1261" s="1476"/>
    </row>
    <row r="1262" spans="11:15">
      <c r="K1262" s="1473">
        <v>43319</v>
      </c>
      <c r="L1262" s="1474" t="s">
        <v>2123</v>
      </c>
      <c r="M1262" s="1475">
        <v>2.462E-2</v>
      </c>
      <c r="N1262" s="1476">
        <v>1.4491465618365242</v>
      </c>
      <c r="O1262" s="1476"/>
    </row>
    <row r="1263" spans="11:15">
      <c r="K1263" s="1473">
        <v>43320</v>
      </c>
      <c r="L1263" s="1474" t="s">
        <v>2123</v>
      </c>
      <c r="M1263" s="1475">
        <v>2.462E-2</v>
      </c>
      <c r="N1263" s="1476">
        <v>1.4495033417200485</v>
      </c>
      <c r="O1263" s="1476"/>
    </row>
    <row r="1264" spans="11:15">
      <c r="K1264" s="1473">
        <v>43321</v>
      </c>
      <c r="L1264" s="1474" t="s">
        <v>2123</v>
      </c>
      <c r="M1264" s="1475">
        <v>2.462E-2</v>
      </c>
      <c r="N1264" s="1476">
        <v>1.4498602094427802</v>
      </c>
      <c r="O1264" s="1476"/>
    </row>
    <row r="1265" spans="11:15">
      <c r="K1265" s="1473">
        <v>43322</v>
      </c>
      <c r="L1265" s="1474" t="s">
        <v>2123</v>
      </c>
      <c r="M1265" s="1475">
        <v>2.462E-2</v>
      </c>
      <c r="N1265" s="1476">
        <v>1.4502171650263451</v>
      </c>
      <c r="O1265" s="1476"/>
    </row>
    <row r="1266" spans="11:15">
      <c r="K1266" s="1473">
        <v>43323</v>
      </c>
      <c r="L1266" s="1474"/>
      <c r="M1266" s="1475">
        <v>0</v>
      </c>
      <c r="N1266" s="1476">
        <v>1.4502171650263451</v>
      </c>
      <c r="O1266" s="1476"/>
    </row>
    <row r="1267" spans="11:15">
      <c r="K1267" s="1473">
        <v>43324</v>
      </c>
      <c r="L1267" s="1474"/>
      <c r="M1267" s="1475">
        <v>0</v>
      </c>
      <c r="N1267" s="1476">
        <v>1.4502171650263451</v>
      </c>
      <c r="O1267" s="1476"/>
    </row>
    <row r="1268" spans="11:15">
      <c r="K1268" s="1473">
        <v>43325</v>
      </c>
      <c r="L1268" s="1474" t="s">
        <v>2123</v>
      </c>
      <c r="M1268" s="1475">
        <v>2.462E-2</v>
      </c>
      <c r="N1268" s="1476">
        <v>1.4505742084923747</v>
      </c>
      <c r="O1268" s="1476"/>
    </row>
    <row r="1269" spans="11:15">
      <c r="K1269" s="1473">
        <v>43326</v>
      </c>
      <c r="L1269" s="1474" t="s">
        <v>2123</v>
      </c>
      <c r="M1269" s="1475">
        <v>2.462E-2</v>
      </c>
      <c r="N1269" s="1476">
        <v>1.4509313398625057</v>
      </c>
      <c r="O1269" s="1476"/>
    </row>
    <row r="1270" spans="11:15">
      <c r="K1270" s="1473">
        <v>43327</v>
      </c>
      <c r="L1270" s="1474" t="s">
        <v>2123</v>
      </c>
      <c r="M1270" s="1475">
        <v>2.462E-2</v>
      </c>
      <c r="N1270" s="1476">
        <v>1.45128855915838</v>
      </c>
      <c r="O1270" s="1476"/>
    </row>
    <row r="1271" spans="11:15">
      <c r="K1271" s="1473">
        <v>43328</v>
      </c>
      <c r="L1271" s="1474" t="s">
        <v>2123</v>
      </c>
      <c r="M1271" s="1475">
        <v>2.462E-2</v>
      </c>
      <c r="N1271" s="1476">
        <v>1.4516458664016449</v>
      </c>
      <c r="O1271" s="1476"/>
    </row>
    <row r="1272" spans="11:15">
      <c r="K1272" s="1473">
        <v>43329</v>
      </c>
      <c r="L1272" s="1474" t="s">
        <v>2123</v>
      </c>
      <c r="M1272" s="1475">
        <v>2.462E-2</v>
      </c>
      <c r="N1272" s="1476">
        <v>1.4520032616139531</v>
      </c>
      <c r="O1272" s="1476"/>
    </row>
    <row r="1273" spans="11:15">
      <c r="K1273" s="1473">
        <v>43330</v>
      </c>
      <c r="L1273" s="1474"/>
      <c r="M1273" s="1475">
        <v>0</v>
      </c>
      <c r="N1273" s="1476">
        <v>1.4520032616139531</v>
      </c>
      <c r="O1273" s="1476"/>
    </row>
    <row r="1274" spans="11:15">
      <c r="K1274" s="1473">
        <v>43331</v>
      </c>
      <c r="L1274" s="1474"/>
      <c r="M1274" s="1475">
        <v>0</v>
      </c>
      <c r="N1274" s="1476">
        <v>1.4520032616139531</v>
      </c>
      <c r="O1274" s="1476"/>
    </row>
    <row r="1275" spans="11:15">
      <c r="K1275" s="1473">
        <v>43332</v>
      </c>
      <c r="L1275" s="1474" t="s">
        <v>2123</v>
      </c>
      <c r="M1275" s="1475">
        <v>2.462E-2</v>
      </c>
      <c r="N1275" s="1476">
        <v>1.4523607448169626</v>
      </c>
      <c r="O1275" s="1476"/>
    </row>
    <row r="1276" spans="11:15">
      <c r="K1276" s="1473">
        <v>43333</v>
      </c>
      <c r="L1276" s="1474" t="s">
        <v>2123</v>
      </c>
      <c r="M1276" s="1475">
        <v>2.462E-2</v>
      </c>
      <c r="N1276" s="1476">
        <v>1.4527183160323367</v>
      </c>
      <c r="O1276" s="1476"/>
    </row>
    <row r="1277" spans="11:15">
      <c r="K1277" s="1473">
        <v>43334</v>
      </c>
      <c r="L1277" s="1474" t="s">
        <v>2123</v>
      </c>
      <c r="M1277" s="1475">
        <v>2.462E-2</v>
      </c>
      <c r="N1277" s="1476">
        <v>1.4530759752817439</v>
      </c>
      <c r="O1277" s="1476"/>
    </row>
    <row r="1278" spans="11:15">
      <c r="K1278" s="1473">
        <v>43335</v>
      </c>
      <c r="L1278" s="1474" t="s">
        <v>2123</v>
      </c>
      <c r="M1278" s="1475">
        <v>2.462E-2</v>
      </c>
      <c r="N1278" s="1476">
        <v>1.4534337225868583</v>
      </c>
      <c r="O1278" s="1476"/>
    </row>
    <row r="1279" spans="11:15">
      <c r="K1279" s="1473">
        <v>43336</v>
      </c>
      <c r="L1279" s="1474" t="s">
        <v>2123</v>
      </c>
      <c r="M1279" s="1475">
        <v>2.462E-2</v>
      </c>
      <c r="N1279" s="1476">
        <v>1.4537915579693594</v>
      </c>
      <c r="O1279" s="1476"/>
    </row>
    <row r="1280" spans="11:15">
      <c r="K1280" s="1473">
        <v>43337</v>
      </c>
      <c r="L1280" s="1474"/>
      <c r="M1280" s="1475">
        <v>0</v>
      </c>
      <c r="N1280" s="1476">
        <v>1.4537915579693594</v>
      </c>
      <c r="O1280" s="1476"/>
    </row>
    <row r="1281" spans="11:15">
      <c r="K1281" s="1473">
        <v>43338</v>
      </c>
      <c r="L1281" s="1474"/>
      <c r="M1281" s="1475">
        <v>0</v>
      </c>
      <c r="N1281" s="1476">
        <v>1.4537915579693594</v>
      </c>
      <c r="O1281" s="1476"/>
    </row>
    <row r="1282" spans="11:15">
      <c r="K1282" s="1473">
        <v>43339</v>
      </c>
      <c r="L1282" s="1474" t="s">
        <v>2123</v>
      </c>
      <c r="M1282" s="1475">
        <v>2.462E-2</v>
      </c>
      <c r="N1282" s="1476">
        <v>1.4541494814509317</v>
      </c>
      <c r="O1282" s="1476"/>
    </row>
    <row r="1283" spans="11:15">
      <c r="K1283" s="1473">
        <v>43340</v>
      </c>
      <c r="L1283" s="1474" t="s">
        <v>2123</v>
      </c>
      <c r="M1283" s="1475">
        <v>2.462E-2</v>
      </c>
      <c r="N1283" s="1476">
        <v>1.4545074930532651</v>
      </c>
      <c r="O1283" s="1476"/>
    </row>
    <row r="1284" spans="11:15">
      <c r="K1284" s="1473">
        <v>43341</v>
      </c>
      <c r="L1284" s="1474" t="s">
        <v>2123</v>
      </c>
      <c r="M1284" s="1475">
        <v>2.462E-2</v>
      </c>
      <c r="N1284" s="1476">
        <v>1.4548655927980549</v>
      </c>
      <c r="O1284" s="1476"/>
    </row>
    <row r="1285" spans="11:15">
      <c r="K1285" s="1473">
        <v>43342</v>
      </c>
      <c r="L1285" s="1474" t="s">
        <v>2123</v>
      </c>
      <c r="M1285" s="1475">
        <v>2.462E-2</v>
      </c>
      <c r="N1285" s="1476">
        <v>1.4552237807070019</v>
      </c>
      <c r="O1285" s="1476"/>
    </row>
    <row r="1286" spans="11:15">
      <c r="K1286" s="1473">
        <v>43343</v>
      </c>
      <c r="L1286" s="1474" t="s">
        <v>2123</v>
      </c>
      <c r="M1286" s="1475">
        <v>2.462E-2</v>
      </c>
      <c r="N1286" s="1476">
        <v>1.4555820568018121</v>
      </c>
      <c r="O1286" s="1476"/>
    </row>
    <row r="1287" spans="11:15">
      <c r="K1287" s="1473">
        <v>43344</v>
      </c>
      <c r="L1287" s="1474"/>
      <c r="M1287" s="1475">
        <v>0</v>
      </c>
      <c r="N1287" s="1476">
        <v>1.4555820568018121</v>
      </c>
      <c r="O1287" s="1476"/>
    </row>
    <row r="1288" spans="11:15">
      <c r="K1288" s="1473">
        <v>43345</v>
      </c>
      <c r="L1288" s="1474"/>
      <c r="M1288" s="1475">
        <v>0</v>
      </c>
      <c r="N1288" s="1476">
        <v>1.4555820568018121</v>
      </c>
      <c r="O1288" s="1476"/>
    </row>
    <row r="1289" spans="11:15">
      <c r="K1289" s="1473">
        <v>43346</v>
      </c>
      <c r="L1289" s="1474" t="s">
        <v>2123</v>
      </c>
      <c r="M1289" s="1475">
        <v>2.462E-2</v>
      </c>
      <c r="N1289" s="1476">
        <v>1.4559404211041969</v>
      </c>
      <c r="O1289" s="1476"/>
    </row>
    <row r="1290" spans="11:15">
      <c r="K1290" s="1473">
        <v>43347</v>
      </c>
      <c r="L1290" s="1474" t="s">
        <v>2123</v>
      </c>
      <c r="M1290" s="1475">
        <v>2.462E-2</v>
      </c>
      <c r="N1290" s="1476">
        <v>1.4562988736358728</v>
      </c>
      <c r="O1290" s="1476"/>
    </row>
    <row r="1291" spans="11:15">
      <c r="K1291" s="1473">
        <v>43348</v>
      </c>
      <c r="L1291" s="1474" t="s">
        <v>2123</v>
      </c>
      <c r="M1291" s="1475">
        <v>2.462E-2</v>
      </c>
      <c r="N1291" s="1476">
        <v>1.4566574144185622</v>
      </c>
      <c r="O1291" s="1476"/>
    </row>
    <row r="1292" spans="11:15">
      <c r="K1292" s="1473">
        <v>43349</v>
      </c>
      <c r="L1292" s="1474" t="s">
        <v>2123</v>
      </c>
      <c r="M1292" s="1475">
        <v>2.462E-2</v>
      </c>
      <c r="N1292" s="1476">
        <v>1.4570160434739923</v>
      </c>
      <c r="O1292" s="1476"/>
    </row>
    <row r="1293" spans="11:15">
      <c r="K1293" s="1473">
        <v>43350</v>
      </c>
      <c r="L1293" s="1474"/>
      <c r="M1293" s="1475">
        <v>0</v>
      </c>
      <c r="N1293" s="1476">
        <v>1.4570160434739923</v>
      </c>
      <c r="O1293" s="1476"/>
    </row>
    <row r="1294" spans="11:15">
      <c r="K1294" s="1473">
        <v>43351</v>
      </c>
      <c r="L1294" s="1474"/>
      <c r="M1294" s="1475">
        <v>0</v>
      </c>
      <c r="N1294" s="1476">
        <v>1.4570160434739923</v>
      </c>
      <c r="O1294" s="1476"/>
    </row>
    <row r="1295" spans="11:15">
      <c r="K1295" s="1473">
        <v>43352</v>
      </c>
      <c r="L1295" s="1474"/>
      <c r="M1295" s="1475">
        <v>0</v>
      </c>
      <c r="N1295" s="1476">
        <v>1.4570160434739923</v>
      </c>
      <c r="O1295" s="1476"/>
    </row>
    <row r="1296" spans="11:15">
      <c r="K1296" s="1473">
        <v>43353</v>
      </c>
      <c r="L1296" s="1474" t="s">
        <v>2123</v>
      </c>
      <c r="M1296" s="1475">
        <v>2.462E-2</v>
      </c>
      <c r="N1296" s="1476">
        <v>1.4573747608238956</v>
      </c>
      <c r="O1296" s="1476"/>
    </row>
    <row r="1297" spans="11:15">
      <c r="K1297" s="1473">
        <v>43354</v>
      </c>
      <c r="L1297" s="1474" t="s">
        <v>2123</v>
      </c>
      <c r="M1297" s="1475">
        <v>2.462E-2</v>
      </c>
      <c r="N1297" s="1476">
        <v>1.4577335664900106</v>
      </c>
      <c r="O1297" s="1476"/>
    </row>
    <row r="1298" spans="11:15">
      <c r="K1298" s="1473">
        <v>43355</v>
      </c>
      <c r="L1298" s="1474" t="s">
        <v>2123</v>
      </c>
      <c r="M1298" s="1475">
        <v>2.462E-2</v>
      </c>
      <c r="N1298" s="1476">
        <v>1.4580924604940806</v>
      </c>
      <c r="O1298" s="1476"/>
    </row>
    <row r="1299" spans="11:15">
      <c r="K1299" s="1473">
        <v>43356</v>
      </c>
      <c r="L1299" s="1474" t="s">
        <v>2123</v>
      </c>
      <c r="M1299" s="1475">
        <v>2.462E-2</v>
      </c>
      <c r="N1299" s="1476">
        <v>1.4584514428578543</v>
      </c>
      <c r="O1299" s="1476"/>
    </row>
    <row r="1300" spans="11:15">
      <c r="K1300" s="1473">
        <v>43357</v>
      </c>
      <c r="L1300" s="1474" t="s">
        <v>2123</v>
      </c>
      <c r="M1300" s="1475">
        <v>2.462E-2</v>
      </c>
      <c r="N1300" s="1476">
        <v>1.458810513603086</v>
      </c>
      <c r="O1300" s="1476"/>
    </row>
    <row r="1301" spans="11:15">
      <c r="K1301" s="1473">
        <v>43358</v>
      </c>
      <c r="L1301" s="1474"/>
      <c r="M1301" s="1475">
        <v>0</v>
      </c>
      <c r="N1301" s="1476">
        <v>1.458810513603086</v>
      </c>
      <c r="O1301" s="1476"/>
    </row>
    <row r="1302" spans="11:15">
      <c r="K1302" s="1473">
        <v>43359</v>
      </c>
      <c r="L1302" s="1474"/>
      <c r="M1302" s="1475">
        <v>0</v>
      </c>
      <c r="N1302" s="1476">
        <v>1.458810513603086</v>
      </c>
      <c r="O1302" s="1476"/>
    </row>
    <row r="1303" spans="11:15">
      <c r="K1303" s="1473">
        <v>43360</v>
      </c>
      <c r="L1303" s="1474" t="s">
        <v>2123</v>
      </c>
      <c r="M1303" s="1475">
        <v>2.462E-2</v>
      </c>
      <c r="N1303" s="1476">
        <v>1.4591696727515353</v>
      </c>
      <c r="O1303" s="1476"/>
    </row>
    <row r="1304" spans="11:15">
      <c r="K1304" s="1473">
        <v>43361</v>
      </c>
      <c r="L1304" s="1474" t="s">
        <v>2123</v>
      </c>
      <c r="M1304" s="1475">
        <v>2.462E-2</v>
      </c>
      <c r="N1304" s="1476">
        <v>1.4595289203249668</v>
      </c>
      <c r="O1304" s="1476"/>
    </row>
    <row r="1305" spans="11:15">
      <c r="K1305" s="1473">
        <v>43362</v>
      </c>
      <c r="L1305" s="1474" t="s">
        <v>2123</v>
      </c>
      <c r="M1305" s="1475">
        <v>2.462E-2</v>
      </c>
      <c r="N1305" s="1476">
        <v>1.459888256345151</v>
      </c>
      <c r="O1305" s="1476"/>
    </row>
    <row r="1306" spans="11:15">
      <c r="K1306" s="1473">
        <v>43363</v>
      </c>
      <c r="L1306" s="1474" t="s">
        <v>2123</v>
      </c>
      <c r="M1306" s="1475">
        <v>2.462E-2</v>
      </c>
      <c r="N1306" s="1476">
        <v>1.4602476808338634</v>
      </c>
      <c r="O1306" s="1476"/>
    </row>
    <row r="1307" spans="11:15">
      <c r="K1307" s="1473">
        <v>43364</v>
      </c>
      <c r="L1307" s="1474" t="s">
        <v>2123</v>
      </c>
      <c r="M1307" s="1475">
        <v>2.462E-2</v>
      </c>
      <c r="N1307" s="1476">
        <v>1.4606071938128848</v>
      </c>
      <c r="O1307" s="1476"/>
    </row>
    <row r="1308" spans="11:15">
      <c r="K1308" s="1473">
        <v>43365</v>
      </c>
      <c r="L1308" s="1474"/>
      <c r="M1308" s="1475">
        <v>0</v>
      </c>
      <c r="N1308" s="1476">
        <v>1.4606071938128848</v>
      </c>
      <c r="O1308" s="1476"/>
    </row>
    <row r="1309" spans="11:15">
      <c r="K1309" s="1473">
        <v>43366</v>
      </c>
      <c r="L1309" s="1474"/>
      <c r="M1309" s="1475">
        <v>0</v>
      </c>
      <c r="N1309" s="1476">
        <v>1.4606071938128848</v>
      </c>
      <c r="O1309" s="1476"/>
    </row>
    <row r="1310" spans="11:15">
      <c r="K1310" s="1473">
        <v>43367</v>
      </c>
      <c r="L1310" s="1474" t="s">
        <v>2123</v>
      </c>
      <c r="M1310" s="1475">
        <v>2.462E-2</v>
      </c>
      <c r="N1310" s="1476">
        <v>1.4609667953040018</v>
      </c>
      <c r="O1310" s="1476"/>
    </row>
    <row r="1311" spans="11:15">
      <c r="K1311" s="1473">
        <v>43368</v>
      </c>
      <c r="L1311" s="1474" t="s">
        <v>2123</v>
      </c>
      <c r="M1311" s="1475">
        <v>2.462E-2</v>
      </c>
      <c r="N1311" s="1476">
        <v>1.4613264853290058</v>
      </c>
      <c r="O1311" s="1476"/>
    </row>
    <row r="1312" spans="11:15">
      <c r="K1312" s="1473">
        <v>43369</v>
      </c>
      <c r="L1312" s="1474" t="s">
        <v>2123</v>
      </c>
      <c r="M1312" s="1475">
        <v>2.462E-2</v>
      </c>
      <c r="N1312" s="1476">
        <v>1.4616862639096939</v>
      </c>
      <c r="O1312" s="1476"/>
    </row>
    <row r="1313" spans="11:15">
      <c r="K1313" s="1473">
        <v>43370</v>
      </c>
      <c r="L1313" s="1474" t="s">
        <v>2123</v>
      </c>
      <c r="M1313" s="1475">
        <v>2.462E-2</v>
      </c>
      <c r="N1313" s="1476">
        <v>1.4620461310678685</v>
      </c>
      <c r="O1313" s="1476"/>
    </row>
    <row r="1314" spans="11:15">
      <c r="K1314" s="1473">
        <v>43371</v>
      </c>
      <c r="L1314" s="1474" t="s">
        <v>2123</v>
      </c>
      <c r="M1314" s="1475">
        <v>2.462E-2</v>
      </c>
      <c r="N1314" s="1476">
        <v>1.4624060868253375</v>
      </c>
      <c r="O1314" s="1476"/>
    </row>
    <row r="1315" spans="11:15">
      <c r="K1315" s="1473">
        <v>43372</v>
      </c>
      <c r="L1315" s="1474"/>
      <c r="M1315" s="1475">
        <v>0</v>
      </c>
      <c r="N1315" s="1476">
        <v>1.4624060868253375</v>
      </c>
      <c r="O1315" s="1476"/>
    </row>
    <row r="1316" spans="11:15">
      <c r="K1316" s="1473">
        <v>43373</v>
      </c>
      <c r="L1316" s="1474"/>
      <c r="M1316" s="1475">
        <v>0</v>
      </c>
      <c r="N1316" s="1476">
        <v>1.4624060868253375</v>
      </c>
      <c r="O1316" s="1476"/>
    </row>
    <row r="1317" spans="11:15">
      <c r="K1317" s="1473">
        <v>43374</v>
      </c>
      <c r="L1317" s="1474" t="s">
        <v>2123</v>
      </c>
      <c r="M1317" s="1475">
        <v>2.462E-2</v>
      </c>
      <c r="N1317" s="1476">
        <v>1.462766131203914</v>
      </c>
      <c r="O1317" s="1476"/>
    </row>
    <row r="1318" spans="11:15">
      <c r="K1318" s="1473">
        <v>43375</v>
      </c>
      <c r="L1318" s="1474" t="s">
        <v>2123</v>
      </c>
      <c r="M1318" s="1475">
        <v>2.462E-2</v>
      </c>
      <c r="N1318" s="1476">
        <v>1.4631262642254166</v>
      </c>
      <c r="O1318" s="1476"/>
    </row>
    <row r="1319" spans="11:15">
      <c r="K1319" s="1473">
        <v>43376</v>
      </c>
      <c r="L1319" s="1474" t="s">
        <v>2123</v>
      </c>
      <c r="M1319" s="1475">
        <v>2.462E-2</v>
      </c>
      <c r="N1319" s="1476">
        <v>1.463486485911669</v>
      </c>
      <c r="O1319" s="1476"/>
    </row>
    <row r="1320" spans="11:15">
      <c r="K1320" s="1473">
        <v>43377</v>
      </c>
      <c r="L1320" s="1474" t="s">
        <v>2123</v>
      </c>
      <c r="M1320" s="1475">
        <v>2.462E-2</v>
      </c>
      <c r="N1320" s="1476">
        <v>1.4638467962845005</v>
      </c>
      <c r="O1320" s="1476"/>
    </row>
    <row r="1321" spans="11:15">
      <c r="K1321" s="1473">
        <v>43378</v>
      </c>
      <c r="L1321" s="1474" t="s">
        <v>2123</v>
      </c>
      <c r="M1321" s="1475">
        <v>2.462E-2</v>
      </c>
      <c r="N1321" s="1476">
        <v>1.4642071953657458</v>
      </c>
      <c r="O1321" s="1476"/>
    </row>
    <row r="1322" spans="11:15">
      <c r="K1322" s="1473">
        <v>43379</v>
      </c>
      <c r="L1322" s="1474"/>
      <c r="M1322" s="1475">
        <v>0</v>
      </c>
      <c r="N1322" s="1476">
        <v>1.4642071953657458</v>
      </c>
      <c r="O1322" s="1476"/>
    </row>
    <row r="1323" spans="11:15">
      <c r="K1323" s="1473">
        <v>43380</v>
      </c>
      <c r="L1323" s="1474"/>
      <c r="M1323" s="1475">
        <v>0</v>
      </c>
      <c r="N1323" s="1476">
        <v>1.4642071953657458</v>
      </c>
      <c r="O1323" s="1476"/>
    </row>
    <row r="1324" spans="11:15">
      <c r="K1324" s="1473">
        <v>43381</v>
      </c>
      <c r="L1324" s="1474" t="s">
        <v>2123</v>
      </c>
      <c r="M1324" s="1475">
        <v>2.462E-2</v>
      </c>
      <c r="N1324" s="1476">
        <v>1.4645676831772449</v>
      </c>
      <c r="O1324" s="1476"/>
    </row>
    <row r="1325" spans="11:15">
      <c r="K1325" s="1473">
        <v>43382</v>
      </c>
      <c r="L1325" s="1474" t="s">
        <v>2123</v>
      </c>
      <c r="M1325" s="1475">
        <v>2.462E-2</v>
      </c>
      <c r="N1325" s="1476">
        <v>1.4649282597408433</v>
      </c>
      <c r="O1325" s="1476"/>
    </row>
    <row r="1326" spans="11:15">
      <c r="K1326" s="1473">
        <v>43383</v>
      </c>
      <c r="L1326" s="1474" t="s">
        <v>2123</v>
      </c>
      <c r="M1326" s="1475">
        <v>2.462E-2</v>
      </c>
      <c r="N1326" s="1476">
        <v>1.4652889250783916</v>
      </c>
      <c r="O1326" s="1476"/>
    </row>
    <row r="1327" spans="11:15">
      <c r="K1327" s="1473">
        <v>43384</v>
      </c>
      <c r="L1327" s="1474" t="s">
        <v>2123</v>
      </c>
      <c r="M1327" s="1475">
        <v>2.462E-2</v>
      </c>
      <c r="N1327" s="1476">
        <v>1.4656496792117459</v>
      </c>
      <c r="O1327" s="1476"/>
    </row>
    <row r="1328" spans="11:15">
      <c r="K1328" s="1473">
        <v>43385</v>
      </c>
      <c r="L1328" s="1474"/>
      <c r="M1328" s="1475">
        <v>0</v>
      </c>
      <c r="N1328" s="1476">
        <v>1.4656496792117459</v>
      </c>
      <c r="O1328" s="1476"/>
    </row>
    <row r="1329" spans="11:15">
      <c r="K1329" s="1473">
        <v>43386</v>
      </c>
      <c r="L1329" s="1474"/>
      <c r="M1329" s="1475">
        <v>0</v>
      </c>
      <c r="N1329" s="1476">
        <v>1.4656496792117459</v>
      </c>
      <c r="O1329" s="1476"/>
    </row>
    <row r="1330" spans="11:15">
      <c r="K1330" s="1473">
        <v>43387</v>
      </c>
      <c r="L1330" s="1474"/>
      <c r="M1330" s="1475">
        <v>0</v>
      </c>
      <c r="N1330" s="1476">
        <v>1.4656496792117459</v>
      </c>
      <c r="O1330" s="1476"/>
    </row>
    <row r="1331" spans="11:15">
      <c r="K1331" s="1473">
        <v>43388</v>
      </c>
      <c r="L1331" s="1474" t="s">
        <v>2123</v>
      </c>
      <c r="M1331" s="1475">
        <v>2.462E-2</v>
      </c>
      <c r="N1331" s="1476">
        <v>1.4660105221627679</v>
      </c>
      <c r="O1331" s="1476"/>
    </row>
    <row r="1332" spans="11:15">
      <c r="K1332" s="1473">
        <v>43389</v>
      </c>
      <c r="L1332" s="1474" t="s">
        <v>2123</v>
      </c>
      <c r="M1332" s="1475">
        <v>2.462E-2</v>
      </c>
      <c r="N1332" s="1476">
        <v>1.4663714539533246</v>
      </c>
      <c r="O1332" s="1476"/>
    </row>
    <row r="1333" spans="11:15">
      <c r="K1333" s="1473">
        <v>43390</v>
      </c>
      <c r="L1333" s="1474" t="s">
        <v>2123</v>
      </c>
      <c r="M1333" s="1475">
        <v>2.462E-2</v>
      </c>
      <c r="N1333" s="1476">
        <v>1.4667324746052881</v>
      </c>
      <c r="O1333" s="1476"/>
    </row>
    <row r="1334" spans="11:15">
      <c r="K1334" s="1473">
        <v>43391</v>
      </c>
      <c r="L1334" s="1474" t="s">
        <v>2123</v>
      </c>
      <c r="M1334" s="1475">
        <v>2.462E-2</v>
      </c>
      <c r="N1334" s="1476">
        <v>1.4670935841405361</v>
      </c>
      <c r="O1334" s="1476"/>
    </row>
    <row r="1335" spans="11:15">
      <c r="K1335" s="1473">
        <v>43392</v>
      </c>
      <c r="L1335" s="1474" t="s">
        <v>2123</v>
      </c>
      <c r="M1335" s="1475">
        <v>2.462E-2</v>
      </c>
      <c r="N1335" s="1476">
        <v>1.4674547825809516</v>
      </c>
      <c r="O1335" s="1476"/>
    </row>
    <row r="1336" spans="11:15">
      <c r="K1336" s="1473">
        <v>43393</v>
      </c>
      <c r="L1336" s="1474"/>
      <c r="M1336" s="1475">
        <v>0</v>
      </c>
      <c r="N1336" s="1476">
        <v>1.4674547825809516</v>
      </c>
      <c r="O1336" s="1476"/>
    </row>
    <row r="1337" spans="11:15">
      <c r="K1337" s="1473">
        <v>43394</v>
      </c>
      <c r="L1337" s="1474"/>
      <c r="M1337" s="1475">
        <v>0</v>
      </c>
      <c r="N1337" s="1476">
        <v>1.4674547825809516</v>
      </c>
      <c r="O1337" s="1476"/>
    </row>
    <row r="1338" spans="11:15">
      <c r="K1338" s="1473">
        <v>43395</v>
      </c>
      <c r="L1338" s="1474" t="s">
        <v>2123</v>
      </c>
      <c r="M1338" s="1475">
        <v>2.462E-2</v>
      </c>
      <c r="N1338" s="1476">
        <v>1.4678160699484233</v>
      </c>
      <c r="O1338" s="1476"/>
    </row>
    <row r="1339" spans="11:15">
      <c r="K1339" s="1473">
        <v>43396</v>
      </c>
      <c r="L1339" s="1474" t="s">
        <v>2123</v>
      </c>
      <c r="M1339" s="1475">
        <v>2.462E-2</v>
      </c>
      <c r="N1339" s="1476">
        <v>1.4681774462648447</v>
      </c>
      <c r="O1339" s="1476"/>
    </row>
    <row r="1340" spans="11:15">
      <c r="K1340" s="1473">
        <v>43397</v>
      </c>
      <c r="L1340" s="1474" t="s">
        <v>2123</v>
      </c>
      <c r="M1340" s="1475">
        <v>2.462E-2</v>
      </c>
      <c r="N1340" s="1476">
        <v>1.4685389115521152</v>
      </c>
      <c r="O1340" s="1476"/>
    </row>
    <row r="1341" spans="11:15">
      <c r="K1341" s="1473">
        <v>43398</v>
      </c>
      <c r="L1341" s="1474" t="s">
        <v>2123</v>
      </c>
      <c r="M1341" s="1475">
        <v>2.462E-2</v>
      </c>
      <c r="N1341" s="1476">
        <v>1.4689004658321394</v>
      </c>
      <c r="O1341" s="1476"/>
    </row>
    <row r="1342" spans="11:15">
      <c r="K1342" s="1473">
        <v>43399</v>
      </c>
      <c r="L1342" s="1474" t="s">
        <v>2123</v>
      </c>
      <c r="M1342" s="1475">
        <v>2.462E-2</v>
      </c>
      <c r="N1342" s="1476">
        <v>1.4692621091268274</v>
      </c>
      <c r="O1342" s="1476"/>
    </row>
    <row r="1343" spans="11:15">
      <c r="K1343" s="1473">
        <v>43400</v>
      </c>
      <c r="L1343" s="1474"/>
      <c r="M1343" s="1475">
        <v>0</v>
      </c>
      <c r="N1343" s="1476">
        <v>1.4692621091268274</v>
      </c>
      <c r="O1343" s="1476"/>
    </row>
    <row r="1344" spans="11:15">
      <c r="K1344" s="1473">
        <v>43401</v>
      </c>
      <c r="L1344" s="1474"/>
      <c r="M1344" s="1475">
        <v>0</v>
      </c>
      <c r="N1344" s="1476">
        <v>1.4692621091268274</v>
      </c>
      <c r="O1344" s="1476"/>
    </row>
    <row r="1345" spans="11:15">
      <c r="K1345" s="1473">
        <v>43402</v>
      </c>
      <c r="L1345" s="1474" t="s">
        <v>2123</v>
      </c>
      <c r="M1345" s="1475">
        <v>2.462E-2</v>
      </c>
      <c r="N1345" s="1476">
        <v>1.4696238414580947</v>
      </c>
      <c r="O1345" s="1476"/>
    </row>
    <row r="1346" spans="11:15">
      <c r="K1346" s="1473">
        <v>43403</v>
      </c>
      <c r="L1346" s="1474" t="s">
        <v>2123</v>
      </c>
      <c r="M1346" s="1475">
        <v>2.462E-2</v>
      </c>
      <c r="N1346" s="1476">
        <v>1.4699856628478618</v>
      </c>
      <c r="O1346" s="1476"/>
    </row>
    <row r="1347" spans="11:15">
      <c r="K1347" s="1473">
        <v>43404</v>
      </c>
      <c r="L1347" s="1474" t="s">
        <v>2123</v>
      </c>
      <c r="M1347" s="1475">
        <v>2.462E-2</v>
      </c>
      <c r="N1347" s="1476">
        <v>1.4703475733180551</v>
      </c>
      <c r="O1347" s="1476"/>
    </row>
    <row r="1348" spans="11:15">
      <c r="K1348" s="1473">
        <v>43405</v>
      </c>
      <c r="L1348" s="1474" t="s">
        <v>2123</v>
      </c>
      <c r="M1348" s="1475">
        <v>2.462E-2</v>
      </c>
      <c r="N1348" s="1476">
        <v>1.4707095728906061</v>
      </c>
      <c r="O1348" s="1476"/>
    </row>
    <row r="1349" spans="11:15">
      <c r="K1349" s="1473">
        <v>43406</v>
      </c>
      <c r="L1349" s="1474"/>
      <c r="M1349" s="1475">
        <v>0</v>
      </c>
      <c r="N1349" s="1476">
        <v>1.4707095728906061</v>
      </c>
      <c r="O1349" s="1476"/>
    </row>
    <row r="1350" spans="11:15">
      <c r="K1350" s="1473">
        <v>43407</v>
      </c>
      <c r="L1350" s="1474"/>
      <c r="M1350" s="1475">
        <v>0</v>
      </c>
      <c r="N1350" s="1476">
        <v>1.4707095728906061</v>
      </c>
      <c r="O1350" s="1476"/>
    </row>
    <row r="1351" spans="11:15">
      <c r="K1351" s="1473">
        <v>43408</v>
      </c>
      <c r="L1351" s="1474"/>
      <c r="M1351" s="1475">
        <v>0</v>
      </c>
      <c r="N1351" s="1476">
        <v>1.4707095728906061</v>
      </c>
      <c r="O1351" s="1476"/>
    </row>
    <row r="1352" spans="11:15">
      <c r="K1352" s="1473">
        <v>43409</v>
      </c>
      <c r="L1352" s="1474" t="s">
        <v>2123</v>
      </c>
      <c r="M1352" s="1475">
        <v>2.462E-2</v>
      </c>
      <c r="N1352" s="1476">
        <v>1.471071661587452</v>
      </c>
      <c r="O1352" s="1476"/>
    </row>
    <row r="1353" spans="11:15">
      <c r="K1353" s="1473">
        <v>43410</v>
      </c>
      <c r="L1353" s="1474" t="s">
        <v>2123</v>
      </c>
      <c r="M1353" s="1475">
        <v>2.462E-2</v>
      </c>
      <c r="N1353" s="1476">
        <v>1.4714338394305349</v>
      </c>
      <c r="O1353" s="1476"/>
    </row>
    <row r="1354" spans="11:15">
      <c r="K1354" s="1473">
        <v>43411</v>
      </c>
      <c r="L1354" s="1474" t="s">
        <v>2123</v>
      </c>
      <c r="M1354" s="1475">
        <v>2.462E-2</v>
      </c>
      <c r="N1354" s="1476">
        <v>1.4717961064418028</v>
      </c>
      <c r="O1354" s="1476"/>
    </row>
    <row r="1355" spans="11:15">
      <c r="K1355" s="1473">
        <v>43412</v>
      </c>
      <c r="L1355" s="1474" t="s">
        <v>2123</v>
      </c>
      <c r="M1355" s="1475">
        <v>2.462E-2</v>
      </c>
      <c r="N1355" s="1476">
        <v>1.4721584626432089</v>
      </c>
      <c r="O1355" s="1476"/>
    </row>
    <row r="1356" spans="11:15">
      <c r="K1356" s="1473">
        <v>43413</v>
      </c>
      <c r="L1356" s="1474" t="s">
        <v>2123</v>
      </c>
      <c r="M1356" s="1475">
        <v>2.462E-2</v>
      </c>
      <c r="N1356" s="1476">
        <v>1.4725209080567119</v>
      </c>
      <c r="O1356" s="1476"/>
    </row>
    <row r="1357" spans="11:15">
      <c r="K1357" s="1473">
        <v>43414</v>
      </c>
      <c r="L1357" s="1474"/>
      <c r="M1357" s="1475">
        <v>0</v>
      </c>
      <c r="N1357" s="1476">
        <v>1.4725209080567119</v>
      </c>
      <c r="O1357" s="1476"/>
    </row>
    <row r="1358" spans="11:15">
      <c r="K1358" s="1473">
        <v>43415</v>
      </c>
      <c r="L1358" s="1474"/>
      <c r="M1358" s="1475">
        <v>0</v>
      </c>
      <c r="N1358" s="1476">
        <v>1.4725209080567119</v>
      </c>
      <c r="O1358" s="1476"/>
    </row>
    <row r="1359" spans="11:15">
      <c r="K1359" s="1473">
        <v>43416</v>
      </c>
      <c r="L1359" s="1474" t="s">
        <v>2123</v>
      </c>
      <c r="M1359" s="1475">
        <v>2.462E-2</v>
      </c>
      <c r="N1359" s="1476">
        <v>1.4728834427042756</v>
      </c>
      <c r="O1359" s="1476"/>
    </row>
    <row r="1360" spans="11:15">
      <c r="K1360" s="1473">
        <v>43417</v>
      </c>
      <c r="L1360" s="1474" t="s">
        <v>2123</v>
      </c>
      <c r="M1360" s="1475">
        <v>2.462E-2</v>
      </c>
      <c r="N1360" s="1476">
        <v>1.4732460666078695</v>
      </c>
      <c r="O1360" s="1476"/>
    </row>
    <row r="1361" spans="11:15">
      <c r="K1361" s="1473">
        <v>43418</v>
      </c>
      <c r="L1361" s="1474" t="s">
        <v>2123</v>
      </c>
      <c r="M1361" s="1475">
        <v>2.462E-2</v>
      </c>
      <c r="N1361" s="1476">
        <v>1.4736087797894686</v>
      </c>
      <c r="O1361" s="1476"/>
    </row>
    <row r="1362" spans="11:15">
      <c r="K1362" s="1473">
        <v>43419</v>
      </c>
      <c r="L1362" s="1474"/>
      <c r="M1362" s="1475">
        <v>0</v>
      </c>
      <c r="N1362" s="1476">
        <v>1.4736087797894686</v>
      </c>
      <c r="O1362" s="1476"/>
    </row>
    <row r="1363" spans="11:15">
      <c r="K1363" s="1473">
        <v>43420</v>
      </c>
      <c r="L1363" s="1474" t="s">
        <v>2123</v>
      </c>
      <c r="M1363" s="1475">
        <v>2.462E-2</v>
      </c>
      <c r="N1363" s="1476">
        <v>1.4739715822710528</v>
      </c>
      <c r="O1363" s="1476"/>
    </row>
    <row r="1364" spans="11:15">
      <c r="K1364" s="1473">
        <v>43421</v>
      </c>
      <c r="L1364" s="1474"/>
      <c r="M1364" s="1475">
        <v>0</v>
      </c>
      <c r="N1364" s="1476">
        <v>1.4739715822710528</v>
      </c>
      <c r="O1364" s="1476"/>
    </row>
    <row r="1365" spans="11:15">
      <c r="K1365" s="1473">
        <v>43422</v>
      </c>
      <c r="L1365" s="1474"/>
      <c r="M1365" s="1475">
        <v>0</v>
      </c>
      <c r="N1365" s="1476">
        <v>1.4739715822710528</v>
      </c>
      <c r="O1365" s="1476"/>
    </row>
    <row r="1366" spans="11:15">
      <c r="K1366" s="1473">
        <v>43423</v>
      </c>
      <c r="L1366" s="1474" t="s">
        <v>2123</v>
      </c>
      <c r="M1366" s="1475">
        <v>2.462E-2</v>
      </c>
      <c r="N1366" s="1476">
        <v>1.474334474074608</v>
      </c>
      <c r="O1366" s="1476"/>
    </row>
    <row r="1367" spans="11:15">
      <c r="K1367" s="1473">
        <v>43424</v>
      </c>
      <c r="L1367" s="1474" t="s">
        <v>2123</v>
      </c>
      <c r="M1367" s="1475">
        <v>2.462E-2</v>
      </c>
      <c r="N1367" s="1476">
        <v>1.4746974552221253</v>
      </c>
      <c r="O1367" s="1476"/>
    </row>
    <row r="1368" spans="11:15">
      <c r="K1368" s="1473">
        <v>43425</v>
      </c>
      <c r="L1368" s="1474" t="s">
        <v>2123</v>
      </c>
      <c r="M1368" s="1475">
        <v>2.462E-2</v>
      </c>
      <c r="N1368" s="1476">
        <v>1.4750605257356011</v>
      </c>
      <c r="O1368" s="1476"/>
    </row>
    <row r="1369" spans="11:15">
      <c r="K1369" s="1473">
        <v>43426</v>
      </c>
      <c r="L1369" s="1474" t="s">
        <v>2123</v>
      </c>
      <c r="M1369" s="1475">
        <v>2.462E-2</v>
      </c>
      <c r="N1369" s="1476">
        <v>1.4754236856370373</v>
      </c>
      <c r="O1369" s="1476"/>
    </row>
    <row r="1370" spans="11:15">
      <c r="K1370" s="1473">
        <v>43427</v>
      </c>
      <c r="L1370" s="1474" t="s">
        <v>2123</v>
      </c>
      <c r="M1370" s="1475">
        <v>2.462E-2</v>
      </c>
      <c r="N1370" s="1476">
        <v>1.4757869349484412</v>
      </c>
      <c r="O1370" s="1476"/>
    </row>
    <row r="1371" spans="11:15">
      <c r="K1371" s="1473">
        <v>43428</v>
      </c>
      <c r="L1371" s="1474"/>
      <c r="M1371" s="1475">
        <v>0</v>
      </c>
      <c r="N1371" s="1476">
        <v>1.4757869349484412</v>
      </c>
      <c r="O1371" s="1476"/>
    </row>
    <row r="1372" spans="11:15">
      <c r="K1372" s="1473">
        <v>43429</v>
      </c>
      <c r="L1372" s="1474"/>
      <c r="M1372" s="1475">
        <v>0</v>
      </c>
      <c r="N1372" s="1476">
        <v>1.4757869349484412</v>
      </c>
      <c r="O1372" s="1476"/>
    </row>
    <row r="1373" spans="11:15">
      <c r="K1373" s="1473">
        <v>43430</v>
      </c>
      <c r="L1373" s="1474" t="s">
        <v>2123</v>
      </c>
      <c r="M1373" s="1475">
        <v>2.462E-2</v>
      </c>
      <c r="N1373" s="1476">
        <v>1.4761502736918255</v>
      </c>
      <c r="O1373" s="1476"/>
    </row>
    <row r="1374" spans="11:15">
      <c r="K1374" s="1473">
        <v>43431</v>
      </c>
      <c r="L1374" s="1474" t="s">
        <v>2123</v>
      </c>
      <c r="M1374" s="1475">
        <v>2.462E-2</v>
      </c>
      <c r="N1374" s="1476">
        <v>1.4765137018892085</v>
      </c>
      <c r="O1374" s="1476"/>
    </row>
    <row r="1375" spans="11:15">
      <c r="K1375" s="1473">
        <v>43432</v>
      </c>
      <c r="L1375" s="1474" t="s">
        <v>2123</v>
      </c>
      <c r="M1375" s="1475">
        <v>2.462E-2</v>
      </c>
      <c r="N1375" s="1476">
        <v>1.4768772195626136</v>
      </c>
      <c r="O1375" s="1476"/>
    </row>
    <row r="1376" spans="11:15">
      <c r="K1376" s="1473">
        <v>43433</v>
      </c>
      <c r="L1376" s="1474" t="s">
        <v>2123</v>
      </c>
      <c r="M1376" s="1475">
        <v>2.462E-2</v>
      </c>
      <c r="N1376" s="1476">
        <v>1.47724082673407</v>
      </c>
      <c r="O1376" s="1476"/>
    </row>
    <row r="1377" spans="11:15">
      <c r="K1377" s="1473">
        <v>43434</v>
      </c>
      <c r="L1377" s="1474" t="s">
        <v>2123</v>
      </c>
      <c r="M1377" s="1475">
        <v>2.462E-2</v>
      </c>
      <c r="N1377" s="1476">
        <v>1.4776045234256121</v>
      </c>
      <c r="O1377" s="1476"/>
    </row>
    <row r="1378" spans="11:15">
      <c r="K1378" s="1473">
        <v>43435</v>
      </c>
      <c r="L1378" s="1474"/>
      <c r="M1378" s="1475">
        <v>0</v>
      </c>
      <c r="N1378" s="1476">
        <v>1.4776045234256121</v>
      </c>
      <c r="O1378" s="1476"/>
    </row>
    <row r="1379" spans="11:15">
      <c r="K1379" s="1473">
        <v>43436</v>
      </c>
      <c r="L1379" s="1474"/>
      <c r="M1379" s="1475">
        <v>0</v>
      </c>
      <c r="N1379" s="1476">
        <v>1.4776045234256121</v>
      </c>
      <c r="O1379" s="1476"/>
    </row>
    <row r="1380" spans="11:15">
      <c r="K1380" s="1473">
        <v>43437</v>
      </c>
      <c r="L1380" s="1474" t="s">
        <v>2123</v>
      </c>
      <c r="M1380" s="1475">
        <v>2.462E-2</v>
      </c>
      <c r="N1380" s="1476">
        <v>1.4779683096592797</v>
      </c>
      <c r="O1380" s="1476"/>
    </row>
    <row r="1381" spans="11:15">
      <c r="K1381" s="1473">
        <v>43438</v>
      </c>
      <c r="L1381" s="1474" t="s">
        <v>2123</v>
      </c>
      <c r="M1381" s="1475">
        <v>2.462E-2</v>
      </c>
      <c r="N1381" s="1476">
        <v>1.4783321854571179</v>
      </c>
      <c r="O1381" s="1476"/>
    </row>
    <row r="1382" spans="11:15">
      <c r="K1382" s="1473">
        <v>43439</v>
      </c>
      <c r="L1382" s="1474" t="s">
        <v>2123</v>
      </c>
      <c r="M1382" s="1475">
        <v>2.462E-2</v>
      </c>
      <c r="N1382" s="1476">
        <v>1.4786961508411776</v>
      </c>
      <c r="O1382" s="1476"/>
    </row>
    <row r="1383" spans="11:15">
      <c r="K1383" s="1473">
        <v>43440</v>
      </c>
      <c r="L1383" s="1474" t="s">
        <v>2123</v>
      </c>
      <c r="M1383" s="1475">
        <v>2.462E-2</v>
      </c>
      <c r="N1383" s="1476">
        <v>1.4790602058335147</v>
      </c>
      <c r="O1383" s="1476"/>
    </row>
    <row r="1384" spans="11:15">
      <c r="K1384" s="1473">
        <v>43441</v>
      </c>
      <c r="L1384" s="1474" t="s">
        <v>2123</v>
      </c>
      <c r="M1384" s="1475">
        <v>2.462E-2</v>
      </c>
      <c r="N1384" s="1476">
        <v>1.479424350456191</v>
      </c>
      <c r="O1384" s="1476"/>
    </row>
    <row r="1385" spans="11:15">
      <c r="K1385" s="1473">
        <v>43442</v>
      </c>
      <c r="L1385" s="1474"/>
      <c r="M1385" s="1475">
        <v>0</v>
      </c>
      <c r="N1385" s="1476">
        <v>1.479424350456191</v>
      </c>
      <c r="O1385" s="1476"/>
    </row>
    <row r="1386" spans="11:15">
      <c r="K1386" s="1473">
        <v>43443</v>
      </c>
      <c r="L1386" s="1474"/>
      <c r="M1386" s="1475">
        <v>0</v>
      </c>
      <c r="N1386" s="1476">
        <v>1.479424350456191</v>
      </c>
      <c r="O1386" s="1476"/>
    </row>
    <row r="1387" spans="11:15">
      <c r="K1387" s="1473">
        <v>43444</v>
      </c>
      <c r="L1387" s="1474" t="s">
        <v>2123</v>
      </c>
      <c r="M1387" s="1475">
        <v>2.462E-2</v>
      </c>
      <c r="N1387" s="1476">
        <v>1.4797885847312735</v>
      </c>
      <c r="O1387" s="1476"/>
    </row>
    <row r="1388" spans="11:15">
      <c r="K1388" s="1473">
        <v>43445</v>
      </c>
      <c r="L1388" s="1474" t="s">
        <v>2123</v>
      </c>
      <c r="M1388" s="1475">
        <v>2.462E-2</v>
      </c>
      <c r="N1388" s="1476">
        <v>1.4801529086808345</v>
      </c>
      <c r="O1388" s="1476"/>
    </row>
    <row r="1389" spans="11:15">
      <c r="K1389" s="1473">
        <v>43446</v>
      </c>
      <c r="L1389" s="1474" t="s">
        <v>2123</v>
      </c>
      <c r="M1389" s="1475">
        <v>2.462E-2</v>
      </c>
      <c r="N1389" s="1476">
        <v>1.4805173223269519</v>
      </c>
      <c r="O1389" s="1476"/>
    </row>
    <row r="1390" spans="11:15">
      <c r="K1390" s="1473">
        <v>43447</v>
      </c>
      <c r="L1390" s="1474" t="s">
        <v>2123</v>
      </c>
      <c r="M1390" s="1475">
        <v>2.462E-2</v>
      </c>
      <c r="N1390" s="1476">
        <v>1.4808818256917089</v>
      </c>
      <c r="O1390" s="1476"/>
    </row>
    <row r="1391" spans="11:15">
      <c r="K1391" s="1473">
        <v>43448</v>
      </c>
      <c r="L1391" s="1474" t="s">
        <v>2123</v>
      </c>
      <c r="M1391" s="1475">
        <v>2.462E-2</v>
      </c>
      <c r="N1391" s="1476">
        <v>1.4812464187971943</v>
      </c>
      <c r="O1391" s="1476"/>
    </row>
    <row r="1392" spans="11:15">
      <c r="K1392" s="1473">
        <v>43449</v>
      </c>
      <c r="L1392" s="1474"/>
      <c r="M1392" s="1475">
        <v>0</v>
      </c>
      <c r="N1392" s="1476">
        <v>1.4812464187971943</v>
      </c>
      <c r="O1392" s="1476"/>
    </row>
    <row r="1393" spans="11:15">
      <c r="K1393" s="1473">
        <v>43450</v>
      </c>
      <c r="L1393" s="1474"/>
      <c r="M1393" s="1475">
        <v>0</v>
      </c>
      <c r="N1393" s="1476">
        <v>1.4812464187971943</v>
      </c>
      <c r="O1393" s="1476"/>
    </row>
    <row r="1394" spans="11:15">
      <c r="K1394" s="1473">
        <v>43451</v>
      </c>
      <c r="L1394" s="1474" t="s">
        <v>2123</v>
      </c>
      <c r="M1394" s="1475">
        <v>2.462E-2</v>
      </c>
      <c r="N1394" s="1476">
        <v>1.4816111016655023</v>
      </c>
      <c r="O1394" s="1476"/>
    </row>
    <row r="1395" spans="11:15">
      <c r="K1395" s="1473">
        <v>43452</v>
      </c>
      <c r="L1395" s="1474" t="s">
        <v>2123</v>
      </c>
      <c r="M1395" s="1475">
        <v>2.462E-2</v>
      </c>
      <c r="N1395" s="1476">
        <v>1.4819758743187323</v>
      </c>
      <c r="O1395" s="1476"/>
    </row>
    <row r="1396" spans="11:15">
      <c r="K1396" s="1473">
        <v>43453</v>
      </c>
      <c r="L1396" s="1474" t="s">
        <v>2123</v>
      </c>
      <c r="M1396" s="1475">
        <v>2.462E-2</v>
      </c>
      <c r="N1396" s="1476">
        <v>1.4823407367789898</v>
      </c>
      <c r="O1396" s="1476"/>
    </row>
    <row r="1397" spans="11:15">
      <c r="K1397" s="1473">
        <v>43454</v>
      </c>
      <c r="L1397" s="1474" t="s">
        <v>2123</v>
      </c>
      <c r="M1397" s="1475">
        <v>2.462E-2</v>
      </c>
      <c r="N1397" s="1476">
        <v>1.482705689068385</v>
      </c>
      <c r="O1397" s="1476"/>
    </row>
    <row r="1398" spans="11:15">
      <c r="K1398" s="1473">
        <v>43455</v>
      </c>
      <c r="L1398" s="1474" t="s">
        <v>2123</v>
      </c>
      <c r="M1398" s="1475">
        <v>2.462E-2</v>
      </c>
      <c r="N1398" s="1476">
        <v>1.4830707312090337</v>
      </c>
      <c r="O1398" s="1476"/>
    </row>
    <row r="1399" spans="11:15">
      <c r="K1399" s="1473">
        <v>43456</v>
      </c>
      <c r="L1399" s="1474"/>
      <c r="M1399" s="1475">
        <v>0</v>
      </c>
      <c r="N1399" s="1476">
        <v>1.4830707312090337</v>
      </c>
      <c r="O1399" s="1476"/>
    </row>
    <row r="1400" spans="11:15">
      <c r="K1400" s="1473">
        <v>43457</v>
      </c>
      <c r="L1400" s="1474"/>
      <c r="M1400" s="1475">
        <v>0</v>
      </c>
      <c r="N1400" s="1476">
        <v>1.4830707312090337</v>
      </c>
      <c r="O1400" s="1476"/>
    </row>
    <row r="1401" spans="11:15">
      <c r="K1401" s="1473">
        <v>43458</v>
      </c>
      <c r="L1401" s="1474" t="s">
        <v>2123</v>
      </c>
      <c r="M1401" s="1475">
        <v>2.462E-2</v>
      </c>
      <c r="N1401" s="1476">
        <v>1.4834358632230575</v>
      </c>
      <c r="O1401" s="1476"/>
    </row>
    <row r="1402" spans="11:15">
      <c r="K1402" s="1473">
        <v>43459</v>
      </c>
      <c r="L1402" s="1474"/>
      <c r="M1402" s="1475">
        <v>0</v>
      </c>
      <c r="N1402" s="1476">
        <v>1.4834358632230575</v>
      </c>
      <c r="O1402" s="1476"/>
    </row>
    <row r="1403" spans="11:15">
      <c r="K1403" s="1473">
        <v>43460</v>
      </c>
      <c r="L1403" s="1474" t="s">
        <v>2123</v>
      </c>
      <c r="M1403" s="1475">
        <v>2.462E-2</v>
      </c>
      <c r="N1403" s="1476">
        <v>1.4838010851325831</v>
      </c>
      <c r="O1403" s="1476"/>
    </row>
    <row r="1404" spans="11:15">
      <c r="K1404" s="1473">
        <v>43461</v>
      </c>
      <c r="L1404" s="1474" t="s">
        <v>2123</v>
      </c>
      <c r="M1404" s="1475">
        <v>2.462E-2</v>
      </c>
      <c r="N1404" s="1476">
        <v>1.484166396959743</v>
      </c>
      <c r="O1404" s="1476"/>
    </row>
    <row r="1405" spans="11:15">
      <c r="K1405" s="1473">
        <v>43462</v>
      </c>
      <c r="L1405" s="1474" t="s">
        <v>2123</v>
      </c>
      <c r="M1405" s="1475">
        <v>2.462E-2</v>
      </c>
      <c r="N1405" s="1476">
        <v>1.4845317987266746</v>
      </c>
      <c r="O1405" s="1476"/>
    </row>
    <row r="1406" spans="11:15">
      <c r="K1406" s="1473">
        <v>43463</v>
      </c>
      <c r="L1406" s="1474"/>
      <c r="M1406" s="1475">
        <v>0</v>
      </c>
      <c r="N1406" s="1476">
        <v>1.4845317987266746</v>
      </c>
      <c r="O1406" s="1476"/>
    </row>
    <row r="1407" spans="11:15">
      <c r="K1407" s="1473">
        <v>43464</v>
      </c>
      <c r="L1407" s="1474"/>
      <c r="M1407" s="1475">
        <v>0</v>
      </c>
      <c r="N1407" s="1476">
        <v>1.4845317987266746</v>
      </c>
      <c r="O1407" s="1476"/>
    </row>
    <row r="1408" spans="11:15">
      <c r="K1408" s="1473">
        <v>43465</v>
      </c>
      <c r="L1408" s="1474" t="s">
        <v>2123</v>
      </c>
      <c r="M1408" s="1475">
        <v>2.462E-2</v>
      </c>
      <c r="N1408" s="1476">
        <v>1.4848972904555213</v>
      </c>
      <c r="O1408" s="1476"/>
    </row>
    <row r="1409" spans="11:15">
      <c r="K1409" s="1473">
        <v>43466</v>
      </c>
      <c r="L1409" s="1474"/>
      <c r="M1409" s="1475">
        <v>0</v>
      </c>
      <c r="N1409" s="1476">
        <v>1.4848972904555213</v>
      </c>
      <c r="O1409" s="1476"/>
    </row>
    <row r="1410" spans="11:15">
      <c r="K1410" s="1473">
        <v>43467</v>
      </c>
      <c r="L1410" s="1474" t="s">
        <v>2123</v>
      </c>
      <c r="M1410" s="1475">
        <v>2.462E-2</v>
      </c>
      <c r="N1410" s="1476">
        <v>1.4852628721684316</v>
      </c>
      <c r="O1410" s="1476"/>
    </row>
    <row r="1411" spans="11:15">
      <c r="K1411" s="1473">
        <v>43468</v>
      </c>
      <c r="L1411" s="1474" t="s">
        <v>2123</v>
      </c>
      <c r="M1411" s="1475">
        <v>2.462E-2</v>
      </c>
      <c r="N1411" s="1476">
        <v>1.4856285438875596</v>
      </c>
      <c r="O1411" s="1476"/>
    </row>
    <row r="1412" spans="11:15">
      <c r="K1412" s="1473">
        <v>43469</v>
      </c>
      <c r="L1412" s="1474" t="s">
        <v>2123</v>
      </c>
      <c r="M1412" s="1475">
        <v>2.462E-2</v>
      </c>
      <c r="N1412" s="1476">
        <v>1.4859943056350648</v>
      </c>
      <c r="O1412" s="1476"/>
    </row>
    <row r="1413" spans="11:15">
      <c r="K1413" s="1473">
        <v>43470</v>
      </c>
      <c r="L1413" s="1474"/>
      <c r="M1413" s="1475">
        <v>0</v>
      </c>
      <c r="N1413" s="1476">
        <v>1.4859943056350648</v>
      </c>
      <c r="O1413" s="1476"/>
    </row>
    <row r="1414" spans="11:15">
      <c r="K1414" s="1473">
        <v>43471</v>
      </c>
      <c r="L1414" s="1474"/>
      <c r="M1414" s="1475">
        <v>0</v>
      </c>
      <c r="N1414" s="1476">
        <v>1.4859943056350648</v>
      </c>
      <c r="O1414" s="1476"/>
    </row>
    <row r="1415" spans="11:15">
      <c r="K1415" s="1473">
        <v>43472</v>
      </c>
      <c r="L1415" s="1474" t="s">
        <v>2123</v>
      </c>
      <c r="M1415" s="1475">
        <v>2.462E-2</v>
      </c>
      <c r="N1415" s="1476">
        <v>1.4863601574331122</v>
      </c>
      <c r="O1415" s="1476"/>
    </row>
    <row r="1416" spans="11:15">
      <c r="K1416" s="1473">
        <v>43473</v>
      </c>
      <c r="L1416" s="1474" t="s">
        <v>2123</v>
      </c>
      <c r="M1416" s="1475">
        <v>2.462E-2</v>
      </c>
      <c r="N1416" s="1476">
        <v>1.4867260993038725</v>
      </c>
      <c r="O1416" s="1476"/>
    </row>
    <row r="1417" spans="11:15">
      <c r="K1417" s="1473">
        <v>43474</v>
      </c>
      <c r="L1417" s="1474" t="s">
        <v>2123</v>
      </c>
      <c r="M1417" s="1475">
        <v>2.462E-2</v>
      </c>
      <c r="N1417" s="1476">
        <v>1.4870921312695211</v>
      </c>
      <c r="O1417" s="1476"/>
    </row>
    <row r="1418" spans="11:15">
      <c r="K1418" s="1473">
        <v>43475</v>
      </c>
      <c r="L1418" s="1474" t="s">
        <v>2123</v>
      </c>
      <c r="M1418" s="1475">
        <v>2.462E-2</v>
      </c>
      <c r="N1418" s="1476">
        <v>1.4874582533522398</v>
      </c>
      <c r="O1418" s="1476"/>
    </row>
    <row r="1419" spans="11:15">
      <c r="K1419" s="1473">
        <v>43476</v>
      </c>
      <c r="L1419" s="1474" t="s">
        <v>2123</v>
      </c>
      <c r="M1419" s="1475">
        <v>2.462E-2</v>
      </c>
      <c r="N1419" s="1476">
        <v>1.4878244655742152</v>
      </c>
      <c r="O1419" s="1476"/>
    </row>
    <row r="1420" spans="11:15">
      <c r="K1420" s="1473">
        <v>43477</v>
      </c>
      <c r="L1420" s="1474"/>
      <c r="M1420" s="1475">
        <v>0</v>
      </c>
      <c r="N1420" s="1476">
        <v>1.4878244655742152</v>
      </c>
      <c r="O1420" s="1476"/>
    </row>
    <row r="1421" spans="11:15">
      <c r="K1421" s="1473">
        <v>43478</v>
      </c>
      <c r="L1421" s="1474"/>
      <c r="M1421" s="1475">
        <v>0</v>
      </c>
      <c r="N1421" s="1476">
        <v>1.4878244655742152</v>
      </c>
      <c r="O1421" s="1476"/>
    </row>
    <row r="1422" spans="11:15">
      <c r="K1422" s="1473">
        <v>43479</v>
      </c>
      <c r="L1422" s="1474" t="s">
        <v>2123</v>
      </c>
      <c r="M1422" s="1475">
        <v>2.462E-2</v>
      </c>
      <c r="N1422" s="1476">
        <v>1.4881907679576396</v>
      </c>
      <c r="O1422" s="1476"/>
    </row>
    <row r="1423" spans="11:15">
      <c r="K1423" s="1473">
        <v>43480</v>
      </c>
      <c r="L1423" s="1474" t="s">
        <v>2123</v>
      </c>
      <c r="M1423" s="1475">
        <v>2.462E-2</v>
      </c>
      <c r="N1423" s="1476">
        <v>1.488557160524711</v>
      </c>
      <c r="O1423" s="1476"/>
    </row>
    <row r="1424" spans="11:15">
      <c r="K1424" s="1473">
        <v>43481</v>
      </c>
      <c r="L1424" s="1474" t="s">
        <v>2123</v>
      </c>
      <c r="M1424" s="1475">
        <v>2.462E-2</v>
      </c>
      <c r="N1424" s="1476">
        <v>1.4889236432976323</v>
      </c>
      <c r="O1424" s="1476"/>
    </row>
    <row r="1425" spans="11:15">
      <c r="K1425" s="1473">
        <v>43482</v>
      </c>
      <c r="L1425" s="1474" t="s">
        <v>2123</v>
      </c>
      <c r="M1425" s="1475">
        <v>2.462E-2</v>
      </c>
      <c r="N1425" s="1476">
        <v>1.4892902162986124</v>
      </c>
      <c r="O1425" s="1476"/>
    </row>
    <row r="1426" spans="11:15">
      <c r="K1426" s="1473">
        <v>43483</v>
      </c>
      <c r="L1426" s="1474" t="s">
        <v>2123</v>
      </c>
      <c r="M1426" s="1475">
        <v>2.462E-2</v>
      </c>
      <c r="N1426" s="1476">
        <v>1.4896568795498653</v>
      </c>
      <c r="O1426" s="1476"/>
    </row>
    <row r="1427" spans="11:15">
      <c r="K1427" s="1473">
        <v>43484</v>
      </c>
      <c r="L1427" s="1474"/>
      <c r="M1427" s="1475">
        <v>0</v>
      </c>
      <c r="N1427" s="1476">
        <v>1.4896568795498653</v>
      </c>
      <c r="O1427" s="1476"/>
    </row>
    <row r="1428" spans="11:15">
      <c r="K1428" s="1473">
        <v>43485</v>
      </c>
      <c r="L1428" s="1474"/>
      <c r="M1428" s="1475">
        <v>0</v>
      </c>
      <c r="N1428" s="1476">
        <v>1.4896568795498653</v>
      </c>
      <c r="O1428" s="1476"/>
    </row>
    <row r="1429" spans="11:15">
      <c r="K1429" s="1473">
        <v>43486</v>
      </c>
      <c r="L1429" s="1474" t="s">
        <v>2123</v>
      </c>
      <c r="M1429" s="1475">
        <v>2.462E-2</v>
      </c>
      <c r="N1429" s="1476">
        <v>1.4900236330736105</v>
      </c>
      <c r="O1429" s="1476"/>
    </row>
    <row r="1430" spans="11:15">
      <c r="K1430" s="1473">
        <v>43487</v>
      </c>
      <c r="L1430" s="1474" t="s">
        <v>2123</v>
      </c>
      <c r="M1430" s="1475">
        <v>2.462E-2</v>
      </c>
      <c r="N1430" s="1476">
        <v>1.4903904768920733</v>
      </c>
      <c r="O1430" s="1476"/>
    </row>
    <row r="1431" spans="11:15">
      <c r="K1431" s="1473">
        <v>43488</v>
      </c>
      <c r="L1431" s="1474" t="s">
        <v>2123</v>
      </c>
      <c r="M1431" s="1475">
        <v>2.462E-2</v>
      </c>
      <c r="N1431" s="1476">
        <v>1.4907574110274842</v>
      </c>
      <c r="O1431" s="1476"/>
    </row>
    <row r="1432" spans="11:15">
      <c r="K1432" s="1473">
        <v>43489</v>
      </c>
      <c r="L1432" s="1474" t="s">
        <v>2123</v>
      </c>
      <c r="M1432" s="1475">
        <v>2.462E-2</v>
      </c>
      <c r="N1432" s="1476">
        <v>1.4911244355020792</v>
      </c>
      <c r="O1432" s="1476"/>
    </row>
    <row r="1433" spans="11:15">
      <c r="K1433" s="1473">
        <v>43490</v>
      </c>
      <c r="L1433" s="1474" t="s">
        <v>2123</v>
      </c>
      <c r="M1433" s="1475">
        <v>2.462E-2</v>
      </c>
      <c r="N1433" s="1476">
        <v>1.4914915503380999</v>
      </c>
      <c r="O1433" s="1476"/>
    </row>
    <row r="1434" spans="11:15">
      <c r="K1434" s="1473">
        <v>43491</v>
      </c>
      <c r="L1434" s="1474"/>
      <c r="M1434" s="1475">
        <v>0</v>
      </c>
      <c r="N1434" s="1476">
        <v>1.4914915503380999</v>
      </c>
      <c r="O1434" s="1476"/>
    </row>
    <row r="1435" spans="11:15">
      <c r="K1435" s="1473">
        <v>43492</v>
      </c>
      <c r="L1435" s="1474"/>
      <c r="M1435" s="1475">
        <v>0</v>
      </c>
      <c r="N1435" s="1476">
        <v>1.4914915503380999</v>
      </c>
      <c r="O1435" s="1476"/>
    </row>
    <row r="1436" spans="11:15">
      <c r="K1436" s="1473">
        <v>43493</v>
      </c>
      <c r="L1436" s="1474" t="s">
        <v>2123</v>
      </c>
      <c r="M1436" s="1475">
        <v>2.462E-2</v>
      </c>
      <c r="N1436" s="1476">
        <v>1.4918587555577933</v>
      </c>
      <c r="O1436" s="1476"/>
    </row>
    <row r="1437" spans="11:15">
      <c r="K1437" s="1473">
        <v>43494</v>
      </c>
      <c r="L1437" s="1474" t="s">
        <v>2123</v>
      </c>
      <c r="M1437" s="1475">
        <v>2.462E-2</v>
      </c>
      <c r="N1437" s="1476">
        <v>1.4922260511834118</v>
      </c>
      <c r="O1437" s="1476"/>
    </row>
    <row r="1438" spans="11:15">
      <c r="K1438" s="1473">
        <v>43495</v>
      </c>
      <c r="L1438" s="1474" t="s">
        <v>2123</v>
      </c>
      <c r="M1438" s="1475">
        <v>2.462E-2</v>
      </c>
      <c r="N1438" s="1476">
        <v>1.4925934372372132</v>
      </c>
      <c r="O1438" s="1476"/>
    </row>
    <row r="1439" spans="11:15">
      <c r="K1439" s="1473">
        <v>43496</v>
      </c>
      <c r="L1439" s="1474" t="s">
        <v>2123</v>
      </c>
      <c r="M1439" s="1475">
        <v>2.462E-2</v>
      </c>
      <c r="N1439" s="1476">
        <v>1.492960913741461</v>
      </c>
      <c r="O1439" s="1476"/>
    </row>
    <row r="1440" spans="11:15">
      <c r="K1440" s="1473">
        <v>43497</v>
      </c>
      <c r="L1440" s="1474" t="s">
        <v>2123</v>
      </c>
      <c r="M1440" s="1475">
        <v>2.462E-2</v>
      </c>
      <c r="N1440" s="1476">
        <v>1.4933284807184244</v>
      </c>
      <c r="O1440" s="1476"/>
    </row>
    <row r="1441" spans="11:15">
      <c r="K1441" s="1473">
        <v>43498</v>
      </c>
      <c r="L1441" s="1474"/>
      <c r="M1441" s="1475">
        <v>0</v>
      </c>
      <c r="N1441" s="1476">
        <v>1.4933284807184244</v>
      </c>
      <c r="O1441" s="1476"/>
    </row>
    <row r="1442" spans="11:15">
      <c r="K1442" s="1473">
        <v>43499</v>
      </c>
      <c r="L1442" s="1474"/>
      <c r="M1442" s="1475">
        <v>0</v>
      </c>
      <c r="N1442" s="1476">
        <v>1.4933284807184244</v>
      </c>
      <c r="O1442" s="1476"/>
    </row>
    <row r="1443" spans="11:15">
      <c r="K1443" s="1473">
        <v>43500</v>
      </c>
      <c r="L1443" s="1474" t="s">
        <v>2123</v>
      </c>
      <c r="M1443" s="1475">
        <v>2.462E-2</v>
      </c>
      <c r="N1443" s="1476">
        <v>1.4936961381903775</v>
      </c>
      <c r="O1443" s="1476"/>
    </row>
    <row r="1444" spans="11:15">
      <c r="K1444" s="1473">
        <v>43501</v>
      </c>
      <c r="L1444" s="1474" t="s">
        <v>2123</v>
      </c>
      <c r="M1444" s="1475">
        <v>2.462E-2</v>
      </c>
      <c r="N1444" s="1476">
        <v>1.4940638861796001</v>
      </c>
      <c r="O1444" s="1476"/>
    </row>
    <row r="1445" spans="11:15">
      <c r="K1445" s="1473">
        <v>43502</v>
      </c>
      <c r="L1445" s="1474" t="s">
        <v>2123</v>
      </c>
      <c r="M1445" s="1475">
        <v>2.462E-2</v>
      </c>
      <c r="N1445" s="1476">
        <v>1.4944317247083776</v>
      </c>
      <c r="O1445" s="1476"/>
    </row>
    <row r="1446" spans="11:15">
      <c r="K1446" s="1473">
        <v>43503</v>
      </c>
      <c r="L1446" s="1474" t="s">
        <v>2123</v>
      </c>
      <c r="M1446" s="1475">
        <v>2.462E-2</v>
      </c>
      <c r="N1446" s="1476">
        <v>1.4947996537990009</v>
      </c>
      <c r="O1446" s="1476"/>
    </row>
    <row r="1447" spans="11:15">
      <c r="K1447" s="1473">
        <v>43504</v>
      </c>
      <c r="L1447" s="1474" t="s">
        <v>2123</v>
      </c>
      <c r="M1447" s="1475">
        <v>2.462E-2</v>
      </c>
      <c r="N1447" s="1476">
        <v>1.4951676734737664</v>
      </c>
      <c r="O1447" s="1476"/>
    </row>
    <row r="1448" spans="11:15">
      <c r="K1448" s="1473">
        <v>43505</v>
      </c>
      <c r="L1448" s="1474"/>
      <c r="M1448" s="1475">
        <v>0</v>
      </c>
      <c r="N1448" s="1476">
        <v>1.4951676734737664</v>
      </c>
      <c r="O1448" s="1476"/>
    </row>
    <row r="1449" spans="11:15">
      <c r="K1449" s="1473">
        <v>43506</v>
      </c>
      <c r="L1449" s="1474"/>
      <c r="M1449" s="1475">
        <v>0</v>
      </c>
      <c r="N1449" s="1476">
        <v>1.4951676734737664</v>
      </c>
      <c r="O1449" s="1476"/>
    </row>
    <row r="1450" spans="11:15">
      <c r="K1450" s="1473">
        <v>43507</v>
      </c>
      <c r="L1450" s="1474" t="s">
        <v>2123</v>
      </c>
      <c r="M1450" s="1475">
        <v>2.462E-2</v>
      </c>
      <c r="N1450" s="1476">
        <v>1.4955357837549759</v>
      </c>
      <c r="O1450" s="1476"/>
    </row>
    <row r="1451" spans="11:15">
      <c r="K1451" s="1473">
        <v>43508</v>
      </c>
      <c r="L1451" s="1474" t="s">
        <v>2123</v>
      </c>
      <c r="M1451" s="1475">
        <v>2.462E-2</v>
      </c>
      <c r="N1451" s="1476">
        <v>1.4959039846649365</v>
      </c>
      <c r="O1451" s="1476"/>
    </row>
    <row r="1452" spans="11:15">
      <c r="K1452" s="1473">
        <v>43509</v>
      </c>
      <c r="L1452" s="1474" t="s">
        <v>2123</v>
      </c>
      <c r="M1452" s="1475">
        <v>2.462E-2</v>
      </c>
      <c r="N1452" s="1476">
        <v>1.496272276225961</v>
      </c>
      <c r="O1452" s="1476"/>
    </row>
    <row r="1453" spans="11:15">
      <c r="K1453" s="1473">
        <v>43510</v>
      </c>
      <c r="L1453" s="1474" t="s">
        <v>2123</v>
      </c>
      <c r="M1453" s="1475">
        <v>2.462E-2</v>
      </c>
      <c r="N1453" s="1476">
        <v>1.496640658460368</v>
      </c>
      <c r="O1453" s="1476"/>
    </row>
    <row r="1454" spans="11:15">
      <c r="K1454" s="1473">
        <v>43511</v>
      </c>
      <c r="L1454" s="1474" t="s">
        <v>2123</v>
      </c>
      <c r="M1454" s="1475">
        <v>2.462E-2</v>
      </c>
      <c r="N1454" s="1476">
        <v>1.497009131390481</v>
      </c>
      <c r="O1454" s="1476"/>
    </row>
    <row r="1455" spans="11:15">
      <c r="K1455" s="1473">
        <v>43512</v>
      </c>
      <c r="L1455" s="1474"/>
      <c r="M1455" s="1475">
        <v>0</v>
      </c>
      <c r="N1455" s="1476">
        <v>1.497009131390481</v>
      </c>
      <c r="O1455" s="1476"/>
    </row>
    <row r="1456" spans="11:15">
      <c r="K1456" s="1473">
        <v>43513</v>
      </c>
      <c r="L1456" s="1474"/>
      <c r="M1456" s="1475">
        <v>0</v>
      </c>
      <c r="N1456" s="1476">
        <v>1.497009131390481</v>
      </c>
      <c r="O1456" s="1476"/>
    </row>
    <row r="1457" spans="11:15">
      <c r="K1457" s="1473">
        <v>43514</v>
      </c>
      <c r="L1457" s="1474" t="s">
        <v>2123</v>
      </c>
      <c r="M1457" s="1475">
        <v>2.462E-2</v>
      </c>
      <c r="N1457" s="1476">
        <v>1.4973776950386295</v>
      </c>
      <c r="O1457" s="1476"/>
    </row>
    <row r="1458" spans="11:15">
      <c r="K1458" s="1473">
        <v>43515</v>
      </c>
      <c r="L1458" s="1474" t="s">
        <v>2123</v>
      </c>
      <c r="M1458" s="1475">
        <v>2.462E-2</v>
      </c>
      <c r="N1458" s="1476">
        <v>1.4977463494271481</v>
      </c>
      <c r="O1458" s="1476"/>
    </row>
    <row r="1459" spans="11:15">
      <c r="K1459" s="1473">
        <v>43516</v>
      </c>
      <c r="L1459" s="1474" t="s">
        <v>2123</v>
      </c>
      <c r="M1459" s="1475">
        <v>2.462E-2</v>
      </c>
      <c r="N1459" s="1476">
        <v>1.4981150945783772</v>
      </c>
      <c r="O1459" s="1476"/>
    </row>
    <row r="1460" spans="11:15">
      <c r="K1460" s="1473">
        <v>43517</v>
      </c>
      <c r="L1460" s="1474" t="s">
        <v>2123</v>
      </c>
      <c r="M1460" s="1475">
        <v>2.462E-2</v>
      </c>
      <c r="N1460" s="1476">
        <v>1.4984839305146624</v>
      </c>
      <c r="O1460" s="1476"/>
    </row>
    <row r="1461" spans="11:15">
      <c r="K1461" s="1473">
        <v>43518</v>
      </c>
      <c r="L1461" s="1474" t="s">
        <v>2123</v>
      </c>
      <c r="M1461" s="1475">
        <v>2.462E-2</v>
      </c>
      <c r="N1461" s="1476">
        <v>1.4988528572583553</v>
      </c>
      <c r="O1461" s="1476"/>
    </row>
    <row r="1462" spans="11:15">
      <c r="K1462" s="1473">
        <v>43519</v>
      </c>
      <c r="L1462" s="1474"/>
      <c r="M1462" s="1475">
        <v>0</v>
      </c>
      <c r="N1462" s="1476">
        <v>1.4988528572583553</v>
      </c>
      <c r="O1462" s="1476"/>
    </row>
    <row r="1463" spans="11:15">
      <c r="K1463" s="1473">
        <v>43520</v>
      </c>
      <c r="L1463" s="1474"/>
      <c r="M1463" s="1475">
        <v>0</v>
      </c>
      <c r="N1463" s="1476">
        <v>1.4988528572583553</v>
      </c>
      <c r="O1463" s="1476"/>
    </row>
    <row r="1464" spans="11:15">
      <c r="K1464" s="1473">
        <v>43521</v>
      </c>
      <c r="L1464" s="1474" t="s">
        <v>2123</v>
      </c>
      <c r="M1464" s="1475">
        <v>2.462E-2</v>
      </c>
      <c r="N1464" s="1476">
        <v>1.4992218748318125</v>
      </c>
      <c r="O1464" s="1476"/>
    </row>
    <row r="1465" spans="11:15">
      <c r="K1465" s="1473">
        <v>43522</v>
      </c>
      <c r="L1465" s="1474" t="s">
        <v>2123</v>
      </c>
      <c r="M1465" s="1475">
        <v>2.462E-2</v>
      </c>
      <c r="N1465" s="1476">
        <v>1.4995909832573961</v>
      </c>
      <c r="O1465" s="1476"/>
    </row>
    <row r="1466" spans="11:15">
      <c r="K1466" s="1473">
        <v>43523</v>
      </c>
      <c r="L1466" s="1474" t="s">
        <v>2123</v>
      </c>
      <c r="M1466" s="1475">
        <v>2.462E-2</v>
      </c>
      <c r="N1466" s="1476">
        <v>1.4999601825574742</v>
      </c>
      <c r="O1466" s="1476"/>
    </row>
    <row r="1467" spans="11:15">
      <c r="K1467" s="1473">
        <v>43524</v>
      </c>
      <c r="L1467" s="1474" t="s">
        <v>2123</v>
      </c>
      <c r="M1467" s="1475">
        <v>2.462E-2</v>
      </c>
      <c r="N1467" s="1476">
        <v>1.5003294727544201</v>
      </c>
      <c r="O1467" s="1476"/>
    </row>
    <row r="1468" spans="11:15">
      <c r="K1468" s="1473">
        <v>43525</v>
      </c>
      <c r="L1468" s="1474" t="s">
        <v>2123</v>
      </c>
      <c r="M1468" s="1475">
        <v>2.462E-2</v>
      </c>
      <c r="N1468" s="1476">
        <v>1.5006988538706123</v>
      </c>
      <c r="O1468" s="1476"/>
    </row>
    <row r="1469" spans="11:15">
      <c r="K1469" s="1473">
        <v>43526</v>
      </c>
      <c r="L1469" s="1474"/>
      <c r="M1469" s="1475">
        <v>0</v>
      </c>
      <c r="N1469" s="1476">
        <v>1.5006988538706123</v>
      </c>
      <c r="O1469" s="1476"/>
    </row>
    <row r="1470" spans="11:15">
      <c r="K1470" s="1473">
        <v>43527</v>
      </c>
      <c r="L1470" s="1474"/>
      <c r="M1470" s="1475">
        <v>0</v>
      </c>
      <c r="N1470" s="1476">
        <v>1.5006988538706123</v>
      </c>
      <c r="O1470" s="1476"/>
    </row>
    <row r="1471" spans="11:15">
      <c r="K1471" s="1473">
        <v>43528</v>
      </c>
      <c r="L1471" s="1474"/>
      <c r="M1471" s="1475">
        <v>0</v>
      </c>
      <c r="N1471" s="1476">
        <v>1.5006988538706123</v>
      </c>
      <c r="O1471" s="1476"/>
    </row>
    <row r="1472" spans="11:15">
      <c r="K1472" s="1473">
        <v>43529</v>
      </c>
      <c r="L1472" s="1474"/>
      <c r="M1472" s="1475">
        <v>0</v>
      </c>
      <c r="N1472" s="1476">
        <v>1.5006988538706123</v>
      </c>
      <c r="O1472" s="1476"/>
    </row>
    <row r="1473" spans="11:15">
      <c r="K1473" s="1473">
        <v>43530</v>
      </c>
      <c r="L1473" s="1474" t="s">
        <v>2123</v>
      </c>
      <c r="M1473" s="1475">
        <v>2.462E-2</v>
      </c>
      <c r="N1473" s="1476">
        <v>1.5010683259284354</v>
      </c>
      <c r="O1473" s="1476"/>
    </row>
    <row r="1474" spans="11:15">
      <c r="K1474" s="1473">
        <v>43531</v>
      </c>
      <c r="L1474" s="1474" t="s">
        <v>2123</v>
      </c>
      <c r="M1474" s="1475">
        <v>2.462E-2</v>
      </c>
      <c r="N1474" s="1476">
        <v>1.5014378889502791</v>
      </c>
      <c r="O1474" s="1476"/>
    </row>
    <row r="1475" spans="11:15">
      <c r="K1475" s="1473">
        <v>43532</v>
      </c>
      <c r="L1475" s="1474" t="s">
        <v>2123</v>
      </c>
      <c r="M1475" s="1475">
        <v>2.462E-2</v>
      </c>
      <c r="N1475" s="1476">
        <v>1.5018075429585387</v>
      </c>
      <c r="O1475" s="1476"/>
    </row>
    <row r="1476" spans="11:15">
      <c r="K1476" s="1473">
        <v>43533</v>
      </c>
      <c r="L1476" s="1474"/>
      <c r="M1476" s="1475">
        <v>0</v>
      </c>
      <c r="N1476" s="1476">
        <v>1.5018075429585387</v>
      </c>
      <c r="O1476" s="1476"/>
    </row>
    <row r="1477" spans="11:15">
      <c r="K1477" s="1473">
        <v>43534</v>
      </c>
      <c r="L1477" s="1474"/>
      <c r="M1477" s="1475">
        <v>0</v>
      </c>
      <c r="N1477" s="1476">
        <v>1.5018075429585387</v>
      </c>
      <c r="O1477" s="1476"/>
    </row>
    <row r="1478" spans="11:15">
      <c r="K1478" s="1473">
        <v>43535</v>
      </c>
      <c r="L1478" s="1474" t="s">
        <v>2123</v>
      </c>
      <c r="M1478" s="1475">
        <v>2.462E-2</v>
      </c>
      <c r="N1478" s="1476">
        <v>1.5021772879756152</v>
      </c>
      <c r="O1478" s="1476"/>
    </row>
    <row r="1479" spans="11:15">
      <c r="K1479" s="1473">
        <v>43536</v>
      </c>
      <c r="L1479" s="1474" t="s">
        <v>2123</v>
      </c>
      <c r="M1479" s="1475">
        <v>2.462E-2</v>
      </c>
      <c r="N1479" s="1476">
        <v>1.502547124023915</v>
      </c>
      <c r="O1479" s="1476"/>
    </row>
    <row r="1480" spans="11:15">
      <c r="K1480" s="1473">
        <v>43537</v>
      </c>
      <c r="L1480" s="1474" t="s">
        <v>2123</v>
      </c>
      <c r="M1480" s="1475">
        <v>2.462E-2</v>
      </c>
      <c r="N1480" s="1476">
        <v>1.5029170511258498</v>
      </c>
      <c r="O1480" s="1476"/>
    </row>
    <row r="1481" spans="11:15">
      <c r="K1481" s="1473">
        <v>43538</v>
      </c>
      <c r="L1481" s="1474" t="s">
        <v>2123</v>
      </c>
      <c r="M1481" s="1475">
        <v>2.462E-2</v>
      </c>
      <c r="N1481" s="1476">
        <v>1.5032870693038372</v>
      </c>
      <c r="O1481" s="1476"/>
    </row>
    <row r="1482" spans="11:15">
      <c r="K1482" s="1473">
        <v>43539</v>
      </c>
      <c r="L1482" s="1474" t="s">
        <v>2123</v>
      </c>
      <c r="M1482" s="1475">
        <v>2.462E-2</v>
      </c>
      <c r="N1482" s="1476">
        <v>1.5036571785802999</v>
      </c>
      <c r="O1482" s="1476"/>
    </row>
    <row r="1483" spans="11:15">
      <c r="K1483" s="1473">
        <v>43540</v>
      </c>
      <c r="L1483" s="1474"/>
      <c r="M1483" s="1475">
        <v>0</v>
      </c>
      <c r="N1483" s="1476">
        <v>1.5036571785802999</v>
      </c>
      <c r="O1483" s="1476"/>
    </row>
    <row r="1484" spans="11:15">
      <c r="K1484" s="1473">
        <v>43541</v>
      </c>
      <c r="L1484" s="1474"/>
      <c r="M1484" s="1475">
        <v>0</v>
      </c>
      <c r="N1484" s="1476">
        <v>1.5036571785802999</v>
      </c>
      <c r="O1484" s="1476"/>
    </row>
    <row r="1485" spans="11:15">
      <c r="K1485" s="1473">
        <v>43542</v>
      </c>
      <c r="L1485" s="1474" t="s">
        <v>2123</v>
      </c>
      <c r="M1485" s="1475">
        <v>2.462E-2</v>
      </c>
      <c r="N1485" s="1476">
        <v>1.5040273789776666</v>
      </c>
      <c r="O1485" s="1476"/>
    </row>
    <row r="1486" spans="11:15">
      <c r="K1486" s="1473">
        <v>43543</v>
      </c>
      <c r="L1486" s="1474" t="s">
        <v>2123</v>
      </c>
      <c r="M1486" s="1475">
        <v>2.462E-2</v>
      </c>
      <c r="N1486" s="1476">
        <v>1.504397670518371</v>
      </c>
      <c r="O1486" s="1476"/>
    </row>
    <row r="1487" spans="11:15">
      <c r="K1487" s="1473">
        <v>43544</v>
      </c>
      <c r="L1487" s="1474" t="s">
        <v>2123</v>
      </c>
      <c r="M1487" s="1475">
        <v>2.462E-2</v>
      </c>
      <c r="N1487" s="1476">
        <v>1.5047680532248529</v>
      </c>
      <c r="O1487" s="1476"/>
    </row>
    <row r="1488" spans="11:15">
      <c r="K1488" s="1473">
        <v>43545</v>
      </c>
      <c r="L1488" s="1474" t="s">
        <v>2123</v>
      </c>
      <c r="M1488" s="1475">
        <v>2.462E-2</v>
      </c>
      <c r="N1488" s="1476">
        <v>1.505138527119557</v>
      </c>
      <c r="O1488" s="1476"/>
    </row>
    <row r="1489" spans="11:15">
      <c r="K1489" s="1473">
        <v>43546</v>
      </c>
      <c r="L1489" s="1474" t="s">
        <v>2123</v>
      </c>
      <c r="M1489" s="1475">
        <v>2.462E-2</v>
      </c>
      <c r="N1489" s="1476">
        <v>1.5055090922249339</v>
      </c>
      <c r="O1489" s="1476"/>
    </row>
    <row r="1490" spans="11:15">
      <c r="K1490" s="1473">
        <v>43547</v>
      </c>
      <c r="L1490" s="1474"/>
      <c r="M1490" s="1475">
        <v>0</v>
      </c>
      <c r="N1490" s="1476">
        <v>1.5055090922249339</v>
      </c>
      <c r="O1490" s="1476"/>
    </row>
    <row r="1491" spans="11:15">
      <c r="K1491" s="1473">
        <v>43548</v>
      </c>
      <c r="L1491" s="1474"/>
      <c r="M1491" s="1475">
        <v>0</v>
      </c>
      <c r="N1491" s="1476">
        <v>1.5055090922249339</v>
      </c>
      <c r="O1491" s="1476"/>
    </row>
    <row r="1492" spans="11:15">
      <c r="K1492" s="1473">
        <v>43549</v>
      </c>
      <c r="L1492" s="1474" t="s">
        <v>2123</v>
      </c>
      <c r="M1492" s="1475">
        <v>2.462E-2</v>
      </c>
      <c r="N1492" s="1476">
        <v>1.5058797485634399</v>
      </c>
      <c r="O1492" s="1476"/>
    </row>
    <row r="1493" spans="11:15">
      <c r="K1493" s="1473">
        <v>43550</v>
      </c>
      <c r="L1493" s="1474" t="s">
        <v>2123</v>
      </c>
      <c r="M1493" s="1475">
        <v>2.462E-2</v>
      </c>
      <c r="N1493" s="1476">
        <v>1.5062504961575363</v>
      </c>
      <c r="O1493" s="1476"/>
    </row>
    <row r="1494" spans="11:15">
      <c r="K1494" s="1473">
        <v>43551</v>
      </c>
      <c r="L1494" s="1474" t="s">
        <v>2123</v>
      </c>
      <c r="M1494" s="1475">
        <v>2.462E-2</v>
      </c>
      <c r="N1494" s="1476">
        <v>1.5066213350296904</v>
      </c>
      <c r="O1494" s="1476"/>
    </row>
    <row r="1495" spans="11:15">
      <c r="K1495" s="1473">
        <v>43552</v>
      </c>
      <c r="L1495" s="1474" t="s">
        <v>2123</v>
      </c>
      <c r="M1495" s="1475">
        <v>2.462E-2</v>
      </c>
      <c r="N1495" s="1476">
        <v>1.5069922652023748</v>
      </c>
      <c r="O1495" s="1476"/>
    </row>
    <row r="1496" spans="11:15">
      <c r="K1496" s="1473">
        <v>43553</v>
      </c>
      <c r="L1496" s="1474" t="s">
        <v>2123</v>
      </c>
      <c r="M1496" s="1475">
        <v>2.462E-2</v>
      </c>
      <c r="N1496" s="1476">
        <v>1.5073632866980677</v>
      </c>
      <c r="O1496" s="1476"/>
    </row>
    <row r="1497" spans="11:15">
      <c r="K1497" s="1473">
        <v>43554</v>
      </c>
      <c r="L1497" s="1474"/>
      <c r="M1497" s="1475">
        <v>0</v>
      </c>
      <c r="N1497" s="1476">
        <v>1.5073632866980677</v>
      </c>
      <c r="O1497" s="1476"/>
    </row>
    <row r="1498" spans="11:15">
      <c r="K1498" s="1473">
        <v>43555</v>
      </c>
      <c r="L1498" s="1474"/>
      <c r="M1498" s="1475">
        <v>0</v>
      </c>
      <c r="N1498" s="1476">
        <v>1.5073632866980677</v>
      </c>
      <c r="O1498" s="1476"/>
    </row>
    <row r="1499" spans="11:15">
      <c r="K1499" s="1473">
        <v>43556</v>
      </c>
      <c r="L1499" s="1474" t="s">
        <v>2123</v>
      </c>
      <c r="M1499" s="1475">
        <v>2.462E-2</v>
      </c>
      <c r="N1499" s="1476">
        <v>1.5077343995392529</v>
      </c>
      <c r="O1499" s="1476"/>
    </row>
    <row r="1500" spans="11:15">
      <c r="K1500" s="1473">
        <v>43557</v>
      </c>
      <c r="L1500" s="1474" t="s">
        <v>2123</v>
      </c>
      <c r="M1500" s="1475">
        <v>2.462E-2</v>
      </c>
      <c r="N1500" s="1476">
        <v>1.5081056037484195</v>
      </c>
      <c r="O1500" s="1476"/>
    </row>
    <row r="1501" spans="11:15">
      <c r="K1501" s="1473">
        <v>43558</v>
      </c>
      <c r="L1501" s="1474" t="s">
        <v>2123</v>
      </c>
      <c r="M1501" s="1475">
        <v>2.462E-2</v>
      </c>
      <c r="N1501" s="1476">
        <v>1.5084768993480624</v>
      </c>
      <c r="O1501" s="1476"/>
    </row>
    <row r="1502" spans="11:15">
      <c r="K1502" s="1473">
        <v>43559</v>
      </c>
      <c r="L1502" s="1474" t="s">
        <v>2123</v>
      </c>
      <c r="M1502" s="1475">
        <v>2.462E-2</v>
      </c>
      <c r="N1502" s="1476">
        <v>1.508848286360682</v>
      </c>
      <c r="O1502" s="1476"/>
    </row>
    <row r="1503" spans="11:15">
      <c r="K1503" s="1473">
        <v>43560</v>
      </c>
      <c r="L1503" s="1474" t="s">
        <v>2123</v>
      </c>
      <c r="M1503" s="1475">
        <v>2.462E-2</v>
      </c>
      <c r="N1503" s="1476">
        <v>1.5092197648087842</v>
      </c>
      <c r="O1503" s="1476"/>
    </row>
    <row r="1504" spans="11:15">
      <c r="K1504" s="1473">
        <v>43561</v>
      </c>
      <c r="L1504" s="1474"/>
      <c r="M1504" s="1475">
        <v>0</v>
      </c>
      <c r="N1504" s="1476">
        <v>1.5092197648087842</v>
      </c>
      <c r="O1504" s="1476"/>
    </row>
    <row r="1505" spans="11:15">
      <c r="K1505" s="1473">
        <v>43562</v>
      </c>
      <c r="L1505" s="1474"/>
      <c r="M1505" s="1475">
        <v>0</v>
      </c>
      <c r="N1505" s="1476">
        <v>1.5092197648087842</v>
      </c>
      <c r="O1505" s="1476"/>
    </row>
    <row r="1506" spans="11:15">
      <c r="K1506" s="1473">
        <v>43563</v>
      </c>
      <c r="L1506" s="1474" t="s">
        <v>2123</v>
      </c>
      <c r="M1506" s="1475">
        <v>2.462E-2</v>
      </c>
      <c r="N1506" s="1476">
        <v>1.5095913347148802</v>
      </c>
      <c r="O1506" s="1476"/>
    </row>
    <row r="1507" spans="11:15">
      <c r="K1507" s="1473">
        <v>43564</v>
      </c>
      <c r="L1507" s="1474" t="s">
        <v>2123</v>
      </c>
      <c r="M1507" s="1475">
        <v>2.462E-2</v>
      </c>
      <c r="N1507" s="1476">
        <v>1.5099629961014871</v>
      </c>
      <c r="O1507" s="1476"/>
    </row>
    <row r="1508" spans="11:15">
      <c r="K1508" s="1473">
        <v>43565</v>
      </c>
      <c r="L1508" s="1474" t="s">
        <v>2123</v>
      </c>
      <c r="M1508" s="1475">
        <v>2.462E-2</v>
      </c>
      <c r="N1508" s="1476">
        <v>1.5103347489911274</v>
      </c>
      <c r="O1508" s="1476"/>
    </row>
    <row r="1509" spans="11:15">
      <c r="K1509" s="1473">
        <v>43566</v>
      </c>
      <c r="L1509" s="1474" t="s">
        <v>2123</v>
      </c>
      <c r="M1509" s="1475">
        <v>2.462E-2</v>
      </c>
      <c r="N1509" s="1476">
        <v>1.5107065934063291</v>
      </c>
      <c r="O1509" s="1476"/>
    </row>
    <row r="1510" spans="11:15">
      <c r="K1510" s="1473">
        <v>43567</v>
      </c>
      <c r="L1510" s="1474" t="s">
        <v>2123</v>
      </c>
      <c r="M1510" s="1475">
        <v>2.462E-2</v>
      </c>
      <c r="N1510" s="1476">
        <v>1.5110785293696258</v>
      </c>
      <c r="O1510" s="1476"/>
    </row>
    <row r="1511" spans="11:15">
      <c r="K1511" s="1473">
        <v>43568</v>
      </c>
      <c r="L1511" s="1474"/>
      <c r="M1511" s="1475">
        <v>0</v>
      </c>
      <c r="N1511" s="1476">
        <v>1.5110785293696258</v>
      </c>
      <c r="O1511" s="1476"/>
    </row>
    <row r="1512" spans="11:15">
      <c r="K1512" s="1473">
        <v>43569</v>
      </c>
      <c r="L1512" s="1474"/>
      <c r="M1512" s="1475">
        <v>0</v>
      </c>
      <c r="N1512" s="1476">
        <v>1.5110785293696258</v>
      </c>
      <c r="O1512" s="1476"/>
    </row>
    <row r="1513" spans="11:15">
      <c r="K1513" s="1473">
        <v>43570</v>
      </c>
      <c r="L1513" s="1474" t="s">
        <v>2123</v>
      </c>
      <c r="M1513" s="1475">
        <v>2.462E-2</v>
      </c>
      <c r="N1513" s="1476">
        <v>1.5114505569035568</v>
      </c>
      <c r="O1513" s="1476"/>
    </row>
    <row r="1514" spans="11:15">
      <c r="K1514" s="1473">
        <v>43571</v>
      </c>
      <c r="L1514" s="1474" t="s">
        <v>2123</v>
      </c>
      <c r="M1514" s="1475">
        <v>2.462E-2</v>
      </c>
      <c r="N1514" s="1476">
        <v>1.5118226760306666</v>
      </c>
      <c r="O1514" s="1476"/>
    </row>
    <row r="1515" spans="11:15">
      <c r="K1515" s="1473">
        <v>43572</v>
      </c>
      <c r="L1515" s="1474" t="s">
        <v>2123</v>
      </c>
      <c r="M1515" s="1475">
        <v>2.462E-2</v>
      </c>
      <c r="N1515" s="1476">
        <v>1.5121948867735053</v>
      </c>
      <c r="O1515" s="1476"/>
    </row>
    <row r="1516" spans="11:15">
      <c r="K1516" s="1473">
        <v>43573</v>
      </c>
      <c r="L1516" s="1474" t="s">
        <v>2123</v>
      </c>
      <c r="M1516" s="1475">
        <v>2.462E-2</v>
      </c>
      <c r="N1516" s="1476">
        <v>1.5125671891546291</v>
      </c>
      <c r="O1516" s="1476"/>
    </row>
    <row r="1517" spans="11:15">
      <c r="K1517" s="1473">
        <v>43574</v>
      </c>
      <c r="L1517" s="1474"/>
      <c r="M1517" s="1475">
        <v>0</v>
      </c>
      <c r="N1517" s="1476">
        <v>1.5125671891546291</v>
      </c>
      <c r="O1517" s="1476"/>
    </row>
    <row r="1518" spans="11:15">
      <c r="K1518" s="1473">
        <v>43575</v>
      </c>
      <c r="L1518" s="1474"/>
      <c r="M1518" s="1475">
        <v>0</v>
      </c>
      <c r="N1518" s="1476">
        <v>1.5125671891546291</v>
      </c>
      <c r="O1518" s="1476"/>
    </row>
    <row r="1519" spans="11:15">
      <c r="K1519" s="1473">
        <v>43576</v>
      </c>
      <c r="L1519" s="1474"/>
      <c r="M1519" s="1475">
        <v>0</v>
      </c>
      <c r="N1519" s="1476">
        <v>1.5125671891546291</v>
      </c>
      <c r="O1519" s="1476"/>
    </row>
    <row r="1520" spans="11:15">
      <c r="K1520" s="1473">
        <v>43577</v>
      </c>
      <c r="L1520" s="1474" t="s">
        <v>2123</v>
      </c>
      <c r="M1520" s="1475">
        <v>2.462E-2</v>
      </c>
      <c r="N1520" s="1476">
        <v>1.512939583196599</v>
      </c>
      <c r="O1520" s="1476"/>
    </row>
    <row r="1521" spans="11:15">
      <c r="K1521" s="1473">
        <v>43578</v>
      </c>
      <c r="L1521" s="1474" t="s">
        <v>2123</v>
      </c>
      <c r="M1521" s="1475">
        <v>2.462E-2</v>
      </c>
      <c r="N1521" s="1476">
        <v>1.5133120689219821</v>
      </c>
      <c r="O1521" s="1476"/>
    </row>
    <row r="1522" spans="11:15">
      <c r="K1522" s="1473">
        <v>43579</v>
      </c>
      <c r="L1522" s="1474" t="s">
        <v>2123</v>
      </c>
      <c r="M1522" s="1475">
        <v>2.462E-2</v>
      </c>
      <c r="N1522" s="1476">
        <v>1.5136846463533509</v>
      </c>
      <c r="O1522" s="1476"/>
    </row>
    <row r="1523" spans="11:15">
      <c r="K1523" s="1473">
        <v>43580</v>
      </c>
      <c r="L1523" s="1474" t="s">
        <v>2123</v>
      </c>
      <c r="M1523" s="1475">
        <v>2.462E-2</v>
      </c>
      <c r="N1523" s="1476">
        <v>1.5140573155132833</v>
      </c>
      <c r="O1523" s="1476"/>
    </row>
    <row r="1524" spans="11:15">
      <c r="K1524" s="1473">
        <v>43581</v>
      </c>
      <c r="L1524" s="1474" t="s">
        <v>2123</v>
      </c>
      <c r="M1524" s="1475">
        <v>2.462E-2</v>
      </c>
      <c r="N1524" s="1476">
        <v>1.5144300764243628</v>
      </c>
      <c r="O1524" s="1476"/>
    </row>
    <row r="1525" spans="11:15">
      <c r="K1525" s="1473">
        <v>43582</v>
      </c>
      <c r="L1525" s="1474"/>
      <c r="M1525" s="1475">
        <v>0</v>
      </c>
      <c r="N1525" s="1476">
        <v>1.5144300764243628</v>
      </c>
      <c r="O1525" s="1476"/>
    </row>
    <row r="1526" spans="11:15">
      <c r="K1526" s="1473">
        <v>43583</v>
      </c>
      <c r="L1526" s="1474"/>
      <c r="M1526" s="1475">
        <v>0</v>
      </c>
      <c r="N1526" s="1476">
        <v>1.5144300764243628</v>
      </c>
      <c r="O1526" s="1476"/>
    </row>
    <row r="1527" spans="11:15">
      <c r="K1527" s="1473">
        <v>43584</v>
      </c>
      <c r="L1527" s="1474" t="s">
        <v>2123</v>
      </c>
      <c r="M1527" s="1475">
        <v>2.462E-2</v>
      </c>
      <c r="N1527" s="1476">
        <v>1.5148029291091787</v>
      </c>
      <c r="O1527" s="1476"/>
    </row>
    <row r="1528" spans="11:15">
      <c r="K1528" s="1473">
        <v>43585</v>
      </c>
      <c r="L1528" s="1474" t="s">
        <v>2123</v>
      </c>
      <c r="M1528" s="1475">
        <v>2.462E-2</v>
      </c>
      <c r="N1528" s="1476">
        <v>1.5151758735903256</v>
      </c>
      <c r="O1528" s="1476"/>
    </row>
    <row r="1529" spans="11:15">
      <c r="K1529" s="1473">
        <v>43586</v>
      </c>
      <c r="L1529" s="1474"/>
      <c r="M1529" s="1475">
        <v>0</v>
      </c>
      <c r="N1529" s="1476">
        <v>1.5151758735903256</v>
      </c>
      <c r="O1529" s="1476"/>
    </row>
    <row r="1530" spans="11:15">
      <c r="K1530" s="1473">
        <v>43587</v>
      </c>
      <c r="L1530" s="1474" t="s">
        <v>2123</v>
      </c>
      <c r="M1530" s="1475">
        <v>2.462E-2</v>
      </c>
      <c r="N1530" s="1476">
        <v>1.5155489098904036</v>
      </c>
      <c r="O1530" s="1476"/>
    </row>
    <row r="1531" spans="11:15">
      <c r="K1531" s="1473">
        <v>43588</v>
      </c>
      <c r="L1531" s="1474" t="s">
        <v>2123</v>
      </c>
      <c r="M1531" s="1475">
        <v>2.462E-2</v>
      </c>
      <c r="N1531" s="1476">
        <v>1.5159220380320186</v>
      </c>
      <c r="O1531" s="1476"/>
    </row>
    <row r="1532" spans="11:15">
      <c r="K1532" s="1473">
        <v>43589</v>
      </c>
      <c r="L1532" s="1474"/>
      <c r="M1532" s="1475">
        <v>0</v>
      </c>
      <c r="N1532" s="1476">
        <v>1.5159220380320186</v>
      </c>
      <c r="O1532" s="1476"/>
    </row>
    <row r="1533" spans="11:15">
      <c r="K1533" s="1473">
        <v>43590</v>
      </c>
      <c r="L1533" s="1474"/>
      <c r="M1533" s="1475">
        <v>0</v>
      </c>
      <c r="N1533" s="1476">
        <v>1.5159220380320186</v>
      </c>
      <c r="O1533" s="1476"/>
    </row>
    <row r="1534" spans="11:15">
      <c r="K1534" s="1473">
        <v>43591</v>
      </c>
      <c r="L1534" s="1474" t="s">
        <v>2123</v>
      </c>
      <c r="M1534" s="1475">
        <v>2.462E-2</v>
      </c>
      <c r="N1534" s="1476">
        <v>1.5162952580377822</v>
      </c>
      <c r="O1534" s="1476"/>
    </row>
    <row r="1535" spans="11:15">
      <c r="K1535" s="1473">
        <v>43592</v>
      </c>
      <c r="L1535" s="1474" t="s">
        <v>2123</v>
      </c>
      <c r="M1535" s="1475">
        <v>2.462E-2</v>
      </c>
      <c r="N1535" s="1476">
        <v>1.5166685699303113</v>
      </c>
      <c r="O1535" s="1476"/>
    </row>
    <row r="1536" spans="11:15">
      <c r="K1536" s="1473">
        <v>43593</v>
      </c>
      <c r="L1536" s="1474" t="s">
        <v>2123</v>
      </c>
      <c r="M1536" s="1475">
        <v>2.462E-2</v>
      </c>
      <c r="N1536" s="1476">
        <v>1.5170419737322283</v>
      </c>
      <c r="O1536" s="1476"/>
    </row>
    <row r="1537" spans="11:15">
      <c r="K1537" s="1473">
        <v>43594</v>
      </c>
      <c r="L1537" s="1474" t="s">
        <v>2123</v>
      </c>
      <c r="M1537" s="1475">
        <v>2.462E-2</v>
      </c>
      <c r="N1537" s="1476">
        <v>1.5174154694661612</v>
      </c>
      <c r="O1537" s="1476"/>
    </row>
    <row r="1538" spans="11:15">
      <c r="K1538" s="1473">
        <v>43595</v>
      </c>
      <c r="L1538" s="1474" t="s">
        <v>2123</v>
      </c>
      <c r="M1538" s="1475">
        <v>2.462E-2</v>
      </c>
      <c r="N1538" s="1476">
        <v>1.5177890571547439</v>
      </c>
      <c r="O1538" s="1476"/>
    </row>
    <row r="1539" spans="11:15">
      <c r="K1539" s="1473">
        <v>43596</v>
      </c>
      <c r="L1539" s="1474"/>
      <c r="M1539" s="1475">
        <v>0</v>
      </c>
      <c r="N1539" s="1476">
        <v>1.5177890571547439</v>
      </c>
      <c r="O1539" s="1476"/>
    </row>
    <row r="1540" spans="11:15">
      <c r="K1540" s="1473">
        <v>43597</v>
      </c>
      <c r="L1540" s="1474"/>
      <c r="M1540" s="1475">
        <v>0</v>
      </c>
      <c r="N1540" s="1476">
        <v>1.5177890571547439</v>
      </c>
      <c r="O1540" s="1476"/>
    </row>
    <row r="1541" spans="11:15">
      <c r="K1541" s="1473">
        <v>43598</v>
      </c>
      <c r="L1541" s="1474" t="s">
        <v>2123</v>
      </c>
      <c r="M1541" s="1475">
        <v>2.462E-2</v>
      </c>
      <c r="N1541" s="1476">
        <v>1.5181627368206154</v>
      </c>
      <c r="O1541" s="1476"/>
    </row>
    <row r="1542" spans="11:15">
      <c r="K1542" s="1473">
        <v>43599</v>
      </c>
      <c r="L1542" s="1474" t="s">
        <v>2123</v>
      </c>
      <c r="M1542" s="1475">
        <v>2.462E-2</v>
      </c>
      <c r="N1542" s="1476">
        <v>1.5185365084864209</v>
      </c>
      <c r="O1542" s="1476"/>
    </row>
    <row r="1543" spans="11:15">
      <c r="K1543" s="1473">
        <v>43600</v>
      </c>
      <c r="L1543" s="1474" t="s">
        <v>2123</v>
      </c>
      <c r="M1543" s="1475">
        <v>2.462E-2</v>
      </c>
      <c r="N1543" s="1476">
        <v>1.5189103721748103</v>
      </c>
      <c r="O1543" s="1476"/>
    </row>
    <row r="1544" spans="11:15">
      <c r="K1544" s="1473">
        <v>43601</v>
      </c>
      <c r="L1544" s="1474" t="s">
        <v>2123</v>
      </c>
      <c r="M1544" s="1475">
        <v>2.462E-2</v>
      </c>
      <c r="N1544" s="1476">
        <v>1.5192843279084398</v>
      </c>
      <c r="O1544" s="1476"/>
    </row>
    <row r="1545" spans="11:15">
      <c r="K1545" s="1473">
        <v>43602</v>
      </c>
      <c r="L1545" s="1474" t="s">
        <v>2123</v>
      </c>
      <c r="M1545" s="1475">
        <v>2.462E-2</v>
      </c>
      <c r="N1545" s="1476">
        <v>1.5196583757099711</v>
      </c>
      <c r="O1545" s="1476"/>
    </row>
    <row r="1546" spans="11:15">
      <c r="K1546" s="1473">
        <v>43603</v>
      </c>
      <c r="L1546" s="1474"/>
      <c r="M1546" s="1475">
        <v>0</v>
      </c>
      <c r="N1546" s="1476">
        <v>1.5196583757099711</v>
      </c>
      <c r="O1546" s="1476"/>
    </row>
    <row r="1547" spans="11:15">
      <c r="K1547" s="1473">
        <v>43604</v>
      </c>
      <c r="L1547" s="1474"/>
      <c r="M1547" s="1475">
        <v>0</v>
      </c>
      <c r="N1547" s="1476">
        <v>1.5196583757099711</v>
      </c>
      <c r="O1547" s="1476"/>
    </row>
    <row r="1548" spans="11:15">
      <c r="K1548" s="1473">
        <v>43605</v>
      </c>
      <c r="L1548" s="1474" t="s">
        <v>2123</v>
      </c>
      <c r="M1548" s="1475">
        <v>2.462E-2</v>
      </c>
      <c r="N1548" s="1476">
        <v>1.5200325156020711</v>
      </c>
      <c r="O1548" s="1476"/>
    </row>
    <row r="1549" spans="11:15">
      <c r="K1549" s="1473">
        <v>43606</v>
      </c>
      <c r="L1549" s="1474" t="s">
        <v>2123</v>
      </c>
      <c r="M1549" s="1475">
        <v>2.462E-2</v>
      </c>
      <c r="N1549" s="1476">
        <v>1.5204067476074123</v>
      </c>
      <c r="O1549" s="1476"/>
    </row>
    <row r="1550" spans="11:15">
      <c r="K1550" s="1473">
        <v>43607</v>
      </c>
      <c r="L1550" s="1474" t="s">
        <v>2123</v>
      </c>
      <c r="M1550" s="1475">
        <v>2.462E-2</v>
      </c>
      <c r="N1550" s="1476">
        <v>1.5207810717486734</v>
      </c>
      <c r="O1550" s="1476"/>
    </row>
    <row r="1551" spans="11:15">
      <c r="K1551" s="1473">
        <v>43608</v>
      </c>
      <c r="L1551" s="1474" t="s">
        <v>2123</v>
      </c>
      <c r="M1551" s="1475">
        <v>2.462E-2</v>
      </c>
      <c r="N1551" s="1476">
        <v>1.5211554880485381</v>
      </c>
      <c r="O1551" s="1476"/>
    </row>
    <row r="1552" spans="11:15">
      <c r="K1552" s="1473">
        <v>43609</v>
      </c>
      <c r="L1552" s="1474" t="s">
        <v>2123</v>
      </c>
      <c r="M1552" s="1475">
        <v>2.462E-2</v>
      </c>
      <c r="N1552" s="1476">
        <v>1.5215299965296958</v>
      </c>
      <c r="O1552" s="1476"/>
    </row>
    <row r="1553" spans="11:15">
      <c r="K1553" s="1473">
        <v>43610</v>
      </c>
      <c r="L1553" s="1474"/>
      <c r="M1553" s="1475">
        <v>0</v>
      </c>
      <c r="N1553" s="1476">
        <v>1.5215299965296958</v>
      </c>
      <c r="O1553" s="1476"/>
    </row>
    <row r="1554" spans="11:15">
      <c r="K1554" s="1473">
        <v>43611</v>
      </c>
      <c r="L1554" s="1474"/>
      <c r="M1554" s="1475">
        <v>0</v>
      </c>
      <c r="N1554" s="1476">
        <v>1.5215299965296958</v>
      </c>
      <c r="O1554" s="1476"/>
    </row>
    <row r="1555" spans="11:15">
      <c r="K1555" s="1473">
        <v>43612</v>
      </c>
      <c r="L1555" s="1474" t="s">
        <v>2123</v>
      </c>
      <c r="M1555" s="1475">
        <v>2.462E-2</v>
      </c>
      <c r="N1555" s="1476">
        <v>1.5219045972148415</v>
      </c>
      <c r="O1555" s="1476"/>
    </row>
    <row r="1556" spans="11:15">
      <c r="K1556" s="1473">
        <v>43613</v>
      </c>
      <c r="L1556" s="1474" t="s">
        <v>2123</v>
      </c>
      <c r="M1556" s="1475">
        <v>2.462E-2</v>
      </c>
      <c r="N1556" s="1476">
        <v>1.522279290126676</v>
      </c>
      <c r="O1556" s="1476"/>
    </row>
    <row r="1557" spans="11:15">
      <c r="K1557" s="1473">
        <v>43614</v>
      </c>
      <c r="L1557" s="1474" t="s">
        <v>2123</v>
      </c>
      <c r="M1557" s="1475">
        <v>2.462E-2</v>
      </c>
      <c r="N1557" s="1476">
        <v>1.5226540752879052</v>
      </c>
      <c r="O1557" s="1476"/>
    </row>
    <row r="1558" spans="11:15">
      <c r="K1558" s="1473">
        <v>43615</v>
      </c>
      <c r="L1558" s="1474" t="s">
        <v>2123</v>
      </c>
      <c r="M1558" s="1475">
        <v>2.462E-2</v>
      </c>
      <c r="N1558" s="1476">
        <v>1.5230289527212413</v>
      </c>
      <c r="O1558" s="1476"/>
    </row>
    <row r="1559" spans="11:15">
      <c r="K1559" s="1473">
        <v>43616</v>
      </c>
      <c r="L1559" s="1474" t="s">
        <v>2123</v>
      </c>
      <c r="M1559" s="1475">
        <v>2.462E-2</v>
      </c>
      <c r="N1559" s="1476">
        <v>1.5234039224494014</v>
      </c>
      <c r="O1559" s="1476"/>
    </row>
    <row r="1560" spans="11:15">
      <c r="K1560" s="1473">
        <v>43617</v>
      </c>
      <c r="L1560" s="1474"/>
      <c r="M1560" s="1475">
        <v>0</v>
      </c>
      <c r="N1560" s="1476">
        <v>1.5234039224494014</v>
      </c>
      <c r="O1560" s="1476"/>
    </row>
    <row r="1561" spans="11:15">
      <c r="K1561" s="1473">
        <v>43618</v>
      </c>
      <c r="L1561" s="1474"/>
      <c r="M1561" s="1475">
        <v>0</v>
      </c>
      <c r="N1561" s="1476">
        <v>1.5234039224494014</v>
      </c>
      <c r="O1561" s="1476"/>
    </row>
    <row r="1562" spans="11:15">
      <c r="K1562" s="1473">
        <v>43619</v>
      </c>
      <c r="L1562" s="1474" t="s">
        <v>2123</v>
      </c>
      <c r="M1562" s="1475">
        <v>2.462E-2</v>
      </c>
      <c r="N1562" s="1476">
        <v>1.5237789844951086</v>
      </c>
      <c r="O1562" s="1476"/>
    </row>
    <row r="1563" spans="11:15">
      <c r="K1563" s="1473">
        <v>43620</v>
      </c>
      <c r="L1563" s="1474" t="s">
        <v>2123</v>
      </c>
      <c r="M1563" s="1475">
        <v>2.462E-2</v>
      </c>
      <c r="N1563" s="1476">
        <v>1.5241541388810915</v>
      </c>
      <c r="O1563" s="1476"/>
    </row>
    <row r="1564" spans="11:15">
      <c r="K1564" s="1473">
        <v>43621</v>
      </c>
      <c r="L1564" s="1474" t="s">
        <v>2123</v>
      </c>
      <c r="M1564" s="1475">
        <v>2.462E-2</v>
      </c>
      <c r="N1564" s="1476">
        <v>1.5245293856300841</v>
      </c>
      <c r="O1564" s="1476"/>
    </row>
    <row r="1565" spans="11:15">
      <c r="K1565" s="1473">
        <v>43622</v>
      </c>
      <c r="L1565" s="1474" t="s">
        <v>2123</v>
      </c>
      <c r="M1565" s="1475">
        <v>2.462E-2</v>
      </c>
      <c r="N1565" s="1476">
        <v>1.5249047247648264</v>
      </c>
      <c r="O1565" s="1476"/>
    </row>
    <row r="1566" spans="11:15">
      <c r="K1566" s="1473">
        <v>43623</v>
      </c>
      <c r="L1566" s="1474" t="s">
        <v>2123</v>
      </c>
      <c r="M1566" s="1475">
        <v>2.462E-2</v>
      </c>
      <c r="N1566" s="1476">
        <v>1.5252801563080636</v>
      </c>
      <c r="O1566" s="1476"/>
    </row>
    <row r="1567" spans="11:15">
      <c r="K1567" s="1473">
        <v>43624</v>
      </c>
      <c r="L1567" s="1474"/>
      <c r="M1567" s="1475">
        <v>0</v>
      </c>
      <c r="N1567" s="1476">
        <v>1.5252801563080636</v>
      </c>
      <c r="O1567" s="1476"/>
    </row>
    <row r="1568" spans="11:15">
      <c r="K1568" s="1473">
        <v>43625</v>
      </c>
      <c r="L1568" s="1474"/>
      <c r="M1568" s="1475">
        <v>0</v>
      </c>
      <c r="N1568" s="1476">
        <v>1.5252801563080636</v>
      </c>
      <c r="O1568" s="1476"/>
    </row>
    <row r="1569" spans="11:15">
      <c r="K1569" s="1473">
        <v>43626</v>
      </c>
      <c r="L1569" s="1474" t="s">
        <v>2123</v>
      </c>
      <c r="M1569" s="1475">
        <v>2.462E-2</v>
      </c>
      <c r="N1569" s="1476">
        <v>1.5256556802825467</v>
      </c>
      <c r="O1569" s="1476"/>
    </row>
    <row r="1570" spans="11:15">
      <c r="K1570" s="1473">
        <v>43627</v>
      </c>
      <c r="L1570" s="1474" t="s">
        <v>2123</v>
      </c>
      <c r="M1570" s="1475">
        <v>2.462E-2</v>
      </c>
      <c r="N1570" s="1476">
        <v>1.5260312967110323</v>
      </c>
      <c r="O1570" s="1476"/>
    </row>
    <row r="1571" spans="11:15">
      <c r="K1571" s="1473">
        <v>43628</v>
      </c>
      <c r="L1571" s="1474" t="s">
        <v>2123</v>
      </c>
      <c r="M1571" s="1475">
        <v>2.462E-2</v>
      </c>
      <c r="N1571" s="1476">
        <v>1.5264070056162826</v>
      </c>
      <c r="O1571" s="1476"/>
    </row>
    <row r="1572" spans="11:15">
      <c r="K1572" s="1473">
        <v>43629</v>
      </c>
      <c r="L1572" s="1474" t="s">
        <v>2123</v>
      </c>
      <c r="M1572" s="1475">
        <v>2.462E-2</v>
      </c>
      <c r="N1572" s="1476">
        <v>1.5267828070210654</v>
      </c>
      <c r="O1572" s="1476"/>
    </row>
    <row r="1573" spans="11:15">
      <c r="K1573" s="1473">
        <v>43630</v>
      </c>
      <c r="L1573" s="1474" t="s">
        <v>2123</v>
      </c>
      <c r="M1573" s="1475">
        <v>2.462E-2</v>
      </c>
      <c r="N1573" s="1476">
        <v>1.5271587009481542</v>
      </c>
      <c r="O1573" s="1476"/>
    </row>
    <row r="1574" spans="11:15">
      <c r="K1574" s="1473">
        <v>43631</v>
      </c>
      <c r="L1574" s="1474"/>
      <c r="M1574" s="1475">
        <v>0</v>
      </c>
      <c r="N1574" s="1476">
        <v>1.5271587009481542</v>
      </c>
      <c r="O1574" s="1476"/>
    </row>
    <row r="1575" spans="11:15">
      <c r="K1575" s="1473">
        <v>43632</v>
      </c>
      <c r="L1575" s="1474"/>
      <c r="M1575" s="1475">
        <v>0</v>
      </c>
      <c r="N1575" s="1476">
        <v>1.5271587009481542</v>
      </c>
      <c r="O1575" s="1476"/>
    </row>
    <row r="1576" spans="11:15">
      <c r="K1576" s="1473">
        <v>43633</v>
      </c>
      <c r="L1576" s="1474" t="s">
        <v>2123</v>
      </c>
      <c r="M1576" s="1475">
        <v>2.462E-2</v>
      </c>
      <c r="N1576" s="1476">
        <v>1.5275346874203277</v>
      </c>
      <c r="O1576" s="1476"/>
    </row>
    <row r="1577" spans="11:15">
      <c r="K1577" s="1473">
        <v>43634</v>
      </c>
      <c r="L1577" s="1474" t="s">
        <v>2123</v>
      </c>
      <c r="M1577" s="1475">
        <v>2.462E-2</v>
      </c>
      <c r="N1577" s="1476">
        <v>1.5279107664603708</v>
      </c>
      <c r="O1577" s="1476"/>
    </row>
    <row r="1578" spans="11:15">
      <c r="K1578" s="1473">
        <v>43635</v>
      </c>
      <c r="L1578" s="1474" t="s">
        <v>2123</v>
      </c>
      <c r="M1578" s="1475">
        <v>2.462E-2</v>
      </c>
      <c r="N1578" s="1476">
        <v>1.5282869380910735</v>
      </c>
      <c r="O1578" s="1476"/>
    </row>
    <row r="1579" spans="11:15">
      <c r="K1579" s="1473">
        <v>43636</v>
      </c>
      <c r="L1579" s="1474"/>
      <c r="M1579" s="1475">
        <v>0</v>
      </c>
      <c r="N1579" s="1476">
        <v>1.5282869380910735</v>
      </c>
      <c r="O1579" s="1476"/>
    </row>
    <row r="1580" spans="11:15">
      <c r="K1580" s="1473">
        <v>43637</v>
      </c>
      <c r="L1580" s="1474" t="s">
        <v>2123</v>
      </c>
      <c r="M1580" s="1475">
        <v>2.462E-2</v>
      </c>
      <c r="N1580" s="1476">
        <v>1.5286632023352316</v>
      </c>
      <c r="O1580" s="1476"/>
    </row>
    <row r="1581" spans="11:15">
      <c r="K1581" s="1473">
        <v>43638</v>
      </c>
      <c r="L1581" s="1474"/>
      <c r="M1581" s="1475">
        <v>0</v>
      </c>
      <c r="N1581" s="1476">
        <v>1.5286632023352316</v>
      </c>
      <c r="O1581" s="1476"/>
    </row>
    <row r="1582" spans="11:15">
      <c r="K1582" s="1473">
        <v>43639</v>
      </c>
      <c r="L1582" s="1474"/>
      <c r="M1582" s="1475">
        <v>0</v>
      </c>
      <c r="N1582" s="1476">
        <v>1.5286632023352316</v>
      </c>
      <c r="O1582" s="1476"/>
    </row>
    <row r="1583" spans="11:15">
      <c r="K1583" s="1473">
        <v>43640</v>
      </c>
      <c r="L1583" s="1474" t="s">
        <v>2123</v>
      </c>
      <c r="M1583" s="1475">
        <v>2.462E-2</v>
      </c>
      <c r="N1583" s="1476">
        <v>1.5290395592156467</v>
      </c>
      <c r="O1583" s="1476"/>
    </row>
    <row r="1584" spans="11:15">
      <c r="K1584" s="1473">
        <v>43641</v>
      </c>
      <c r="L1584" s="1474" t="s">
        <v>2123</v>
      </c>
      <c r="M1584" s="1475">
        <v>2.462E-2</v>
      </c>
      <c r="N1584" s="1476">
        <v>1.5294160087551258</v>
      </c>
      <c r="O1584" s="1476"/>
    </row>
    <row r="1585" spans="11:15">
      <c r="K1585" s="1473">
        <v>43642</v>
      </c>
      <c r="L1585" s="1474" t="s">
        <v>2123</v>
      </c>
      <c r="M1585" s="1475">
        <v>2.462E-2</v>
      </c>
      <c r="N1585" s="1476">
        <v>1.5297925509764816</v>
      </c>
      <c r="O1585" s="1476"/>
    </row>
    <row r="1586" spans="11:15">
      <c r="K1586" s="1473">
        <v>43643</v>
      </c>
      <c r="L1586" s="1474" t="s">
        <v>2123</v>
      </c>
      <c r="M1586" s="1475">
        <v>2.462E-2</v>
      </c>
      <c r="N1586" s="1476">
        <v>1.5301691859025321</v>
      </c>
      <c r="O1586" s="1476"/>
    </row>
    <row r="1587" spans="11:15">
      <c r="K1587" s="1473">
        <v>43644</v>
      </c>
      <c r="L1587" s="1474" t="s">
        <v>2123</v>
      </c>
      <c r="M1587" s="1475">
        <v>2.462E-2</v>
      </c>
      <c r="N1587" s="1476">
        <v>1.5305459135561015</v>
      </c>
      <c r="O1587" s="1476"/>
    </row>
    <row r="1588" spans="11:15">
      <c r="K1588" s="1473">
        <v>43645</v>
      </c>
      <c r="L1588" s="1474"/>
      <c r="M1588" s="1475">
        <v>0</v>
      </c>
      <c r="N1588" s="1476">
        <v>1.5305459135561015</v>
      </c>
      <c r="O1588" s="1476"/>
    </row>
    <row r="1589" spans="11:15">
      <c r="K1589" s="1473">
        <v>43646</v>
      </c>
      <c r="L1589" s="1474"/>
      <c r="M1589" s="1475">
        <v>0</v>
      </c>
      <c r="N1589" s="1476">
        <v>1.5305459135561015</v>
      </c>
      <c r="O1589" s="1476"/>
    </row>
    <row r="1590" spans="11:15">
      <c r="K1590" s="1473">
        <v>43647</v>
      </c>
      <c r="L1590" s="1474" t="s">
        <v>2123</v>
      </c>
      <c r="M1590" s="1475">
        <v>2.462E-2</v>
      </c>
      <c r="N1590" s="1476">
        <v>1.5309227339600191</v>
      </c>
      <c r="O1590" s="1476"/>
    </row>
    <row r="1591" spans="11:15">
      <c r="K1591" s="1473">
        <v>43648</v>
      </c>
      <c r="L1591" s="1474" t="s">
        <v>2123</v>
      </c>
      <c r="M1591" s="1475">
        <v>2.462E-2</v>
      </c>
      <c r="N1591" s="1476">
        <v>1.5312996471371201</v>
      </c>
      <c r="O1591" s="1476"/>
    </row>
    <row r="1592" spans="11:15">
      <c r="K1592" s="1473">
        <v>43649</v>
      </c>
      <c r="L1592" s="1474" t="s">
        <v>2123</v>
      </c>
      <c r="M1592" s="1475">
        <v>2.462E-2</v>
      </c>
      <c r="N1592" s="1476">
        <v>1.5316766531102455</v>
      </c>
      <c r="O1592" s="1476"/>
    </row>
    <row r="1593" spans="11:15">
      <c r="K1593" s="1473">
        <v>43650</v>
      </c>
      <c r="L1593" s="1474" t="s">
        <v>2123</v>
      </c>
      <c r="M1593" s="1475">
        <v>2.462E-2</v>
      </c>
      <c r="N1593" s="1476">
        <v>1.5320537519022412</v>
      </c>
      <c r="O1593" s="1476"/>
    </row>
    <row r="1594" spans="11:15">
      <c r="K1594" s="1473">
        <v>43651</v>
      </c>
      <c r="L1594" s="1474" t="s">
        <v>2123</v>
      </c>
      <c r="M1594" s="1475">
        <v>2.462E-2</v>
      </c>
      <c r="N1594" s="1476">
        <v>1.5324309435359598</v>
      </c>
      <c r="O1594" s="1476"/>
    </row>
    <row r="1595" spans="11:15">
      <c r="K1595" s="1473">
        <v>43652</v>
      </c>
      <c r="L1595" s="1474"/>
      <c r="M1595" s="1475">
        <v>0</v>
      </c>
      <c r="N1595" s="1476">
        <v>1.5324309435359598</v>
      </c>
      <c r="O1595" s="1476"/>
    </row>
    <row r="1596" spans="11:15">
      <c r="K1596" s="1473">
        <v>43653</v>
      </c>
      <c r="L1596" s="1474"/>
      <c r="M1596" s="1475">
        <v>0</v>
      </c>
      <c r="N1596" s="1476">
        <v>1.5324309435359598</v>
      </c>
      <c r="O1596" s="1476"/>
    </row>
    <row r="1597" spans="11:15">
      <c r="K1597" s="1473">
        <v>43654</v>
      </c>
      <c r="L1597" s="1474" t="s">
        <v>2123</v>
      </c>
      <c r="M1597" s="1475">
        <v>2.462E-2</v>
      </c>
      <c r="N1597" s="1476">
        <v>1.5328082280342585</v>
      </c>
      <c r="O1597" s="1476"/>
    </row>
    <row r="1598" spans="11:15">
      <c r="K1598" s="1473">
        <v>43655</v>
      </c>
      <c r="L1598" s="1474" t="s">
        <v>2123</v>
      </c>
      <c r="M1598" s="1475">
        <v>2.462E-2</v>
      </c>
      <c r="N1598" s="1476">
        <v>1.5331856054200006</v>
      </c>
      <c r="O1598" s="1476"/>
    </row>
    <row r="1599" spans="11:15">
      <c r="K1599" s="1473">
        <v>43656</v>
      </c>
      <c r="L1599" s="1474" t="s">
        <v>2123</v>
      </c>
      <c r="M1599" s="1475">
        <v>2.462E-2</v>
      </c>
      <c r="N1599" s="1476">
        <v>1.5335630757160552</v>
      </c>
      <c r="O1599" s="1476"/>
    </row>
    <row r="1600" spans="11:15">
      <c r="K1600" s="1473">
        <v>43657</v>
      </c>
      <c r="L1600" s="1474" t="s">
        <v>2123</v>
      </c>
      <c r="M1600" s="1475">
        <v>2.462E-2</v>
      </c>
      <c r="N1600" s="1476">
        <v>1.5339406389452965</v>
      </c>
      <c r="O1600" s="1476"/>
    </row>
    <row r="1601" spans="11:15">
      <c r="K1601" s="1473">
        <v>43658</v>
      </c>
      <c r="L1601" s="1474" t="s">
        <v>2123</v>
      </c>
      <c r="M1601" s="1475">
        <v>2.462E-2</v>
      </c>
      <c r="N1601" s="1476">
        <v>1.5343182951306049</v>
      </c>
      <c r="O1601" s="1476"/>
    </row>
    <row r="1602" spans="11:15">
      <c r="K1602" s="1473">
        <v>43659</v>
      </c>
      <c r="L1602" s="1474"/>
      <c r="M1602" s="1475">
        <v>0</v>
      </c>
      <c r="N1602" s="1476">
        <v>1.5343182951306049</v>
      </c>
      <c r="O1602" s="1476"/>
    </row>
    <row r="1603" spans="11:15">
      <c r="K1603" s="1473">
        <v>43660</v>
      </c>
      <c r="L1603" s="1474"/>
      <c r="M1603" s="1475">
        <v>0</v>
      </c>
      <c r="N1603" s="1476">
        <v>1.5343182951306049</v>
      </c>
      <c r="O1603" s="1476"/>
    </row>
    <row r="1604" spans="11:15">
      <c r="K1604" s="1473">
        <v>43661</v>
      </c>
      <c r="L1604" s="1474" t="s">
        <v>2123</v>
      </c>
      <c r="M1604" s="1475">
        <v>2.462E-2</v>
      </c>
      <c r="N1604" s="1476">
        <v>1.5346960442948663</v>
      </c>
      <c r="O1604" s="1476"/>
    </row>
    <row r="1605" spans="11:15">
      <c r="K1605" s="1473">
        <v>43662</v>
      </c>
      <c r="L1605" s="1474" t="s">
        <v>2123</v>
      </c>
      <c r="M1605" s="1475">
        <v>2.462E-2</v>
      </c>
      <c r="N1605" s="1476">
        <v>1.5350738864609719</v>
      </c>
      <c r="O1605" s="1476"/>
    </row>
    <row r="1606" spans="11:15">
      <c r="K1606" s="1473">
        <v>43663</v>
      </c>
      <c r="L1606" s="1474" t="s">
        <v>2123</v>
      </c>
      <c r="M1606" s="1475">
        <v>2.462E-2</v>
      </c>
      <c r="N1606" s="1476">
        <v>1.5354518216518187</v>
      </c>
      <c r="O1606" s="1476"/>
    </row>
    <row r="1607" spans="11:15">
      <c r="K1607" s="1473">
        <v>43664</v>
      </c>
      <c r="L1607" s="1474" t="s">
        <v>2123</v>
      </c>
      <c r="M1607" s="1475">
        <v>2.462E-2</v>
      </c>
      <c r="N1607" s="1476">
        <v>1.5358298498903096</v>
      </c>
      <c r="O1607" s="1476"/>
    </row>
    <row r="1608" spans="11:15">
      <c r="K1608" s="1473">
        <v>43665</v>
      </c>
      <c r="L1608" s="1474" t="s">
        <v>2123</v>
      </c>
      <c r="M1608" s="1475">
        <v>2.462E-2</v>
      </c>
      <c r="N1608" s="1476">
        <v>1.5362079711993526</v>
      </c>
      <c r="O1608" s="1476"/>
    </row>
    <row r="1609" spans="11:15">
      <c r="K1609" s="1473">
        <v>43666</v>
      </c>
      <c r="L1609" s="1474"/>
      <c r="M1609" s="1475">
        <v>0</v>
      </c>
      <c r="N1609" s="1476">
        <v>1.5362079711993526</v>
      </c>
      <c r="O1609" s="1476"/>
    </row>
    <row r="1610" spans="11:15">
      <c r="K1610" s="1473">
        <v>43667</v>
      </c>
      <c r="L1610" s="1474"/>
      <c r="M1610" s="1475">
        <v>0</v>
      </c>
      <c r="N1610" s="1476">
        <v>1.5362079711993526</v>
      </c>
      <c r="O1610" s="1476"/>
    </row>
    <row r="1611" spans="11:15">
      <c r="K1611" s="1473">
        <v>43668</v>
      </c>
      <c r="L1611" s="1474" t="s">
        <v>2123</v>
      </c>
      <c r="M1611" s="1475">
        <v>2.462E-2</v>
      </c>
      <c r="N1611" s="1476">
        <v>1.5365861856018621</v>
      </c>
      <c r="O1611" s="1476"/>
    </row>
    <row r="1612" spans="11:15">
      <c r="K1612" s="1473">
        <v>43669</v>
      </c>
      <c r="L1612" s="1474" t="s">
        <v>2123</v>
      </c>
      <c r="M1612" s="1475">
        <v>2.462E-2</v>
      </c>
      <c r="N1612" s="1476">
        <v>1.5369644931207573</v>
      </c>
      <c r="O1612" s="1476"/>
    </row>
    <row r="1613" spans="11:15">
      <c r="K1613" s="1473">
        <v>43670</v>
      </c>
      <c r="L1613" s="1474" t="s">
        <v>2123</v>
      </c>
      <c r="M1613" s="1475">
        <v>2.462E-2</v>
      </c>
      <c r="N1613" s="1476">
        <v>1.5373428937789637</v>
      </c>
      <c r="O1613" s="1476"/>
    </row>
    <row r="1614" spans="11:15">
      <c r="K1614" s="1473">
        <v>43671</v>
      </c>
      <c r="L1614" s="1474" t="s">
        <v>2123</v>
      </c>
      <c r="M1614" s="1475">
        <v>2.462E-2</v>
      </c>
      <c r="N1614" s="1476">
        <v>1.5377213875994122</v>
      </c>
      <c r="O1614" s="1476"/>
    </row>
    <row r="1615" spans="11:15">
      <c r="K1615" s="1473">
        <v>43672</v>
      </c>
      <c r="L1615" s="1474" t="s">
        <v>2123</v>
      </c>
      <c r="M1615" s="1475">
        <v>2.462E-2</v>
      </c>
      <c r="N1615" s="1476">
        <v>1.5380999746050394</v>
      </c>
      <c r="O1615" s="1476"/>
    </row>
    <row r="1616" spans="11:15">
      <c r="K1616" s="1473">
        <v>43673</v>
      </c>
      <c r="L1616" s="1474"/>
      <c r="M1616" s="1475">
        <v>0</v>
      </c>
      <c r="N1616" s="1476">
        <v>1.5380999746050394</v>
      </c>
      <c r="O1616" s="1476"/>
    </row>
    <row r="1617" spans="11:15">
      <c r="K1617" s="1473">
        <v>43674</v>
      </c>
      <c r="L1617" s="1474"/>
      <c r="M1617" s="1475">
        <v>0</v>
      </c>
      <c r="N1617" s="1476">
        <v>1.5380999746050394</v>
      </c>
      <c r="O1617" s="1476"/>
    </row>
    <row r="1618" spans="11:15">
      <c r="K1618" s="1473">
        <v>43675</v>
      </c>
      <c r="L1618" s="1474" t="s">
        <v>2123</v>
      </c>
      <c r="M1618" s="1475">
        <v>2.462E-2</v>
      </c>
      <c r="N1618" s="1476">
        <v>1.5384786548187874</v>
      </c>
      <c r="O1618" s="1476"/>
    </row>
    <row r="1619" spans="11:15">
      <c r="K1619" s="1473">
        <v>43676</v>
      </c>
      <c r="L1619" s="1474" t="s">
        <v>2123</v>
      </c>
      <c r="M1619" s="1475">
        <v>2.462E-2</v>
      </c>
      <c r="N1619" s="1476">
        <v>1.5388574282636041</v>
      </c>
      <c r="O1619" s="1476"/>
    </row>
    <row r="1620" spans="11:15">
      <c r="K1620" s="1473">
        <v>43677</v>
      </c>
      <c r="L1620" s="1474" t="s">
        <v>2123</v>
      </c>
      <c r="M1620" s="1475">
        <v>2.462E-2</v>
      </c>
      <c r="N1620" s="1476">
        <v>1.5392362949624427</v>
      </c>
      <c r="O1620" s="1476"/>
    </row>
    <row r="1621" spans="11:15">
      <c r="K1621" s="1473">
        <v>43678</v>
      </c>
      <c r="L1621" s="1474" t="s">
        <v>2123</v>
      </c>
      <c r="M1621" s="1475">
        <v>2.2751E-2</v>
      </c>
      <c r="N1621" s="1476">
        <v>1.5395864866119096</v>
      </c>
      <c r="O1621" s="1476"/>
    </row>
    <row r="1622" spans="11:15">
      <c r="K1622" s="1473">
        <v>43679</v>
      </c>
      <c r="L1622" s="1474" t="s">
        <v>2123</v>
      </c>
      <c r="M1622" s="1475">
        <v>2.2751E-2</v>
      </c>
      <c r="N1622" s="1476">
        <v>1.5399367579334786</v>
      </c>
      <c r="O1622" s="1476"/>
    </row>
    <row r="1623" spans="11:15">
      <c r="K1623" s="1473">
        <v>43680</v>
      </c>
      <c r="L1623" s="1474"/>
      <c r="M1623" s="1475">
        <v>0</v>
      </c>
      <c r="N1623" s="1476">
        <v>1.5399367579334786</v>
      </c>
      <c r="O1623" s="1476"/>
    </row>
    <row r="1624" spans="11:15">
      <c r="K1624" s="1473">
        <v>43681</v>
      </c>
      <c r="L1624" s="1474"/>
      <c r="M1624" s="1475">
        <v>0</v>
      </c>
      <c r="N1624" s="1476">
        <v>1.5399367579334786</v>
      </c>
      <c r="O1624" s="1476"/>
    </row>
    <row r="1625" spans="11:15">
      <c r="K1625" s="1473">
        <v>43682</v>
      </c>
      <c r="L1625" s="1474" t="s">
        <v>2123</v>
      </c>
      <c r="M1625" s="1475">
        <v>2.2751E-2</v>
      </c>
      <c r="N1625" s="1476">
        <v>1.5402871089452761</v>
      </c>
      <c r="O1625" s="1476"/>
    </row>
    <row r="1626" spans="11:15">
      <c r="K1626" s="1473">
        <v>43683</v>
      </c>
      <c r="L1626" s="1474" t="s">
        <v>2123</v>
      </c>
      <c r="M1626" s="1475">
        <v>2.2751E-2</v>
      </c>
      <c r="N1626" s="1476">
        <v>1.5406375396654322</v>
      </c>
      <c r="O1626" s="1476"/>
    </row>
    <row r="1627" spans="11:15">
      <c r="K1627" s="1473">
        <v>43684</v>
      </c>
      <c r="L1627" s="1474" t="s">
        <v>2123</v>
      </c>
      <c r="M1627" s="1475">
        <v>2.2751E-2</v>
      </c>
      <c r="N1627" s="1476">
        <v>1.5409880501120814</v>
      </c>
      <c r="O1627" s="1476"/>
    </row>
    <row r="1628" spans="11:15">
      <c r="K1628" s="1473">
        <v>43685</v>
      </c>
      <c r="L1628" s="1474" t="s">
        <v>2123</v>
      </c>
      <c r="M1628" s="1475">
        <v>2.2751E-2</v>
      </c>
      <c r="N1628" s="1476">
        <v>1.5413386403033624</v>
      </c>
      <c r="O1628" s="1476"/>
    </row>
    <row r="1629" spans="11:15">
      <c r="K1629" s="1473">
        <v>43686</v>
      </c>
      <c r="L1629" s="1474" t="s">
        <v>2123</v>
      </c>
      <c r="M1629" s="1475">
        <v>2.2751E-2</v>
      </c>
      <c r="N1629" s="1476">
        <v>1.5416893102574178</v>
      </c>
      <c r="O1629" s="1476"/>
    </row>
    <row r="1630" spans="11:15">
      <c r="K1630" s="1473">
        <v>43687</v>
      </c>
      <c r="L1630" s="1474"/>
      <c r="M1630" s="1475">
        <v>0</v>
      </c>
      <c r="N1630" s="1476">
        <v>1.5416893102574178</v>
      </c>
      <c r="O1630" s="1476"/>
    </row>
    <row r="1631" spans="11:15">
      <c r="K1631" s="1473">
        <v>43688</v>
      </c>
      <c r="L1631" s="1474"/>
      <c r="M1631" s="1475">
        <v>0</v>
      </c>
      <c r="N1631" s="1476">
        <v>1.5416893102574178</v>
      </c>
      <c r="O1631" s="1476"/>
    </row>
    <row r="1632" spans="11:15">
      <c r="K1632" s="1473">
        <v>43689</v>
      </c>
      <c r="L1632" s="1474" t="s">
        <v>2123</v>
      </c>
      <c r="M1632" s="1475">
        <v>2.2751E-2</v>
      </c>
      <c r="N1632" s="1476">
        <v>1.5420400599923945</v>
      </c>
      <c r="O1632" s="1476"/>
    </row>
    <row r="1633" spans="11:15">
      <c r="K1633" s="1473">
        <v>43690</v>
      </c>
      <c r="L1633" s="1474" t="s">
        <v>2123</v>
      </c>
      <c r="M1633" s="1475">
        <v>2.2751E-2</v>
      </c>
      <c r="N1633" s="1476">
        <v>1.5423908895264433</v>
      </c>
      <c r="O1633" s="1476"/>
    </row>
    <row r="1634" spans="11:15">
      <c r="K1634" s="1473">
        <v>43691</v>
      </c>
      <c r="L1634" s="1474" t="s">
        <v>2123</v>
      </c>
      <c r="M1634" s="1475">
        <v>2.2751E-2</v>
      </c>
      <c r="N1634" s="1476">
        <v>1.5427417988777195</v>
      </c>
      <c r="O1634" s="1476"/>
    </row>
    <row r="1635" spans="11:15">
      <c r="K1635" s="1473">
        <v>43692</v>
      </c>
      <c r="L1635" s="1474" t="s">
        <v>2123</v>
      </c>
      <c r="M1635" s="1475">
        <v>2.2751E-2</v>
      </c>
      <c r="N1635" s="1476">
        <v>1.5430927880643821</v>
      </c>
      <c r="O1635" s="1476"/>
    </row>
    <row r="1636" spans="11:15">
      <c r="K1636" s="1473">
        <v>43693</v>
      </c>
      <c r="L1636" s="1474" t="s">
        <v>2123</v>
      </c>
      <c r="M1636" s="1475">
        <v>2.2751E-2</v>
      </c>
      <c r="N1636" s="1476">
        <v>1.5434438571045945</v>
      </c>
      <c r="O1636" s="1476"/>
    </row>
    <row r="1637" spans="11:15">
      <c r="K1637" s="1473">
        <v>43694</v>
      </c>
      <c r="L1637" s="1474"/>
      <c r="M1637" s="1475">
        <v>0</v>
      </c>
      <c r="N1637" s="1476">
        <v>1.5434438571045945</v>
      </c>
      <c r="O1637" s="1476"/>
    </row>
    <row r="1638" spans="11:15">
      <c r="K1638" s="1473">
        <v>43695</v>
      </c>
      <c r="L1638" s="1474"/>
      <c r="M1638" s="1475">
        <v>0</v>
      </c>
      <c r="N1638" s="1476">
        <v>1.5434438571045945</v>
      </c>
      <c r="O1638" s="1476"/>
    </row>
    <row r="1639" spans="11:15">
      <c r="K1639" s="1473">
        <v>43696</v>
      </c>
      <c r="L1639" s="1474" t="s">
        <v>2123</v>
      </c>
      <c r="M1639" s="1475">
        <v>2.2751E-2</v>
      </c>
      <c r="N1639" s="1476">
        <v>1.5437950060165244</v>
      </c>
      <c r="O1639" s="1476"/>
    </row>
    <row r="1640" spans="11:15">
      <c r="K1640" s="1473">
        <v>43697</v>
      </c>
      <c r="L1640" s="1474" t="s">
        <v>2123</v>
      </c>
      <c r="M1640" s="1475">
        <v>2.2751E-2</v>
      </c>
      <c r="N1640" s="1476">
        <v>1.5441462348183432</v>
      </c>
      <c r="O1640" s="1476"/>
    </row>
    <row r="1641" spans="11:15">
      <c r="K1641" s="1473">
        <v>43698</v>
      </c>
      <c r="L1641" s="1474" t="s">
        <v>2123</v>
      </c>
      <c r="M1641" s="1475">
        <v>2.2751E-2</v>
      </c>
      <c r="N1641" s="1476">
        <v>1.5444975435282267</v>
      </c>
      <c r="O1641" s="1476"/>
    </row>
    <row r="1642" spans="11:15">
      <c r="K1642" s="1473">
        <v>43699</v>
      </c>
      <c r="L1642" s="1474" t="s">
        <v>2123</v>
      </c>
      <c r="M1642" s="1475">
        <v>2.2751E-2</v>
      </c>
      <c r="N1642" s="1476">
        <v>1.5448489321643548</v>
      </c>
      <c r="O1642" s="1476"/>
    </row>
    <row r="1643" spans="11:15">
      <c r="K1643" s="1473">
        <v>43700</v>
      </c>
      <c r="L1643" s="1474" t="s">
        <v>2123</v>
      </c>
      <c r="M1643" s="1475">
        <v>2.2751E-2</v>
      </c>
      <c r="N1643" s="1476">
        <v>1.5452004007449116</v>
      </c>
      <c r="O1643" s="1476"/>
    </row>
    <row r="1644" spans="11:15">
      <c r="K1644" s="1473">
        <v>43701</v>
      </c>
      <c r="L1644" s="1474"/>
      <c r="M1644" s="1475">
        <v>0</v>
      </c>
      <c r="N1644" s="1476">
        <v>1.5452004007449116</v>
      </c>
      <c r="O1644" s="1476"/>
    </row>
    <row r="1645" spans="11:15">
      <c r="K1645" s="1473">
        <v>43702</v>
      </c>
      <c r="L1645" s="1474"/>
      <c r="M1645" s="1475">
        <v>0</v>
      </c>
      <c r="N1645" s="1476">
        <v>1.5452004007449116</v>
      </c>
      <c r="O1645" s="1476"/>
    </row>
    <row r="1646" spans="11:15">
      <c r="K1646" s="1473">
        <v>43703</v>
      </c>
      <c r="L1646" s="1474" t="s">
        <v>2123</v>
      </c>
      <c r="M1646" s="1475">
        <v>2.2751E-2</v>
      </c>
      <c r="N1646" s="1476">
        <v>1.5455519492880851</v>
      </c>
      <c r="O1646" s="1476"/>
    </row>
    <row r="1647" spans="11:15">
      <c r="K1647" s="1473">
        <v>43704</v>
      </c>
      <c r="L1647" s="1474" t="s">
        <v>2123</v>
      </c>
      <c r="M1647" s="1475">
        <v>2.2751E-2</v>
      </c>
      <c r="N1647" s="1476">
        <v>1.5459035778120676</v>
      </c>
      <c r="O1647" s="1476"/>
    </row>
    <row r="1648" spans="11:15">
      <c r="K1648" s="1473">
        <v>43705</v>
      </c>
      <c r="L1648" s="1474" t="s">
        <v>2123</v>
      </c>
      <c r="M1648" s="1475">
        <v>2.2751E-2</v>
      </c>
      <c r="N1648" s="1476">
        <v>1.5462552863350556</v>
      </c>
      <c r="O1648" s="1476"/>
    </row>
    <row r="1649" spans="11:15">
      <c r="K1649" s="1473">
        <v>43706</v>
      </c>
      <c r="L1649" s="1474" t="s">
        <v>2123</v>
      </c>
      <c r="M1649" s="1475">
        <v>2.2751E-2</v>
      </c>
      <c r="N1649" s="1476">
        <v>1.5466070748752496</v>
      </c>
      <c r="O1649" s="1476"/>
    </row>
    <row r="1650" spans="11:15">
      <c r="K1650" s="1473">
        <v>43707</v>
      </c>
      <c r="L1650" s="1474" t="s">
        <v>2123</v>
      </c>
      <c r="M1650" s="1475">
        <v>2.2751E-2</v>
      </c>
      <c r="N1650" s="1476">
        <v>1.5469589434508544</v>
      </c>
      <c r="O1650" s="1476"/>
    </row>
    <row r="1651" spans="11:15">
      <c r="K1651" s="1473">
        <v>43708</v>
      </c>
      <c r="L1651" s="1474"/>
      <c r="M1651" s="1475">
        <v>0</v>
      </c>
      <c r="N1651" s="1476">
        <v>1.5469589434508544</v>
      </c>
      <c r="O1651" s="1476"/>
    </row>
    <row r="1652" spans="11:15">
      <c r="K1652" s="1473">
        <v>43709</v>
      </c>
      <c r="L1652" s="1474"/>
      <c r="M1652" s="1475">
        <v>0</v>
      </c>
      <c r="N1652" s="1476">
        <v>1.5469589434508544</v>
      </c>
      <c r="O1652" s="1476"/>
    </row>
    <row r="1653" spans="11:15">
      <c r="K1653" s="1473">
        <v>43710</v>
      </c>
      <c r="L1653" s="1474" t="s">
        <v>2123</v>
      </c>
      <c r="M1653" s="1475">
        <v>2.2751E-2</v>
      </c>
      <c r="N1653" s="1476">
        <v>1.5473108920800789</v>
      </c>
      <c r="O1653" s="1476"/>
    </row>
    <row r="1654" spans="11:15">
      <c r="K1654" s="1473">
        <v>43711</v>
      </c>
      <c r="L1654" s="1474" t="s">
        <v>2123</v>
      </c>
      <c r="M1654" s="1475">
        <v>2.2751E-2</v>
      </c>
      <c r="N1654" s="1476">
        <v>1.5476629207811361</v>
      </c>
      <c r="O1654" s="1476"/>
    </row>
    <row r="1655" spans="11:15">
      <c r="K1655" s="1473">
        <v>43712</v>
      </c>
      <c r="L1655" s="1474" t="s">
        <v>2123</v>
      </c>
      <c r="M1655" s="1475">
        <v>2.2751E-2</v>
      </c>
      <c r="N1655" s="1476">
        <v>1.548015029572243</v>
      </c>
      <c r="O1655" s="1476"/>
    </row>
    <row r="1656" spans="11:15">
      <c r="K1656" s="1473">
        <v>43713</v>
      </c>
      <c r="L1656" s="1474" t="s">
        <v>2123</v>
      </c>
      <c r="M1656" s="1475">
        <v>2.2751E-2</v>
      </c>
      <c r="N1656" s="1476">
        <v>1.5483672184716211</v>
      </c>
      <c r="O1656" s="1476"/>
    </row>
    <row r="1657" spans="11:15">
      <c r="K1657" s="1473">
        <v>43714</v>
      </c>
      <c r="L1657" s="1474" t="s">
        <v>2123</v>
      </c>
      <c r="M1657" s="1475">
        <v>2.2751E-2</v>
      </c>
      <c r="N1657" s="1476">
        <v>1.5487194874974954</v>
      </c>
      <c r="O1657" s="1476"/>
    </row>
    <row r="1658" spans="11:15">
      <c r="K1658" s="1473">
        <v>43715</v>
      </c>
      <c r="L1658" s="1474"/>
      <c r="M1658" s="1475">
        <v>0</v>
      </c>
      <c r="N1658" s="1476">
        <v>1.5487194874974954</v>
      </c>
      <c r="O1658" s="1476"/>
    </row>
    <row r="1659" spans="11:15">
      <c r="K1659" s="1473">
        <v>43716</v>
      </c>
      <c r="L1659" s="1474"/>
      <c r="M1659" s="1475">
        <v>0</v>
      </c>
      <c r="N1659" s="1476">
        <v>1.5487194874974954</v>
      </c>
      <c r="O1659" s="1476"/>
    </row>
    <row r="1660" spans="11:15">
      <c r="K1660" s="1473">
        <v>43717</v>
      </c>
      <c r="L1660" s="1474" t="s">
        <v>2123</v>
      </c>
      <c r="M1660" s="1475">
        <v>2.2751E-2</v>
      </c>
      <c r="N1660" s="1476">
        <v>1.549071836668096</v>
      </c>
      <c r="O1660" s="1476"/>
    </row>
    <row r="1661" spans="11:15">
      <c r="K1661" s="1473">
        <v>43718</v>
      </c>
      <c r="L1661" s="1474" t="s">
        <v>2123</v>
      </c>
      <c r="M1661" s="1475">
        <v>2.2751E-2</v>
      </c>
      <c r="N1661" s="1476">
        <v>1.5494242660016564</v>
      </c>
      <c r="O1661" s="1476"/>
    </row>
    <row r="1662" spans="11:15">
      <c r="K1662" s="1473">
        <v>43719</v>
      </c>
      <c r="L1662" s="1474" t="s">
        <v>2123</v>
      </c>
      <c r="M1662" s="1475">
        <v>2.2751E-2</v>
      </c>
      <c r="N1662" s="1476">
        <v>1.5497767755164145</v>
      </c>
      <c r="O1662" s="1476"/>
    </row>
    <row r="1663" spans="11:15">
      <c r="K1663" s="1473">
        <v>43720</v>
      </c>
      <c r="L1663" s="1474" t="s">
        <v>2123</v>
      </c>
      <c r="M1663" s="1475">
        <v>2.2751E-2</v>
      </c>
      <c r="N1663" s="1476">
        <v>1.5501293652306123</v>
      </c>
      <c r="O1663" s="1476"/>
    </row>
    <row r="1664" spans="11:15">
      <c r="K1664" s="1473">
        <v>43721</v>
      </c>
      <c r="L1664" s="1474" t="s">
        <v>2123</v>
      </c>
      <c r="M1664" s="1475">
        <v>2.2751E-2</v>
      </c>
      <c r="N1664" s="1476">
        <v>1.5504820351624959</v>
      </c>
      <c r="O1664" s="1476"/>
    </row>
    <row r="1665" spans="11:15">
      <c r="K1665" s="1473">
        <v>43722</v>
      </c>
      <c r="L1665" s="1474"/>
      <c r="M1665" s="1475">
        <v>0</v>
      </c>
      <c r="N1665" s="1476">
        <v>1.5504820351624959</v>
      </c>
      <c r="O1665" s="1476"/>
    </row>
    <row r="1666" spans="11:15">
      <c r="K1666" s="1473">
        <v>43723</v>
      </c>
      <c r="L1666" s="1474"/>
      <c r="M1666" s="1475">
        <v>0</v>
      </c>
      <c r="N1666" s="1476">
        <v>1.5504820351624959</v>
      </c>
      <c r="O1666" s="1476"/>
    </row>
    <row r="1667" spans="11:15">
      <c r="K1667" s="1473">
        <v>43724</v>
      </c>
      <c r="L1667" s="1474" t="s">
        <v>2123</v>
      </c>
      <c r="M1667" s="1475">
        <v>2.2751E-2</v>
      </c>
      <c r="N1667" s="1476">
        <v>1.5508347853303157</v>
      </c>
      <c r="O1667" s="1476"/>
    </row>
    <row r="1668" spans="11:15">
      <c r="K1668" s="1473">
        <v>43725</v>
      </c>
      <c r="L1668" s="1474" t="s">
        <v>2123</v>
      </c>
      <c r="M1668" s="1475">
        <v>2.2751E-2</v>
      </c>
      <c r="N1668" s="1476">
        <v>1.5511876157523261</v>
      </c>
      <c r="O1668" s="1476"/>
    </row>
    <row r="1669" spans="11:15">
      <c r="K1669" s="1473">
        <v>43726</v>
      </c>
      <c r="L1669" s="1474" t="s">
        <v>2123</v>
      </c>
      <c r="M1669" s="1475">
        <v>2.2751E-2</v>
      </c>
      <c r="N1669" s="1476">
        <v>1.5515405264467859</v>
      </c>
      <c r="O1669" s="1476"/>
    </row>
    <row r="1670" spans="11:15">
      <c r="K1670" s="1473">
        <v>43727</v>
      </c>
      <c r="L1670" s="1474" t="s">
        <v>2123</v>
      </c>
      <c r="M1670" s="1475">
        <v>2.0872000000000002E-2</v>
      </c>
      <c r="N1670" s="1476">
        <v>1.5518643639854659</v>
      </c>
      <c r="O1670" s="1476"/>
    </row>
    <row r="1671" spans="11:15">
      <c r="K1671" s="1473">
        <v>43728</v>
      </c>
      <c r="L1671" s="1474" t="s">
        <v>2123</v>
      </c>
      <c r="M1671" s="1475">
        <v>2.0872000000000002E-2</v>
      </c>
      <c r="N1671" s="1476">
        <v>1.5521882691155171</v>
      </c>
      <c r="O1671" s="1476"/>
    </row>
    <row r="1672" spans="11:15">
      <c r="K1672" s="1473">
        <v>43729</v>
      </c>
      <c r="L1672" s="1474"/>
      <c r="M1672" s="1475">
        <v>0</v>
      </c>
      <c r="N1672" s="1476">
        <v>1.5521882691155171</v>
      </c>
      <c r="O1672" s="1476"/>
    </row>
    <row r="1673" spans="11:15">
      <c r="K1673" s="1473">
        <v>43730</v>
      </c>
      <c r="L1673" s="1474"/>
      <c r="M1673" s="1475">
        <v>0</v>
      </c>
      <c r="N1673" s="1476">
        <v>1.5521882691155171</v>
      </c>
      <c r="O1673" s="1476"/>
    </row>
    <row r="1674" spans="11:15">
      <c r="K1674" s="1473">
        <v>43731</v>
      </c>
      <c r="L1674" s="1474" t="s">
        <v>2123</v>
      </c>
      <c r="M1674" s="1475">
        <v>2.0872000000000002E-2</v>
      </c>
      <c r="N1674" s="1476">
        <v>1.5525122418510471</v>
      </c>
      <c r="O1674" s="1476"/>
    </row>
    <row r="1675" spans="11:15">
      <c r="K1675" s="1473">
        <v>43732</v>
      </c>
      <c r="L1675" s="1474" t="s">
        <v>2123</v>
      </c>
      <c r="M1675" s="1475">
        <v>2.0872000000000002E-2</v>
      </c>
      <c r="N1675" s="1476">
        <v>1.5528362822061663</v>
      </c>
      <c r="O1675" s="1476"/>
    </row>
    <row r="1676" spans="11:15">
      <c r="K1676" s="1473">
        <v>43733</v>
      </c>
      <c r="L1676" s="1474" t="s">
        <v>2123</v>
      </c>
      <c r="M1676" s="1475">
        <v>2.0872000000000002E-2</v>
      </c>
      <c r="N1676" s="1476">
        <v>1.5531603901949884</v>
      </c>
      <c r="O1676" s="1476"/>
    </row>
    <row r="1677" spans="11:15">
      <c r="K1677" s="1473">
        <v>43734</v>
      </c>
      <c r="L1677" s="1474" t="s">
        <v>2123</v>
      </c>
      <c r="M1677" s="1475">
        <v>2.0872000000000002E-2</v>
      </c>
      <c r="N1677" s="1476">
        <v>1.5534845658316301</v>
      </c>
      <c r="O1677" s="1476"/>
    </row>
    <row r="1678" spans="11:15">
      <c r="K1678" s="1473">
        <v>43735</v>
      </c>
      <c r="L1678" s="1474" t="s">
        <v>2123</v>
      </c>
      <c r="M1678" s="1475">
        <v>2.0872000000000002E-2</v>
      </c>
      <c r="N1678" s="1476">
        <v>1.5538088091302105</v>
      </c>
      <c r="O1678" s="1476"/>
    </row>
    <row r="1679" spans="11:15">
      <c r="K1679" s="1473">
        <v>43736</v>
      </c>
      <c r="L1679" s="1474"/>
      <c r="M1679" s="1475">
        <v>0</v>
      </c>
      <c r="N1679" s="1476">
        <v>1.5538088091302105</v>
      </c>
      <c r="O1679" s="1476"/>
    </row>
    <row r="1680" spans="11:15">
      <c r="K1680" s="1473">
        <v>43737</v>
      </c>
      <c r="L1680" s="1474"/>
      <c r="M1680" s="1475">
        <v>0</v>
      </c>
      <c r="N1680" s="1476">
        <v>1.5538088091302105</v>
      </c>
      <c r="O1680" s="1476"/>
    </row>
    <row r="1681" spans="11:15">
      <c r="K1681" s="1473">
        <v>43738</v>
      </c>
      <c r="L1681" s="1474" t="s">
        <v>2123</v>
      </c>
      <c r="M1681" s="1475">
        <v>2.0872000000000002E-2</v>
      </c>
      <c r="N1681" s="1476">
        <v>1.5541331201048523</v>
      </c>
      <c r="O1681" s="1476"/>
    </row>
    <row r="1682" spans="11:15">
      <c r="K1682" s="1473">
        <v>43739</v>
      </c>
      <c r="L1682" s="1474" t="s">
        <v>2123</v>
      </c>
      <c r="M1682" s="1475">
        <v>2.0872000000000002E-2</v>
      </c>
      <c r="N1682" s="1476">
        <v>1.5544574987696806</v>
      </c>
      <c r="O1682" s="1476"/>
    </row>
    <row r="1683" spans="11:15">
      <c r="K1683" s="1473">
        <v>43740</v>
      </c>
      <c r="L1683" s="1474" t="s">
        <v>2123</v>
      </c>
      <c r="M1683" s="1475">
        <v>2.0872000000000002E-2</v>
      </c>
      <c r="N1683" s="1476">
        <v>1.5547819451388238</v>
      </c>
      <c r="O1683" s="1476"/>
    </row>
    <row r="1684" spans="11:15">
      <c r="K1684" s="1473">
        <v>43741</v>
      </c>
      <c r="L1684" s="1474" t="s">
        <v>2123</v>
      </c>
      <c r="M1684" s="1475">
        <v>2.0872000000000002E-2</v>
      </c>
      <c r="N1684" s="1476">
        <v>1.5551064592264132</v>
      </c>
      <c r="O1684" s="1476"/>
    </row>
    <row r="1685" spans="11:15">
      <c r="K1685" s="1473">
        <v>43742</v>
      </c>
      <c r="L1685" s="1474" t="s">
        <v>2123</v>
      </c>
      <c r="M1685" s="1475">
        <v>2.0872000000000002E-2</v>
      </c>
      <c r="N1685" s="1476">
        <v>1.555431041046583</v>
      </c>
      <c r="O1685" s="1476"/>
    </row>
    <row r="1686" spans="11:15">
      <c r="K1686" s="1473">
        <v>43743</v>
      </c>
      <c r="L1686" s="1474"/>
      <c r="M1686" s="1475">
        <v>0</v>
      </c>
      <c r="N1686" s="1476">
        <v>1.555431041046583</v>
      </c>
      <c r="O1686" s="1476"/>
    </row>
    <row r="1687" spans="11:15">
      <c r="K1687" s="1473">
        <v>43744</v>
      </c>
      <c r="L1687" s="1474"/>
      <c r="M1687" s="1475">
        <v>0</v>
      </c>
      <c r="N1687" s="1476">
        <v>1.555431041046583</v>
      </c>
      <c r="O1687" s="1476"/>
    </row>
    <row r="1688" spans="11:15">
      <c r="K1688" s="1473">
        <v>43745</v>
      </c>
      <c r="L1688" s="1474" t="s">
        <v>2123</v>
      </c>
      <c r="M1688" s="1475">
        <v>2.0872000000000002E-2</v>
      </c>
      <c r="N1688" s="1476">
        <v>1.5557556906134704</v>
      </c>
      <c r="O1688" s="1476"/>
    </row>
    <row r="1689" spans="11:15">
      <c r="K1689" s="1473">
        <v>43746</v>
      </c>
      <c r="L1689" s="1474" t="s">
        <v>2123</v>
      </c>
      <c r="M1689" s="1475">
        <v>2.0872000000000002E-2</v>
      </c>
      <c r="N1689" s="1476">
        <v>1.5560804079412154</v>
      </c>
      <c r="O1689" s="1476"/>
    </row>
    <row r="1690" spans="11:15">
      <c r="K1690" s="1473">
        <v>43747</v>
      </c>
      <c r="L1690" s="1474" t="s">
        <v>2123</v>
      </c>
      <c r="M1690" s="1475">
        <v>2.0872000000000002E-2</v>
      </c>
      <c r="N1690" s="1476">
        <v>1.5564051930439609</v>
      </c>
      <c r="O1690" s="1476"/>
    </row>
    <row r="1691" spans="11:15">
      <c r="K1691" s="1473">
        <v>43748</v>
      </c>
      <c r="L1691" s="1474" t="s">
        <v>2123</v>
      </c>
      <c r="M1691" s="1475">
        <v>2.0872000000000002E-2</v>
      </c>
      <c r="N1691" s="1476">
        <v>1.5567300459358531</v>
      </c>
      <c r="O1691" s="1476"/>
    </row>
    <row r="1692" spans="11:15">
      <c r="K1692" s="1473">
        <v>43749</v>
      </c>
      <c r="L1692" s="1474" t="s">
        <v>2123</v>
      </c>
      <c r="M1692" s="1475">
        <v>2.0872000000000002E-2</v>
      </c>
      <c r="N1692" s="1476">
        <v>1.5570549666310409</v>
      </c>
      <c r="O1692" s="1476"/>
    </row>
    <row r="1693" spans="11:15">
      <c r="K1693" s="1473">
        <v>43750</v>
      </c>
      <c r="L1693" s="1474"/>
      <c r="M1693" s="1475">
        <v>0</v>
      </c>
      <c r="N1693" s="1476">
        <v>1.5570549666310409</v>
      </c>
      <c r="O1693" s="1476"/>
    </row>
    <row r="1694" spans="11:15">
      <c r="K1694" s="1473">
        <v>43751</v>
      </c>
      <c r="L1694" s="1474"/>
      <c r="M1694" s="1475">
        <v>0</v>
      </c>
      <c r="N1694" s="1476">
        <v>1.5570549666310409</v>
      </c>
      <c r="O1694" s="1476"/>
    </row>
    <row r="1695" spans="11:15">
      <c r="K1695" s="1473">
        <v>43752</v>
      </c>
      <c r="L1695" s="1474" t="s">
        <v>2123</v>
      </c>
      <c r="M1695" s="1475">
        <v>2.0872000000000002E-2</v>
      </c>
      <c r="N1695" s="1476">
        <v>1.5573799551436762</v>
      </c>
      <c r="O1695" s="1476"/>
    </row>
    <row r="1696" spans="11:15">
      <c r="K1696" s="1473">
        <v>43753</v>
      </c>
      <c r="L1696" s="1474" t="s">
        <v>2123</v>
      </c>
      <c r="M1696" s="1475">
        <v>2.0872000000000002E-2</v>
      </c>
      <c r="N1696" s="1476">
        <v>1.5577050114879138</v>
      </c>
      <c r="O1696" s="1476"/>
    </row>
    <row r="1697" spans="11:15">
      <c r="K1697" s="1473">
        <v>43754</v>
      </c>
      <c r="L1697" s="1474" t="s">
        <v>2123</v>
      </c>
      <c r="M1697" s="1475">
        <v>2.0872000000000002E-2</v>
      </c>
      <c r="N1697" s="1476">
        <v>1.5580301356779116</v>
      </c>
      <c r="O1697" s="1476"/>
    </row>
    <row r="1698" spans="11:15">
      <c r="K1698" s="1473">
        <v>43755</v>
      </c>
      <c r="L1698" s="1474" t="s">
        <v>2123</v>
      </c>
      <c r="M1698" s="1475">
        <v>2.0872000000000002E-2</v>
      </c>
      <c r="N1698" s="1476">
        <v>1.5583553277278304</v>
      </c>
      <c r="O1698" s="1476"/>
    </row>
    <row r="1699" spans="11:15">
      <c r="K1699" s="1473">
        <v>43756</v>
      </c>
      <c r="L1699" s="1474" t="s">
        <v>2123</v>
      </c>
      <c r="M1699" s="1475">
        <v>2.0872000000000002E-2</v>
      </c>
      <c r="N1699" s="1476">
        <v>1.5586805876518337</v>
      </c>
      <c r="O1699" s="1476"/>
    </row>
    <row r="1700" spans="11:15">
      <c r="K1700" s="1473">
        <v>43757</v>
      </c>
      <c r="L1700" s="1474"/>
      <c r="M1700" s="1475">
        <v>0</v>
      </c>
      <c r="N1700" s="1476">
        <v>1.5586805876518337</v>
      </c>
      <c r="O1700" s="1476"/>
    </row>
    <row r="1701" spans="11:15">
      <c r="K1701" s="1473">
        <v>43758</v>
      </c>
      <c r="L1701" s="1474"/>
      <c r="M1701" s="1475">
        <v>0</v>
      </c>
      <c r="N1701" s="1476">
        <v>1.5586805876518337</v>
      </c>
      <c r="O1701" s="1476"/>
    </row>
    <row r="1702" spans="11:15">
      <c r="K1702" s="1473">
        <v>43759</v>
      </c>
      <c r="L1702" s="1474" t="s">
        <v>2123</v>
      </c>
      <c r="M1702" s="1475">
        <v>2.0872000000000002E-2</v>
      </c>
      <c r="N1702" s="1476">
        <v>1.5590059154640885</v>
      </c>
      <c r="O1702" s="1476"/>
    </row>
    <row r="1703" spans="11:15">
      <c r="K1703" s="1473">
        <v>43760</v>
      </c>
      <c r="L1703" s="1474" t="s">
        <v>2123</v>
      </c>
      <c r="M1703" s="1475">
        <v>2.0872000000000002E-2</v>
      </c>
      <c r="N1703" s="1476">
        <v>1.5593313111787643</v>
      </c>
      <c r="O1703" s="1476"/>
    </row>
    <row r="1704" spans="11:15">
      <c r="K1704" s="1473">
        <v>43761</v>
      </c>
      <c r="L1704" s="1474" t="s">
        <v>2123</v>
      </c>
      <c r="M1704" s="1475">
        <v>2.0872000000000002E-2</v>
      </c>
      <c r="N1704" s="1476">
        <v>1.5596567748100336</v>
      </c>
      <c r="O1704" s="1476"/>
    </row>
    <row r="1705" spans="11:15">
      <c r="K1705" s="1473">
        <v>43762</v>
      </c>
      <c r="L1705" s="1474" t="s">
        <v>2123</v>
      </c>
      <c r="M1705" s="1475">
        <v>2.0872000000000002E-2</v>
      </c>
      <c r="N1705" s="1476">
        <v>1.5599823063720721</v>
      </c>
      <c r="O1705" s="1476"/>
    </row>
    <row r="1706" spans="11:15">
      <c r="K1706" s="1473">
        <v>43763</v>
      </c>
      <c r="L1706" s="1474" t="s">
        <v>2123</v>
      </c>
      <c r="M1706" s="1475">
        <v>2.0872000000000002E-2</v>
      </c>
      <c r="N1706" s="1476">
        <v>1.5603079058790581</v>
      </c>
      <c r="O1706" s="1476"/>
    </row>
    <row r="1707" spans="11:15">
      <c r="K1707" s="1473">
        <v>43764</v>
      </c>
      <c r="L1707" s="1474"/>
      <c r="M1707" s="1475">
        <v>0</v>
      </c>
      <c r="N1707" s="1476">
        <v>1.5603079058790581</v>
      </c>
      <c r="O1707" s="1476"/>
    </row>
    <row r="1708" spans="11:15">
      <c r="K1708" s="1473">
        <v>43765</v>
      </c>
      <c r="L1708" s="1474"/>
      <c r="M1708" s="1475">
        <v>0</v>
      </c>
      <c r="N1708" s="1476">
        <v>1.5603079058790581</v>
      </c>
      <c r="O1708" s="1476"/>
    </row>
    <row r="1709" spans="11:15">
      <c r="K1709" s="1473">
        <v>43766</v>
      </c>
      <c r="L1709" s="1474" t="s">
        <v>2123</v>
      </c>
      <c r="M1709" s="1475">
        <v>2.0872000000000002E-2</v>
      </c>
      <c r="N1709" s="1476">
        <v>1.5606335733451733</v>
      </c>
      <c r="O1709" s="1476"/>
    </row>
    <row r="1710" spans="11:15">
      <c r="K1710" s="1473">
        <v>43767</v>
      </c>
      <c r="L1710" s="1474" t="s">
        <v>2123</v>
      </c>
      <c r="M1710" s="1475">
        <v>2.0872000000000002E-2</v>
      </c>
      <c r="N1710" s="1476">
        <v>1.5609593087846019</v>
      </c>
      <c r="O1710" s="1476"/>
    </row>
    <row r="1711" spans="11:15">
      <c r="K1711" s="1473">
        <v>43768</v>
      </c>
      <c r="L1711" s="1474" t="s">
        <v>2123</v>
      </c>
      <c r="M1711" s="1475">
        <v>2.0872000000000002E-2</v>
      </c>
      <c r="N1711" s="1476">
        <v>1.5612851122115314</v>
      </c>
      <c r="O1711" s="1476"/>
    </row>
    <row r="1712" spans="11:15">
      <c r="K1712" s="1473">
        <v>43769</v>
      </c>
      <c r="L1712" s="1474" t="s">
        <v>2123</v>
      </c>
      <c r="M1712" s="1475">
        <v>1.8984999999999998E-2</v>
      </c>
      <c r="N1712" s="1476">
        <v>1.5615815221900846</v>
      </c>
      <c r="O1712" s="1476"/>
    </row>
    <row r="1713" spans="11:15">
      <c r="K1713" s="1473">
        <v>43770</v>
      </c>
      <c r="L1713" s="1474" t="s">
        <v>2123</v>
      </c>
      <c r="M1713" s="1475">
        <v>1.8984999999999998E-2</v>
      </c>
      <c r="N1713" s="1476">
        <v>1.5618779884420724</v>
      </c>
      <c r="O1713" s="1476"/>
    </row>
    <row r="1714" spans="11:15">
      <c r="K1714" s="1473">
        <v>43771</v>
      </c>
      <c r="L1714" s="1474"/>
      <c r="M1714" s="1475">
        <v>0</v>
      </c>
      <c r="N1714" s="1476">
        <v>1.5618779884420724</v>
      </c>
      <c r="O1714" s="1476"/>
    </row>
    <row r="1715" spans="11:15">
      <c r="K1715" s="1473">
        <v>43772</v>
      </c>
      <c r="L1715" s="1474"/>
      <c r="M1715" s="1475">
        <v>0</v>
      </c>
      <c r="N1715" s="1476">
        <v>1.5618779884420724</v>
      </c>
      <c r="O1715" s="1476"/>
    </row>
    <row r="1716" spans="11:15">
      <c r="K1716" s="1473">
        <v>43773</v>
      </c>
      <c r="L1716" s="1474" t="s">
        <v>2123</v>
      </c>
      <c r="M1716" s="1475">
        <v>1.8984999999999998E-2</v>
      </c>
      <c r="N1716" s="1476">
        <v>1.5621745109781779</v>
      </c>
      <c r="O1716" s="1476"/>
    </row>
    <row r="1717" spans="11:15">
      <c r="K1717" s="1473">
        <v>43774</v>
      </c>
      <c r="L1717" s="1474" t="s">
        <v>2123</v>
      </c>
      <c r="M1717" s="1475">
        <v>1.8984999999999998E-2</v>
      </c>
      <c r="N1717" s="1476">
        <v>1.562471089809087</v>
      </c>
      <c r="O1717" s="1476"/>
    </row>
    <row r="1718" spans="11:15">
      <c r="K1718" s="1473">
        <v>43775</v>
      </c>
      <c r="L1718" s="1474" t="s">
        <v>2123</v>
      </c>
      <c r="M1718" s="1475">
        <v>1.8984999999999998E-2</v>
      </c>
      <c r="N1718" s="1476">
        <v>1.5627677249454872</v>
      </c>
      <c r="O1718" s="1476"/>
    </row>
    <row r="1719" spans="11:15">
      <c r="K1719" s="1473">
        <v>43776</v>
      </c>
      <c r="L1719" s="1474" t="s">
        <v>2123</v>
      </c>
      <c r="M1719" s="1475">
        <v>1.8984999999999998E-2</v>
      </c>
      <c r="N1719" s="1476">
        <v>1.563064416398068</v>
      </c>
      <c r="O1719" s="1476"/>
    </row>
    <row r="1720" spans="11:15">
      <c r="K1720" s="1473">
        <v>43777</v>
      </c>
      <c r="L1720" s="1474" t="s">
        <v>2123</v>
      </c>
      <c r="M1720" s="1475">
        <v>1.8984999999999998E-2</v>
      </c>
      <c r="N1720" s="1476">
        <v>1.5633611641775211</v>
      </c>
      <c r="O1720" s="1476"/>
    </row>
    <row r="1721" spans="11:15">
      <c r="K1721" s="1473">
        <v>43778</v>
      </c>
      <c r="L1721" s="1474"/>
      <c r="M1721" s="1475">
        <v>0</v>
      </c>
      <c r="N1721" s="1476">
        <v>1.5633611641775211</v>
      </c>
      <c r="O1721" s="1476"/>
    </row>
    <row r="1722" spans="11:15">
      <c r="K1722" s="1473">
        <v>43779</v>
      </c>
      <c r="L1722" s="1474"/>
      <c r="M1722" s="1475">
        <v>0</v>
      </c>
      <c r="N1722" s="1476">
        <v>1.5633611641775211</v>
      </c>
      <c r="O1722" s="1476"/>
    </row>
    <row r="1723" spans="11:15">
      <c r="K1723" s="1473">
        <v>43780</v>
      </c>
      <c r="L1723" s="1474" t="s">
        <v>2123</v>
      </c>
      <c r="M1723" s="1475">
        <v>1.8984999999999998E-2</v>
      </c>
      <c r="N1723" s="1476">
        <v>1.5636579682945402</v>
      </c>
      <c r="O1723" s="1476"/>
    </row>
    <row r="1724" spans="11:15">
      <c r="K1724" s="1473">
        <v>43781</v>
      </c>
      <c r="L1724" s="1474" t="s">
        <v>2123</v>
      </c>
      <c r="M1724" s="1475">
        <v>1.8984999999999998E-2</v>
      </c>
      <c r="N1724" s="1476">
        <v>1.5639548287598208</v>
      </c>
      <c r="O1724" s="1476"/>
    </row>
    <row r="1725" spans="11:15">
      <c r="K1725" s="1473">
        <v>43782</v>
      </c>
      <c r="L1725" s="1474" t="s">
        <v>2123</v>
      </c>
      <c r="M1725" s="1475">
        <v>1.8984999999999998E-2</v>
      </c>
      <c r="N1725" s="1476">
        <v>1.5642517455840608</v>
      </c>
      <c r="O1725" s="1476"/>
    </row>
    <row r="1726" spans="11:15">
      <c r="K1726" s="1473">
        <v>43783</v>
      </c>
      <c r="L1726" s="1474" t="s">
        <v>2123</v>
      </c>
      <c r="M1726" s="1475">
        <v>1.8984999999999998E-2</v>
      </c>
      <c r="N1726" s="1476">
        <v>1.5645487187779599</v>
      </c>
      <c r="O1726" s="1476"/>
    </row>
    <row r="1727" spans="11:15">
      <c r="K1727" s="1473">
        <v>43784</v>
      </c>
      <c r="L1727" s="1474"/>
      <c r="M1727" s="1475">
        <v>0</v>
      </c>
      <c r="N1727" s="1476">
        <v>1.5645487187779599</v>
      </c>
      <c r="O1727" s="1476"/>
    </row>
    <row r="1728" spans="11:15">
      <c r="K1728" s="1473">
        <v>43785</v>
      </c>
      <c r="L1728" s="1474"/>
      <c r="M1728" s="1475">
        <v>0</v>
      </c>
      <c r="N1728" s="1476">
        <v>1.5645487187779599</v>
      </c>
      <c r="O1728" s="1476"/>
    </row>
    <row r="1729" spans="11:15">
      <c r="K1729" s="1473">
        <v>43786</v>
      </c>
      <c r="L1729" s="1474"/>
      <c r="M1729" s="1475">
        <v>0</v>
      </c>
      <c r="N1729" s="1476">
        <v>1.5645487187779599</v>
      </c>
      <c r="O1729" s="1476"/>
    </row>
    <row r="1730" spans="11:15">
      <c r="K1730" s="1473">
        <v>43787</v>
      </c>
      <c r="L1730" s="1474" t="s">
        <v>2123</v>
      </c>
      <c r="M1730" s="1475">
        <v>1.8984999999999998E-2</v>
      </c>
      <c r="N1730" s="1476">
        <v>1.5648457483522198</v>
      </c>
      <c r="O1730" s="1476"/>
    </row>
    <row r="1731" spans="11:15">
      <c r="K1731" s="1473">
        <v>43788</v>
      </c>
      <c r="L1731" s="1474" t="s">
        <v>2123</v>
      </c>
      <c r="M1731" s="1475">
        <v>1.8984999999999998E-2</v>
      </c>
      <c r="N1731" s="1476">
        <v>1.5651428343175444</v>
      </c>
      <c r="O1731" s="1476"/>
    </row>
    <row r="1732" spans="11:15">
      <c r="K1732" s="1473">
        <v>43789</v>
      </c>
      <c r="L1732" s="1474" t="s">
        <v>2123</v>
      </c>
      <c r="M1732" s="1475">
        <v>1.8984999999999998E-2</v>
      </c>
      <c r="N1732" s="1476">
        <v>1.5654399766846394</v>
      </c>
      <c r="O1732" s="1476"/>
    </row>
    <row r="1733" spans="11:15">
      <c r="K1733" s="1473">
        <v>43790</v>
      </c>
      <c r="L1733" s="1474" t="s">
        <v>2123</v>
      </c>
      <c r="M1733" s="1475">
        <v>1.8984999999999998E-2</v>
      </c>
      <c r="N1733" s="1476">
        <v>1.5657371754642129</v>
      </c>
      <c r="O1733" s="1476"/>
    </row>
    <row r="1734" spans="11:15">
      <c r="K1734" s="1473">
        <v>43791</v>
      </c>
      <c r="L1734" s="1474" t="s">
        <v>2123</v>
      </c>
      <c r="M1734" s="1475">
        <v>1.8984999999999998E-2</v>
      </c>
      <c r="N1734" s="1476">
        <v>1.5660344306669747</v>
      </c>
      <c r="O1734" s="1476"/>
    </row>
    <row r="1735" spans="11:15">
      <c r="K1735" s="1473">
        <v>43792</v>
      </c>
      <c r="L1735" s="1474"/>
      <c r="M1735" s="1475">
        <v>0</v>
      </c>
      <c r="N1735" s="1476">
        <v>1.5660344306669747</v>
      </c>
      <c r="O1735" s="1476"/>
    </row>
    <row r="1736" spans="11:15">
      <c r="K1736" s="1473">
        <v>43793</v>
      </c>
      <c r="L1736" s="1474"/>
      <c r="M1736" s="1475">
        <v>0</v>
      </c>
      <c r="N1736" s="1476">
        <v>1.5660344306669747</v>
      </c>
      <c r="O1736" s="1476"/>
    </row>
    <row r="1737" spans="11:15">
      <c r="K1737" s="1473">
        <v>43794</v>
      </c>
      <c r="L1737" s="1474" t="s">
        <v>2123</v>
      </c>
      <c r="M1737" s="1475">
        <v>1.8984999999999998E-2</v>
      </c>
      <c r="N1737" s="1476">
        <v>1.5663317423036367</v>
      </c>
      <c r="O1737" s="1476"/>
    </row>
    <row r="1738" spans="11:15">
      <c r="K1738" s="1473">
        <v>43795</v>
      </c>
      <c r="L1738" s="1474" t="s">
        <v>2123</v>
      </c>
      <c r="M1738" s="1475">
        <v>1.8984999999999998E-2</v>
      </c>
      <c r="N1738" s="1476">
        <v>1.566629110384913</v>
      </c>
      <c r="O1738" s="1476"/>
    </row>
    <row r="1739" spans="11:15">
      <c r="K1739" s="1473">
        <v>43796</v>
      </c>
      <c r="L1739" s="1474" t="s">
        <v>2123</v>
      </c>
      <c r="M1739" s="1475">
        <v>1.8984999999999998E-2</v>
      </c>
      <c r="N1739" s="1476">
        <v>1.5669265349215196</v>
      </c>
      <c r="O1739" s="1476"/>
    </row>
    <row r="1740" spans="11:15">
      <c r="K1740" s="1473">
        <v>43797</v>
      </c>
      <c r="L1740" s="1474" t="s">
        <v>2123</v>
      </c>
      <c r="M1740" s="1475">
        <v>1.8984999999999998E-2</v>
      </c>
      <c r="N1740" s="1476">
        <v>1.5672240159241744</v>
      </c>
      <c r="O1740" s="1476"/>
    </row>
    <row r="1741" spans="11:15">
      <c r="K1741" s="1473">
        <v>43798</v>
      </c>
      <c r="L1741" s="1474" t="s">
        <v>2123</v>
      </c>
      <c r="M1741" s="1475">
        <v>1.8984999999999998E-2</v>
      </c>
      <c r="N1741" s="1476">
        <v>1.5675215534035976</v>
      </c>
      <c r="O1741" s="1476"/>
    </row>
    <row r="1742" spans="11:15">
      <c r="K1742" s="1473">
        <v>43799</v>
      </c>
      <c r="L1742" s="1474"/>
      <c r="M1742" s="1475">
        <v>0</v>
      </c>
      <c r="N1742" s="1476">
        <v>1.5675215534035976</v>
      </c>
      <c r="O1742" s="1476"/>
    </row>
    <row r="1743" spans="11:15">
      <c r="K1743" s="1473">
        <v>43800</v>
      </c>
      <c r="L1743" s="1474"/>
      <c r="M1743" s="1475">
        <v>0</v>
      </c>
      <c r="N1743" s="1476">
        <v>1.5675215534035976</v>
      </c>
      <c r="O1743" s="1476"/>
    </row>
    <row r="1744" spans="11:15">
      <c r="K1744" s="1473">
        <v>43801</v>
      </c>
      <c r="L1744" s="1474" t="s">
        <v>2123</v>
      </c>
      <c r="M1744" s="1475">
        <v>1.8984999999999998E-2</v>
      </c>
      <c r="N1744" s="1476">
        <v>1.5678191473705112</v>
      </c>
      <c r="O1744" s="1476"/>
    </row>
    <row r="1745" spans="11:15">
      <c r="K1745" s="1473">
        <v>43802</v>
      </c>
      <c r="L1745" s="1474" t="s">
        <v>2123</v>
      </c>
      <c r="M1745" s="1475">
        <v>1.8984999999999998E-2</v>
      </c>
      <c r="N1745" s="1476">
        <v>1.5681167978356394</v>
      </c>
      <c r="O1745" s="1476"/>
    </row>
    <row r="1746" spans="11:15">
      <c r="K1746" s="1473">
        <v>43803</v>
      </c>
      <c r="L1746" s="1474" t="s">
        <v>2123</v>
      </c>
      <c r="M1746" s="1475">
        <v>1.8984999999999998E-2</v>
      </c>
      <c r="N1746" s="1476">
        <v>1.5684145048097085</v>
      </c>
      <c r="O1746" s="1476"/>
    </row>
    <row r="1747" spans="11:15">
      <c r="K1747" s="1473">
        <v>43804</v>
      </c>
      <c r="L1747" s="1474" t="s">
        <v>2123</v>
      </c>
      <c r="M1747" s="1475">
        <v>1.8984999999999998E-2</v>
      </c>
      <c r="N1747" s="1476">
        <v>1.5687122683034465</v>
      </c>
      <c r="O1747" s="1476"/>
    </row>
    <row r="1748" spans="11:15">
      <c r="K1748" s="1473">
        <v>43805</v>
      </c>
      <c r="L1748" s="1474" t="s">
        <v>2123</v>
      </c>
      <c r="M1748" s="1475">
        <v>1.8984999999999998E-2</v>
      </c>
      <c r="N1748" s="1476">
        <v>1.5690100883275837</v>
      </c>
      <c r="O1748" s="1476"/>
    </row>
    <row r="1749" spans="11:15">
      <c r="K1749" s="1473">
        <v>43806</v>
      </c>
      <c r="L1749" s="1474"/>
      <c r="M1749" s="1475">
        <v>0</v>
      </c>
      <c r="N1749" s="1476">
        <v>1.5690100883275837</v>
      </c>
      <c r="O1749" s="1476"/>
    </row>
    <row r="1750" spans="11:15">
      <c r="K1750" s="1473">
        <v>43807</v>
      </c>
      <c r="L1750" s="1474"/>
      <c r="M1750" s="1475">
        <v>0</v>
      </c>
      <c r="N1750" s="1476">
        <v>1.5690100883275837</v>
      </c>
      <c r="O1750" s="1476"/>
    </row>
    <row r="1751" spans="11:15">
      <c r="K1751" s="1473">
        <v>43808</v>
      </c>
      <c r="L1751" s="1474" t="s">
        <v>2123</v>
      </c>
      <c r="M1751" s="1475">
        <v>1.8984999999999998E-2</v>
      </c>
      <c r="N1751" s="1476">
        <v>1.5693079648928525</v>
      </c>
      <c r="O1751" s="1476"/>
    </row>
    <row r="1752" spans="11:15">
      <c r="K1752" s="1473">
        <v>43809</v>
      </c>
      <c r="L1752" s="1474" t="s">
        <v>2123</v>
      </c>
      <c r="M1752" s="1475">
        <v>1.8984999999999998E-2</v>
      </c>
      <c r="N1752" s="1476">
        <v>1.5696058980099874</v>
      </c>
      <c r="O1752" s="1476"/>
    </row>
    <row r="1753" spans="11:15">
      <c r="K1753" s="1473">
        <v>43810</v>
      </c>
      <c r="L1753" s="1474" t="s">
        <v>2123</v>
      </c>
      <c r="M1753" s="1475">
        <v>1.8984999999999998E-2</v>
      </c>
      <c r="N1753" s="1476">
        <v>1.5699038876897244</v>
      </c>
      <c r="O1753" s="1476"/>
    </row>
    <row r="1754" spans="11:15">
      <c r="K1754" s="1473">
        <v>43811</v>
      </c>
      <c r="L1754" s="1474" t="s">
        <v>2123</v>
      </c>
      <c r="M1754" s="1475">
        <v>1.7089E-2</v>
      </c>
      <c r="N1754" s="1476">
        <v>1.5701721685650916</v>
      </c>
      <c r="O1754" s="1476"/>
    </row>
    <row r="1755" spans="11:15">
      <c r="K1755" s="1473">
        <v>43812</v>
      </c>
      <c r="L1755" s="1474" t="s">
        <v>2123</v>
      </c>
      <c r="M1755" s="1475">
        <v>1.7089E-2</v>
      </c>
      <c r="N1755" s="1476">
        <v>1.5704404952869775</v>
      </c>
      <c r="O1755" s="1476"/>
    </row>
    <row r="1756" spans="11:15">
      <c r="K1756" s="1473">
        <v>43813</v>
      </c>
      <c r="L1756" s="1474"/>
      <c r="M1756" s="1475">
        <v>0</v>
      </c>
      <c r="N1756" s="1476">
        <v>1.5704404952869775</v>
      </c>
      <c r="O1756" s="1476"/>
    </row>
    <row r="1757" spans="11:15">
      <c r="K1757" s="1473">
        <v>43814</v>
      </c>
      <c r="L1757" s="1474"/>
      <c r="M1757" s="1475">
        <v>0</v>
      </c>
      <c r="N1757" s="1476">
        <v>1.5704404952869775</v>
      </c>
      <c r="O1757" s="1476"/>
    </row>
    <row r="1758" spans="11:15">
      <c r="K1758" s="1473">
        <v>43815</v>
      </c>
      <c r="L1758" s="1474" t="s">
        <v>2123</v>
      </c>
      <c r="M1758" s="1475">
        <v>1.7089E-2</v>
      </c>
      <c r="N1758" s="1476">
        <v>1.5707088678632171</v>
      </c>
      <c r="O1758" s="1476"/>
    </row>
    <row r="1759" spans="11:15">
      <c r="K1759" s="1473">
        <v>43816</v>
      </c>
      <c r="L1759" s="1474" t="s">
        <v>2123</v>
      </c>
      <c r="M1759" s="1475">
        <v>1.7089E-2</v>
      </c>
      <c r="N1759" s="1476">
        <v>1.570977286301646</v>
      </c>
      <c r="O1759" s="1476"/>
    </row>
    <row r="1760" spans="11:15">
      <c r="K1760" s="1473">
        <v>43817</v>
      </c>
      <c r="L1760" s="1474" t="s">
        <v>2123</v>
      </c>
      <c r="M1760" s="1475">
        <v>1.7089E-2</v>
      </c>
      <c r="N1760" s="1476">
        <v>1.5712457506101021</v>
      </c>
      <c r="O1760" s="1476"/>
    </row>
    <row r="1761" spans="11:15">
      <c r="K1761" s="1473">
        <v>43818</v>
      </c>
      <c r="L1761" s="1474" t="s">
        <v>2123</v>
      </c>
      <c r="M1761" s="1475">
        <v>1.7089E-2</v>
      </c>
      <c r="N1761" s="1476">
        <v>1.5715142607964236</v>
      </c>
      <c r="O1761" s="1476"/>
    </row>
    <row r="1762" spans="11:15">
      <c r="K1762" s="1473">
        <v>43819</v>
      </c>
      <c r="L1762" s="1474" t="s">
        <v>2123</v>
      </c>
      <c r="M1762" s="1475">
        <v>1.7089E-2</v>
      </c>
      <c r="N1762" s="1476">
        <v>1.5717828168684511</v>
      </c>
      <c r="O1762" s="1476"/>
    </row>
    <row r="1763" spans="11:15">
      <c r="K1763" s="1473">
        <v>43820</v>
      </c>
      <c r="L1763" s="1474"/>
      <c r="M1763" s="1475">
        <v>0</v>
      </c>
      <c r="N1763" s="1476">
        <v>1.5717828168684511</v>
      </c>
      <c r="O1763" s="1476"/>
    </row>
    <row r="1764" spans="11:15">
      <c r="K1764" s="1473">
        <v>43821</v>
      </c>
      <c r="L1764" s="1474"/>
      <c r="M1764" s="1475">
        <v>0</v>
      </c>
      <c r="N1764" s="1476">
        <v>1.5717828168684511</v>
      </c>
      <c r="O1764" s="1476"/>
    </row>
    <row r="1765" spans="11:15">
      <c r="K1765" s="1473">
        <v>43822</v>
      </c>
      <c r="L1765" s="1474" t="s">
        <v>2123</v>
      </c>
      <c r="M1765" s="1475">
        <v>1.7089E-2</v>
      </c>
      <c r="N1765" s="1476">
        <v>1.5720514188340255</v>
      </c>
      <c r="O1765" s="1476"/>
    </row>
    <row r="1766" spans="11:15">
      <c r="K1766" s="1473">
        <v>43823</v>
      </c>
      <c r="L1766" s="1474" t="s">
        <v>2123</v>
      </c>
      <c r="M1766" s="1475">
        <v>1.7089E-2</v>
      </c>
      <c r="N1766" s="1476">
        <v>1.57232006670099</v>
      </c>
      <c r="O1766" s="1476"/>
    </row>
    <row r="1767" spans="11:15">
      <c r="K1767" s="1473">
        <v>43824</v>
      </c>
      <c r="L1767" s="1474"/>
      <c r="M1767" s="1475">
        <v>0</v>
      </c>
      <c r="N1767" s="1476">
        <v>1.57232006670099</v>
      </c>
      <c r="O1767" s="1476"/>
    </row>
    <row r="1768" spans="11:15">
      <c r="K1768" s="1473">
        <v>43825</v>
      </c>
      <c r="L1768" s="1474" t="s">
        <v>2123</v>
      </c>
      <c r="M1768" s="1475">
        <v>1.7089E-2</v>
      </c>
      <c r="N1768" s="1476">
        <v>1.5725887604771884</v>
      </c>
      <c r="O1768" s="1476"/>
    </row>
    <row r="1769" spans="11:15">
      <c r="K1769" s="1473">
        <v>43826</v>
      </c>
      <c r="L1769" s="1474" t="s">
        <v>2123</v>
      </c>
      <c r="M1769" s="1475">
        <v>1.7089E-2</v>
      </c>
      <c r="N1769" s="1476">
        <v>1.5728575001704663</v>
      </c>
      <c r="O1769" s="1476"/>
    </row>
    <row r="1770" spans="11:15">
      <c r="K1770" s="1473">
        <v>43827</v>
      </c>
      <c r="L1770" s="1474"/>
      <c r="M1770" s="1475">
        <v>0</v>
      </c>
      <c r="N1770" s="1476">
        <v>1.5728575001704663</v>
      </c>
      <c r="O1770" s="1476"/>
    </row>
    <row r="1771" spans="11:15">
      <c r="K1771" s="1473">
        <v>43828</v>
      </c>
      <c r="L1771" s="1474"/>
      <c r="M1771" s="1475">
        <v>0</v>
      </c>
      <c r="N1771" s="1476">
        <v>1.5728575001704663</v>
      </c>
      <c r="O1771" s="1476"/>
    </row>
    <row r="1772" spans="11:15">
      <c r="K1772" s="1473">
        <v>43829</v>
      </c>
      <c r="L1772" s="1474" t="s">
        <v>2123</v>
      </c>
      <c r="M1772" s="1475">
        <v>1.7089E-2</v>
      </c>
      <c r="N1772" s="1476">
        <v>1.5731262857886703</v>
      </c>
      <c r="O1772" s="1476"/>
    </row>
    <row r="1773" spans="11:15">
      <c r="K1773" s="1473">
        <v>43830</v>
      </c>
      <c r="L1773" s="1474" t="s">
        <v>2123</v>
      </c>
      <c r="M1773" s="1475">
        <v>1.7089E-2</v>
      </c>
      <c r="N1773" s="1476">
        <v>1.5733951173396485</v>
      </c>
      <c r="O1773" s="1476"/>
    </row>
    <row r="1774" spans="11:15">
      <c r="K1774" s="1473">
        <v>43831</v>
      </c>
      <c r="L1774" s="1474"/>
      <c r="M1774" s="1475">
        <v>0</v>
      </c>
      <c r="N1774" s="1476">
        <v>1.5733951173396485</v>
      </c>
      <c r="O1774" s="1476"/>
    </row>
    <row r="1775" spans="11:15">
      <c r="K1775" s="1473">
        <v>43832</v>
      </c>
      <c r="L1775" s="1474" t="s">
        <v>2123</v>
      </c>
      <c r="M1775" s="1475">
        <v>1.7089E-2</v>
      </c>
      <c r="N1775" s="1476">
        <v>1.5736639948312505</v>
      </c>
      <c r="O1775" s="1476"/>
    </row>
    <row r="1776" spans="11:15">
      <c r="K1776" s="1473">
        <v>43833</v>
      </c>
      <c r="L1776" s="1474" t="s">
        <v>2123</v>
      </c>
      <c r="M1776" s="1475">
        <v>1.7089E-2</v>
      </c>
      <c r="N1776" s="1476">
        <v>1.5739329182713271</v>
      </c>
      <c r="O1776" s="1476"/>
    </row>
    <row r="1777" spans="11:15">
      <c r="K1777" s="1473">
        <v>43834</v>
      </c>
      <c r="L1777" s="1474"/>
      <c r="M1777" s="1475">
        <v>0</v>
      </c>
      <c r="N1777" s="1476">
        <v>1.5739329182713271</v>
      </c>
      <c r="O1777" s="1476"/>
    </row>
    <row r="1778" spans="11:15">
      <c r="K1778" s="1473">
        <v>43835</v>
      </c>
      <c r="L1778" s="1474"/>
      <c r="M1778" s="1475">
        <v>0</v>
      </c>
      <c r="N1778" s="1476">
        <v>1.5739329182713271</v>
      </c>
      <c r="O1778" s="1476"/>
    </row>
    <row r="1779" spans="11:15">
      <c r="K1779" s="1473">
        <v>43836</v>
      </c>
      <c r="L1779" s="1474" t="s">
        <v>2123</v>
      </c>
      <c r="M1779" s="1475">
        <v>1.7089E-2</v>
      </c>
      <c r="N1779" s="1476">
        <v>1.5742018876677304</v>
      </c>
      <c r="O1779" s="1476"/>
    </row>
    <row r="1780" spans="11:15">
      <c r="K1780" s="1473">
        <v>43837</v>
      </c>
      <c r="L1780" s="1474" t="s">
        <v>2123</v>
      </c>
      <c r="M1780" s="1475">
        <v>1.7089E-2</v>
      </c>
      <c r="N1780" s="1476">
        <v>1.5744709030283137</v>
      </c>
      <c r="O1780" s="1476"/>
    </row>
    <row r="1781" spans="11:15">
      <c r="K1781" s="1473">
        <v>43838</v>
      </c>
      <c r="L1781" s="1474" t="s">
        <v>2123</v>
      </c>
      <c r="M1781" s="1475">
        <v>1.7089E-2</v>
      </c>
      <c r="N1781" s="1476">
        <v>1.5747399643609321</v>
      </c>
      <c r="O1781" s="1476"/>
    </row>
    <row r="1782" spans="11:15">
      <c r="K1782" s="1473">
        <v>43839</v>
      </c>
      <c r="L1782" s="1474" t="s">
        <v>2123</v>
      </c>
      <c r="M1782" s="1475">
        <v>1.7089E-2</v>
      </c>
      <c r="N1782" s="1476">
        <v>1.5750090716734417</v>
      </c>
      <c r="O1782" s="1476"/>
    </row>
    <row r="1783" spans="11:15">
      <c r="K1783" s="1473">
        <v>43840</v>
      </c>
      <c r="L1783" s="1474" t="s">
        <v>2123</v>
      </c>
      <c r="M1783" s="1475">
        <v>1.7089E-2</v>
      </c>
      <c r="N1783" s="1476">
        <v>1.5752782249736998</v>
      </c>
      <c r="O1783" s="1476"/>
    </row>
    <row r="1784" spans="11:15">
      <c r="K1784" s="1473">
        <v>43841</v>
      </c>
      <c r="L1784" s="1474"/>
      <c r="M1784" s="1475">
        <v>0</v>
      </c>
      <c r="N1784" s="1476">
        <v>1.5752782249736998</v>
      </c>
      <c r="O1784" s="1476"/>
    </row>
    <row r="1785" spans="11:15">
      <c r="K1785" s="1473">
        <v>43842</v>
      </c>
      <c r="L1785" s="1474"/>
      <c r="M1785" s="1475">
        <v>0</v>
      </c>
      <c r="N1785" s="1476">
        <v>1.5752782249736998</v>
      </c>
      <c r="O1785" s="1476"/>
    </row>
    <row r="1786" spans="11:15">
      <c r="K1786" s="1473">
        <v>43843</v>
      </c>
      <c r="L1786" s="1474" t="s">
        <v>2123</v>
      </c>
      <c r="M1786" s="1475">
        <v>1.7089E-2</v>
      </c>
      <c r="N1786" s="1476">
        <v>1.5755474242695655</v>
      </c>
      <c r="O1786" s="1476"/>
    </row>
    <row r="1787" spans="11:15">
      <c r="K1787" s="1473">
        <v>43844</v>
      </c>
      <c r="L1787" s="1474" t="s">
        <v>2123</v>
      </c>
      <c r="M1787" s="1475">
        <v>1.7089E-2</v>
      </c>
      <c r="N1787" s="1476">
        <v>1.5758166695688989</v>
      </c>
      <c r="O1787" s="1476"/>
    </row>
    <row r="1788" spans="11:15">
      <c r="K1788" s="1473">
        <v>43845</v>
      </c>
      <c r="L1788" s="1474" t="s">
        <v>2123</v>
      </c>
      <c r="M1788" s="1475">
        <v>1.7089E-2</v>
      </c>
      <c r="N1788" s="1476">
        <v>1.5760859608795614</v>
      </c>
      <c r="O1788" s="1476"/>
    </row>
    <row r="1789" spans="11:15">
      <c r="K1789" s="1473">
        <v>43846</v>
      </c>
      <c r="L1789" s="1474" t="s">
        <v>2123</v>
      </c>
      <c r="M1789" s="1475">
        <v>1.7089E-2</v>
      </c>
      <c r="N1789" s="1476">
        <v>1.576355298209416</v>
      </c>
      <c r="O1789" s="1476"/>
    </row>
    <row r="1790" spans="11:15">
      <c r="K1790" s="1473">
        <v>43847</v>
      </c>
      <c r="L1790" s="1474" t="s">
        <v>2123</v>
      </c>
      <c r="M1790" s="1475">
        <v>1.7089E-2</v>
      </c>
      <c r="N1790" s="1476">
        <v>1.576624681566327</v>
      </c>
      <c r="O1790" s="1476"/>
    </row>
    <row r="1791" spans="11:15">
      <c r="K1791" s="1473">
        <v>43848</v>
      </c>
      <c r="L1791" s="1474"/>
      <c r="M1791" s="1475">
        <v>0</v>
      </c>
      <c r="N1791" s="1476">
        <v>1.576624681566327</v>
      </c>
      <c r="O1791" s="1476"/>
    </row>
    <row r="1792" spans="11:15">
      <c r="K1792" s="1473">
        <v>43849</v>
      </c>
      <c r="L1792" s="1474"/>
      <c r="M1792" s="1475">
        <v>0</v>
      </c>
      <c r="N1792" s="1476">
        <v>1.576624681566327</v>
      </c>
      <c r="O1792" s="1476"/>
    </row>
    <row r="1793" spans="11:15">
      <c r="K1793" s="1473">
        <v>43850</v>
      </c>
      <c r="L1793" s="1474" t="s">
        <v>2123</v>
      </c>
      <c r="M1793" s="1475">
        <v>1.7089E-2</v>
      </c>
      <c r="N1793" s="1476">
        <v>1.5768941109581598</v>
      </c>
      <c r="O1793" s="1476"/>
    </row>
    <row r="1794" spans="11:15">
      <c r="K1794" s="1473">
        <v>43851</v>
      </c>
      <c r="L1794" s="1474" t="s">
        <v>2123</v>
      </c>
      <c r="M1794" s="1475">
        <v>1.7089E-2</v>
      </c>
      <c r="N1794" s="1476">
        <v>1.5771635863927813</v>
      </c>
      <c r="O1794" s="1476"/>
    </row>
    <row r="1795" spans="11:15">
      <c r="K1795" s="1473">
        <v>43852</v>
      </c>
      <c r="L1795" s="1474" t="s">
        <v>2123</v>
      </c>
      <c r="M1795" s="1475">
        <v>1.7089E-2</v>
      </c>
      <c r="N1795" s="1476">
        <v>1.5774331078780599</v>
      </c>
      <c r="O1795" s="1476"/>
    </row>
    <row r="1796" spans="11:15">
      <c r="K1796" s="1473">
        <v>43853</v>
      </c>
      <c r="L1796" s="1474" t="s">
        <v>2123</v>
      </c>
      <c r="M1796" s="1475">
        <v>1.7089E-2</v>
      </c>
      <c r="N1796" s="1476">
        <v>1.577702675421865</v>
      </c>
      <c r="O1796" s="1476"/>
    </row>
    <row r="1797" spans="11:15">
      <c r="K1797" s="1473">
        <v>43854</v>
      </c>
      <c r="L1797" s="1474" t="s">
        <v>2123</v>
      </c>
      <c r="M1797" s="1475">
        <v>1.7089E-2</v>
      </c>
      <c r="N1797" s="1476">
        <v>1.5779722890320678</v>
      </c>
      <c r="O1797" s="1476"/>
    </row>
    <row r="1798" spans="11:15">
      <c r="K1798" s="1473">
        <v>43855</v>
      </c>
      <c r="L1798" s="1474"/>
      <c r="M1798" s="1475">
        <v>0</v>
      </c>
      <c r="N1798" s="1476">
        <v>1.5779722890320678</v>
      </c>
      <c r="O1798" s="1476"/>
    </row>
    <row r="1799" spans="11:15">
      <c r="K1799" s="1473">
        <v>43856</v>
      </c>
      <c r="L1799" s="1474"/>
      <c r="M1799" s="1475">
        <v>0</v>
      </c>
      <c r="N1799" s="1476">
        <v>1.5779722890320678</v>
      </c>
      <c r="O1799" s="1476"/>
    </row>
    <row r="1800" spans="11:15">
      <c r="K1800" s="1473">
        <v>43857</v>
      </c>
      <c r="L1800" s="1474" t="s">
        <v>2123</v>
      </c>
      <c r="M1800" s="1475">
        <v>1.7089E-2</v>
      </c>
      <c r="N1800" s="1476">
        <v>1.5782419487165404</v>
      </c>
      <c r="O1800" s="1476"/>
    </row>
    <row r="1801" spans="11:15">
      <c r="K1801" s="1473">
        <v>43858</v>
      </c>
      <c r="L1801" s="1474" t="s">
        <v>2123</v>
      </c>
      <c r="M1801" s="1475">
        <v>1.7089E-2</v>
      </c>
      <c r="N1801" s="1476">
        <v>1.5785116544831566</v>
      </c>
      <c r="O1801" s="1476"/>
    </row>
    <row r="1802" spans="11:15">
      <c r="K1802" s="1473">
        <v>43859</v>
      </c>
      <c r="L1802" s="1474" t="s">
        <v>2123</v>
      </c>
      <c r="M1802" s="1475">
        <v>1.7089E-2</v>
      </c>
      <c r="N1802" s="1476">
        <v>1.5787814063397911</v>
      </c>
      <c r="O1802" s="1476"/>
    </row>
    <row r="1803" spans="11:15">
      <c r="K1803" s="1473">
        <v>43860</v>
      </c>
      <c r="L1803" s="1474" t="s">
        <v>2123</v>
      </c>
      <c r="M1803" s="1475">
        <v>1.7089E-2</v>
      </c>
      <c r="N1803" s="1476">
        <v>1.5790512042943203</v>
      </c>
      <c r="O1803" s="1476"/>
    </row>
    <row r="1804" spans="11:15">
      <c r="K1804" s="1473">
        <v>43861</v>
      </c>
      <c r="L1804" s="1474" t="s">
        <v>2123</v>
      </c>
      <c r="M1804" s="1475">
        <v>1.7089E-2</v>
      </c>
      <c r="N1804" s="1476">
        <v>1.5793210483546221</v>
      </c>
      <c r="O1804" s="1476"/>
    </row>
    <row r="1805" spans="11:15">
      <c r="K1805" s="1473">
        <v>43862</v>
      </c>
      <c r="L1805" s="1474"/>
      <c r="M1805" s="1475">
        <v>0</v>
      </c>
      <c r="N1805" s="1476">
        <v>1.5793210483546221</v>
      </c>
      <c r="O1805" s="1476"/>
    </row>
    <row r="1806" spans="11:15">
      <c r="K1806" s="1473">
        <v>43863</v>
      </c>
      <c r="L1806" s="1474"/>
      <c r="M1806" s="1475">
        <v>0</v>
      </c>
      <c r="N1806" s="1476">
        <v>1.5793210483546221</v>
      </c>
      <c r="O1806" s="1476"/>
    </row>
    <row r="1807" spans="11:15">
      <c r="K1807" s="1473">
        <v>43864</v>
      </c>
      <c r="L1807" s="1474" t="s">
        <v>2123</v>
      </c>
      <c r="M1807" s="1475">
        <v>1.7089E-2</v>
      </c>
      <c r="N1807" s="1476">
        <v>1.5795909385285754</v>
      </c>
      <c r="O1807" s="1476"/>
    </row>
    <row r="1808" spans="11:15">
      <c r="K1808" s="1473">
        <v>43865</v>
      </c>
      <c r="L1808" s="1474" t="s">
        <v>2123</v>
      </c>
      <c r="M1808" s="1475">
        <v>1.7089E-2</v>
      </c>
      <c r="N1808" s="1476">
        <v>1.5798608748240603</v>
      </c>
      <c r="O1808" s="1476"/>
    </row>
    <row r="1809" spans="11:15">
      <c r="K1809" s="1473">
        <v>43866</v>
      </c>
      <c r="L1809" s="1474" t="s">
        <v>2123</v>
      </c>
      <c r="M1809" s="1475">
        <v>1.7089E-2</v>
      </c>
      <c r="N1809" s="1476">
        <v>1.580130857248959</v>
      </c>
      <c r="O1809" s="1476"/>
    </row>
    <row r="1810" spans="11:15">
      <c r="K1810" s="1473">
        <v>43867</v>
      </c>
      <c r="L1810" s="1474" t="s">
        <v>2123</v>
      </c>
      <c r="M1810" s="1475">
        <v>1.6136999999999999E-2</v>
      </c>
      <c r="N1810" s="1476">
        <v>1.5803858429653934</v>
      </c>
      <c r="O1810" s="1476"/>
    </row>
    <row r="1811" spans="11:15">
      <c r="K1811" s="1473">
        <v>43868</v>
      </c>
      <c r="L1811" s="1474" t="s">
        <v>2123</v>
      </c>
      <c r="M1811" s="1475">
        <v>1.6136999999999999E-2</v>
      </c>
      <c r="N1811" s="1476">
        <v>1.5806408698288728</v>
      </c>
      <c r="O1811" s="1476"/>
    </row>
    <row r="1812" spans="11:15">
      <c r="K1812" s="1473">
        <v>43869</v>
      </c>
      <c r="L1812" s="1474"/>
      <c r="M1812" s="1475">
        <v>0</v>
      </c>
      <c r="N1812" s="1476">
        <v>1.5806408698288728</v>
      </c>
      <c r="O1812" s="1476"/>
    </row>
    <row r="1813" spans="11:15">
      <c r="K1813" s="1473">
        <v>43870</v>
      </c>
      <c r="L1813" s="1474"/>
      <c r="M1813" s="1475">
        <v>0</v>
      </c>
      <c r="N1813" s="1476">
        <v>1.5806408698288728</v>
      </c>
      <c r="O1813" s="1476"/>
    </row>
    <row r="1814" spans="11:15">
      <c r="K1814" s="1473">
        <v>43871</v>
      </c>
      <c r="L1814" s="1474" t="s">
        <v>2123</v>
      </c>
      <c r="M1814" s="1475">
        <v>1.6136999999999999E-2</v>
      </c>
      <c r="N1814" s="1476">
        <v>1.5808959378460372</v>
      </c>
      <c r="O1814" s="1476"/>
    </row>
    <row r="1815" spans="11:15">
      <c r="K1815" s="1473">
        <v>43872</v>
      </c>
      <c r="L1815" s="1474" t="s">
        <v>2123</v>
      </c>
      <c r="M1815" s="1475">
        <v>1.6136999999999999E-2</v>
      </c>
      <c r="N1815" s="1476">
        <v>1.5811510470235275</v>
      </c>
      <c r="O1815" s="1476"/>
    </row>
    <row r="1816" spans="11:15">
      <c r="K1816" s="1473">
        <v>43873</v>
      </c>
      <c r="L1816" s="1474" t="s">
        <v>2123</v>
      </c>
      <c r="M1816" s="1475">
        <v>1.6136999999999999E-2</v>
      </c>
      <c r="N1816" s="1476">
        <v>1.5814061973679858</v>
      </c>
      <c r="O1816" s="1476"/>
    </row>
    <row r="1817" spans="11:15">
      <c r="K1817" s="1473">
        <v>43874</v>
      </c>
      <c r="L1817" s="1474" t="s">
        <v>2123</v>
      </c>
      <c r="M1817" s="1475">
        <v>1.6136999999999999E-2</v>
      </c>
      <c r="N1817" s="1476">
        <v>1.5816613888860551</v>
      </c>
      <c r="O1817" s="1476"/>
    </row>
    <row r="1818" spans="11:15">
      <c r="K1818" s="1473">
        <v>43875</v>
      </c>
      <c r="L1818" s="1474" t="s">
        <v>2123</v>
      </c>
      <c r="M1818" s="1475">
        <v>1.6136999999999999E-2</v>
      </c>
      <c r="N1818" s="1476">
        <v>1.5819166215843798</v>
      </c>
      <c r="O1818" s="1476"/>
    </row>
    <row r="1819" spans="11:15">
      <c r="K1819" s="1473">
        <v>43876</v>
      </c>
      <c r="L1819" s="1474"/>
      <c r="M1819" s="1475">
        <v>0</v>
      </c>
      <c r="N1819" s="1476">
        <v>1.5819166215843798</v>
      </c>
      <c r="O1819" s="1476"/>
    </row>
    <row r="1820" spans="11:15">
      <c r="K1820" s="1473">
        <v>43877</v>
      </c>
      <c r="L1820" s="1474"/>
      <c r="M1820" s="1475">
        <v>0</v>
      </c>
      <c r="N1820" s="1476">
        <v>1.5819166215843798</v>
      </c>
      <c r="O1820" s="1476"/>
    </row>
    <row r="1821" spans="11:15">
      <c r="K1821" s="1473">
        <v>43878</v>
      </c>
      <c r="L1821" s="1474" t="s">
        <v>2123</v>
      </c>
      <c r="M1821" s="1475">
        <v>1.6136999999999999E-2</v>
      </c>
      <c r="N1821" s="1476">
        <v>1.5821718954696049</v>
      </c>
      <c r="O1821" s="1476"/>
    </row>
    <row r="1822" spans="11:15">
      <c r="K1822" s="1473">
        <v>43879</v>
      </c>
      <c r="L1822" s="1474" t="s">
        <v>2123</v>
      </c>
      <c r="M1822" s="1475">
        <v>1.6136999999999999E-2</v>
      </c>
      <c r="N1822" s="1476">
        <v>1.582427210548377</v>
      </c>
      <c r="O1822" s="1476"/>
    </row>
    <row r="1823" spans="11:15">
      <c r="K1823" s="1473">
        <v>43880</v>
      </c>
      <c r="L1823" s="1474" t="s">
        <v>2123</v>
      </c>
      <c r="M1823" s="1475">
        <v>1.6136999999999999E-2</v>
      </c>
      <c r="N1823" s="1476">
        <v>1.5826825668273432</v>
      </c>
      <c r="O1823" s="1476"/>
    </row>
    <row r="1824" spans="11:15">
      <c r="K1824" s="1473">
        <v>43881</v>
      </c>
      <c r="L1824" s="1474" t="s">
        <v>2123</v>
      </c>
      <c r="M1824" s="1475">
        <v>1.6136999999999999E-2</v>
      </c>
      <c r="N1824" s="1476">
        <v>1.5829379643131523</v>
      </c>
      <c r="O1824" s="1476"/>
    </row>
    <row r="1825" spans="11:15">
      <c r="K1825" s="1473">
        <v>43882</v>
      </c>
      <c r="L1825" s="1474" t="s">
        <v>2123</v>
      </c>
      <c r="M1825" s="1475">
        <v>1.6136999999999999E-2</v>
      </c>
      <c r="N1825" s="1476">
        <v>1.5831934030124535</v>
      </c>
      <c r="O1825" s="1476"/>
    </row>
    <row r="1826" spans="11:15">
      <c r="K1826" s="1473">
        <v>43883</v>
      </c>
      <c r="L1826" s="1474"/>
      <c r="M1826" s="1475">
        <v>0</v>
      </c>
      <c r="N1826" s="1476">
        <v>1.5831934030124535</v>
      </c>
      <c r="O1826" s="1476"/>
    </row>
    <row r="1827" spans="11:15">
      <c r="K1827" s="1473">
        <v>43884</v>
      </c>
      <c r="L1827" s="1474"/>
      <c r="M1827" s="1475">
        <v>0</v>
      </c>
      <c r="N1827" s="1476">
        <v>1.5831934030124535</v>
      </c>
      <c r="O1827" s="1476"/>
    </row>
    <row r="1828" spans="11:15">
      <c r="K1828" s="1473">
        <v>43885</v>
      </c>
      <c r="L1828" s="1474"/>
      <c r="M1828" s="1475">
        <v>0</v>
      </c>
      <c r="N1828" s="1476">
        <v>1.5831934030124535</v>
      </c>
      <c r="O1828" s="1476"/>
    </row>
    <row r="1829" spans="11:15">
      <c r="K1829" s="1473">
        <v>43886</v>
      </c>
      <c r="L1829" s="1474"/>
      <c r="M1829" s="1475">
        <v>0</v>
      </c>
      <c r="N1829" s="1476">
        <v>1.5831934030124535</v>
      </c>
      <c r="O1829" s="1476"/>
    </row>
    <row r="1830" spans="11:15">
      <c r="K1830" s="1473">
        <v>43887</v>
      </c>
      <c r="L1830" s="1474" t="s">
        <v>2123</v>
      </c>
      <c r="M1830" s="1475">
        <v>1.6136999999999999E-2</v>
      </c>
      <c r="N1830" s="1476">
        <v>1.5834488829318978</v>
      </c>
      <c r="O1830" s="1476"/>
    </row>
    <row r="1831" spans="11:15">
      <c r="K1831" s="1473">
        <v>43888</v>
      </c>
      <c r="L1831" s="1474" t="s">
        <v>2123</v>
      </c>
      <c r="M1831" s="1475">
        <v>1.6136999999999999E-2</v>
      </c>
      <c r="N1831" s="1476">
        <v>1.5837044040781365</v>
      </c>
      <c r="O1831" s="1476"/>
    </row>
    <row r="1832" spans="11:15">
      <c r="K1832" s="1473">
        <v>43889</v>
      </c>
      <c r="L1832" s="1474" t="s">
        <v>2123</v>
      </c>
      <c r="M1832" s="1475">
        <v>1.6136999999999999E-2</v>
      </c>
      <c r="N1832" s="1476">
        <v>1.5839599664578228</v>
      </c>
      <c r="O1832" s="1476"/>
    </row>
    <row r="1833" spans="11:15">
      <c r="K1833" s="1473">
        <v>43890</v>
      </c>
      <c r="L1833" s="1474"/>
      <c r="M1833" s="1475">
        <v>0</v>
      </c>
      <c r="N1833" s="1476">
        <v>1.5839599664578228</v>
      </c>
      <c r="O1833" s="1476"/>
    </row>
    <row r="1834" spans="11:15">
      <c r="K1834" s="1473">
        <v>43891</v>
      </c>
      <c r="L1834" s="1474"/>
      <c r="M1834" s="1475">
        <v>0</v>
      </c>
      <c r="N1834" s="1476">
        <v>1.5839599664578228</v>
      </c>
      <c r="O1834" s="1476"/>
    </row>
    <row r="1835" spans="11:15">
      <c r="K1835" s="1473">
        <v>43892</v>
      </c>
      <c r="L1835" s="1474" t="s">
        <v>2123</v>
      </c>
      <c r="M1835" s="1475">
        <v>1.6136999999999999E-2</v>
      </c>
      <c r="N1835" s="1476">
        <v>1.5842155700776102</v>
      </c>
      <c r="O1835" s="1476"/>
    </row>
    <row r="1836" spans="11:15">
      <c r="K1836" s="1473">
        <v>43893</v>
      </c>
      <c r="L1836" s="1474" t="s">
        <v>2123</v>
      </c>
      <c r="M1836" s="1475">
        <v>1.6136999999999999E-2</v>
      </c>
      <c r="N1836" s="1476">
        <v>1.5844712149441535</v>
      </c>
      <c r="O1836" s="1476"/>
    </row>
    <row r="1837" spans="11:15">
      <c r="K1837" s="1473">
        <v>43894</v>
      </c>
      <c r="L1837" s="1474" t="s">
        <v>2123</v>
      </c>
      <c r="M1837" s="1475">
        <v>1.6136999999999999E-2</v>
      </c>
      <c r="N1837" s="1476">
        <v>1.5847269010641092</v>
      </c>
      <c r="O1837" s="1476"/>
    </row>
    <row r="1838" spans="11:15">
      <c r="K1838" s="1473">
        <v>43895</v>
      </c>
      <c r="L1838" s="1474" t="s">
        <v>2123</v>
      </c>
      <c r="M1838" s="1475">
        <v>1.6136999999999999E-2</v>
      </c>
      <c r="N1838" s="1476">
        <v>1.584982628444134</v>
      </c>
      <c r="O1838" s="1476"/>
    </row>
    <row r="1839" spans="11:15">
      <c r="K1839" s="1473">
        <v>43896</v>
      </c>
      <c r="L1839" s="1474" t="s">
        <v>2123</v>
      </c>
      <c r="M1839" s="1475">
        <v>1.6136999999999999E-2</v>
      </c>
      <c r="N1839" s="1476">
        <v>1.5852383970908861</v>
      </c>
      <c r="O1839" s="1476"/>
    </row>
    <row r="1840" spans="11:15">
      <c r="K1840" s="1473">
        <v>43897</v>
      </c>
      <c r="L1840" s="1474"/>
      <c r="M1840" s="1475">
        <v>0</v>
      </c>
      <c r="N1840" s="1476">
        <v>1.5852383970908861</v>
      </c>
      <c r="O1840" s="1476"/>
    </row>
    <row r="1841" spans="11:15">
      <c r="K1841" s="1473">
        <v>43898</v>
      </c>
      <c r="L1841" s="1474"/>
      <c r="M1841" s="1475">
        <v>0</v>
      </c>
      <c r="N1841" s="1476">
        <v>1.5852383970908861</v>
      </c>
      <c r="O1841" s="1476"/>
    </row>
    <row r="1842" spans="11:15">
      <c r="K1842" s="1473">
        <v>43899</v>
      </c>
      <c r="L1842" s="1474" t="s">
        <v>2123</v>
      </c>
      <c r="M1842" s="1475">
        <v>1.6136999999999999E-2</v>
      </c>
      <c r="N1842" s="1476">
        <v>1.5854942070110247</v>
      </c>
      <c r="O1842" s="1476"/>
    </row>
    <row r="1843" spans="11:15">
      <c r="K1843" s="1473">
        <v>43900</v>
      </c>
      <c r="L1843" s="1474" t="s">
        <v>2123</v>
      </c>
      <c r="M1843" s="1475">
        <v>1.6136999999999999E-2</v>
      </c>
      <c r="N1843" s="1476">
        <v>1.5857500582112101</v>
      </c>
      <c r="O1843" s="1476"/>
    </row>
    <row r="1844" spans="11:15">
      <c r="K1844" s="1473">
        <v>43901</v>
      </c>
      <c r="L1844" s="1474" t="s">
        <v>2123</v>
      </c>
      <c r="M1844" s="1475">
        <v>1.6136999999999999E-2</v>
      </c>
      <c r="N1844" s="1476">
        <v>1.5860059506981037</v>
      </c>
      <c r="O1844" s="1476"/>
    </row>
    <row r="1845" spans="11:15">
      <c r="K1845" s="1473">
        <v>43902</v>
      </c>
      <c r="L1845" s="1474" t="s">
        <v>2123</v>
      </c>
      <c r="M1845" s="1475">
        <v>1.6136999999999999E-2</v>
      </c>
      <c r="N1845" s="1476">
        <v>1.586261884478368</v>
      </c>
      <c r="O1845" s="1476"/>
    </row>
    <row r="1846" spans="11:15">
      <c r="K1846" s="1473">
        <v>43903</v>
      </c>
      <c r="L1846" s="1474" t="s">
        <v>2123</v>
      </c>
      <c r="M1846" s="1475">
        <v>1.6136999999999999E-2</v>
      </c>
      <c r="N1846" s="1476">
        <v>1.5865178595586664</v>
      </c>
      <c r="O1846" s="1476"/>
    </row>
    <row r="1847" spans="11:15">
      <c r="K1847" s="1473">
        <v>43904</v>
      </c>
      <c r="L1847" s="1474"/>
      <c r="M1847" s="1475">
        <v>0</v>
      </c>
      <c r="N1847" s="1476">
        <v>1.5865178595586664</v>
      </c>
      <c r="O1847" s="1476"/>
    </row>
    <row r="1848" spans="11:15">
      <c r="K1848" s="1473">
        <v>43905</v>
      </c>
      <c r="L1848" s="1474"/>
      <c r="M1848" s="1475">
        <v>0</v>
      </c>
      <c r="N1848" s="1476">
        <v>1.5865178595586664</v>
      </c>
      <c r="O1848" s="1476"/>
    </row>
    <row r="1849" spans="11:15">
      <c r="K1849" s="1473">
        <v>43906</v>
      </c>
      <c r="L1849" s="1474" t="s">
        <v>2123</v>
      </c>
      <c r="M1849" s="1475">
        <v>1.6136999999999999E-2</v>
      </c>
      <c r="N1849" s="1476">
        <v>1.5867738759456635</v>
      </c>
      <c r="O1849" s="1476"/>
    </row>
    <row r="1850" spans="11:15">
      <c r="K1850" s="1473">
        <v>43907</v>
      </c>
      <c r="L1850" s="1474" t="s">
        <v>2123</v>
      </c>
      <c r="M1850" s="1475">
        <v>1.6136999999999999E-2</v>
      </c>
      <c r="N1850" s="1476">
        <v>1.587029933646025</v>
      </c>
      <c r="O1850" s="1476"/>
    </row>
    <row r="1851" spans="11:15">
      <c r="K1851" s="1473">
        <v>43908</v>
      </c>
      <c r="L1851" s="1474" t="s">
        <v>2123</v>
      </c>
      <c r="M1851" s="1475">
        <v>1.6136999999999999E-2</v>
      </c>
      <c r="N1851" s="1476">
        <v>1.5872860326664175</v>
      </c>
      <c r="O1851" s="1476"/>
    </row>
    <row r="1852" spans="11:15">
      <c r="K1852" s="1473">
        <v>43909</v>
      </c>
      <c r="L1852" s="1474" t="s">
        <v>2123</v>
      </c>
      <c r="M1852" s="1475">
        <v>1.4227E-2</v>
      </c>
      <c r="N1852" s="1476">
        <v>1.587511855850285</v>
      </c>
      <c r="O1852" s="1476"/>
    </row>
    <row r="1853" spans="11:15">
      <c r="K1853" s="1473">
        <v>43910</v>
      </c>
      <c r="L1853" s="1474" t="s">
        <v>2123</v>
      </c>
      <c r="M1853" s="1475">
        <v>1.4227E-2</v>
      </c>
      <c r="N1853" s="1476">
        <v>1.5877377111620168</v>
      </c>
      <c r="O1853" s="1476"/>
    </row>
    <row r="1854" spans="11:15">
      <c r="K1854" s="1473">
        <v>43911</v>
      </c>
      <c r="L1854" s="1474"/>
      <c r="M1854" s="1475">
        <v>0</v>
      </c>
      <c r="N1854" s="1476">
        <v>1.5877377111620168</v>
      </c>
      <c r="O1854" s="1476"/>
    </row>
    <row r="1855" spans="11:15">
      <c r="K1855" s="1473">
        <v>43912</v>
      </c>
      <c r="L1855" s="1474"/>
      <c r="M1855" s="1475">
        <v>0</v>
      </c>
      <c r="N1855" s="1476">
        <v>1.5877377111620168</v>
      </c>
      <c r="O1855" s="1476"/>
    </row>
    <row r="1856" spans="11:15">
      <c r="K1856" s="1473">
        <v>43913</v>
      </c>
      <c r="L1856" s="1474" t="s">
        <v>2123</v>
      </c>
      <c r="M1856" s="1475">
        <v>1.4227E-2</v>
      </c>
      <c r="N1856" s="1476">
        <v>1.5879635986061837</v>
      </c>
      <c r="O1856" s="1476"/>
    </row>
    <row r="1857" spans="11:15">
      <c r="K1857" s="1473">
        <v>43914</v>
      </c>
      <c r="L1857" s="1474" t="s">
        <v>2123</v>
      </c>
      <c r="M1857" s="1475">
        <v>1.4227E-2</v>
      </c>
      <c r="N1857" s="1476">
        <v>1.5881895181873575</v>
      </c>
      <c r="O1857" s="1476"/>
    </row>
    <row r="1858" spans="11:15">
      <c r="K1858" s="1473">
        <v>43915</v>
      </c>
      <c r="L1858" s="1474" t="s">
        <v>2123</v>
      </c>
      <c r="M1858" s="1475">
        <v>1.4227E-2</v>
      </c>
      <c r="N1858" s="1476">
        <v>1.5884154699101101</v>
      </c>
      <c r="O1858" s="1476"/>
    </row>
    <row r="1859" spans="11:15">
      <c r="K1859" s="1473">
        <v>43916</v>
      </c>
      <c r="L1859" s="1474" t="s">
        <v>2123</v>
      </c>
      <c r="M1859" s="1475">
        <v>1.4227E-2</v>
      </c>
      <c r="N1859" s="1476">
        <v>1.5886414537790141</v>
      </c>
      <c r="O1859" s="1476"/>
    </row>
    <row r="1860" spans="11:15">
      <c r="K1860" s="1473">
        <v>43917</v>
      </c>
      <c r="L1860" s="1474" t="s">
        <v>2123</v>
      </c>
      <c r="M1860" s="1475">
        <v>1.4227E-2</v>
      </c>
      <c r="N1860" s="1476">
        <v>1.5888674697986434</v>
      </c>
      <c r="O1860" s="1476"/>
    </row>
    <row r="1861" spans="11:15">
      <c r="K1861" s="1473">
        <v>43918</v>
      </c>
      <c r="L1861" s="1474"/>
      <c r="M1861" s="1475">
        <v>0</v>
      </c>
      <c r="N1861" s="1476">
        <v>1.5888674697986434</v>
      </c>
      <c r="O1861" s="1476"/>
    </row>
    <row r="1862" spans="11:15">
      <c r="K1862" s="1473">
        <v>43919</v>
      </c>
      <c r="L1862" s="1474"/>
      <c r="M1862" s="1475">
        <v>0</v>
      </c>
      <c r="N1862" s="1476">
        <v>1.5888674697986434</v>
      </c>
      <c r="O1862" s="1476"/>
    </row>
    <row r="1863" spans="11:15">
      <c r="K1863" s="1473">
        <v>43920</v>
      </c>
      <c r="L1863" s="1474" t="s">
        <v>2123</v>
      </c>
      <c r="M1863" s="1475">
        <v>1.4227E-2</v>
      </c>
      <c r="N1863" s="1476">
        <v>1.5890935179735717</v>
      </c>
      <c r="O1863" s="1476"/>
    </row>
    <row r="1864" spans="11:15">
      <c r="K1864" s="1473">
        <v>43921</v>
      </c>
      <c r="L1864" s="1474" t="s">
        <v>2123</v>
      </c>
      <c r="M1864" s="1475">
        <v>1.4227E-2</v>
      </c>
      <c r="N1864" s="1476">
        <v>1.5893195983083739</v>
      </c>
      <c r="O1864" s="1476"/>
    </row>
    <row r="1865" spans="11:15">
      <c r="K1865" s="1473">
        <v>43922</v>
      </c>
      <c r="L1865" s="1474" t="s">
        <v>2123</v>
      </c>
      <c r="M1865" s="1475">
        <v>1.4227E-2</v>
      </c>
      <c r="N1865" s="1476">
        <v>1.5895457108076252</v>
      </c>
      <c r="O1865" s="1476"/>
    </row>
    <row r="1866" spans="11:15">
      <c r="K1866" s="1473">
        <v>43923</v>
      </c>
      <c r="L1866" s="1474" t="s">
        <v>2123</v>
      </c>
      <c r="M1866" s="1475">
        <v>1.4227E-2</v>
      </c>
      <c r="N1866" s="1476">
        <v>1.5897718554759017</v>
      </c>
      <c r="O1866" s="1476"/>
    </row>
    <row r="1867" spans="11:15">
      <c r="K1867" s="1473">
        <v>43924</v>
      </c>
      <c r="L1867" s="1474" t="s">
        <v>2123</v>
      </c>
      <c r="M1867" s="1475">
        <v>1.4227E-2</v>
      </c>
      <c r="N1867" s="1476">
        <v>1.5899980323177803</v>
      </c>
      <c r="O1867" s="1476"/>
    </row>
    <row r="1868" spans="11:15">
      <c r="K1868" s="1473">
        <v>43925</v>
      </c>
      <c r="L1868" s="1474"/>
      <c r="M1868" s="1475">
        <v>0</v>
      </c>
      <c r="N1868" s="1476">
        <v>1.5899980323177803</v>
      </c>
      <c r="O1868" s="1476"/>
    </row>
    <row r="1869" spans="11:15">
      <c r="K1869" s="1473">
        <v>43926</v>
      </c>
      <c r="L1869" s="1474"/>
      <c r="M1869" s="1475">
        <v>0</v>
      </c>
      <c r="N1869" s="1476">
        <v>1.5899980323177803</v>
      </c>
      <c r="O1869" s="1476"/>
    </row>
    <row r="1870" spans="11:15">
      <c r="K1870" s="1473">
        <v>43927</v>
      </c>
      <c r="L1870" s="1474" t="s">
        <v>2123</v>
      </c>
      <c r="M1870" s="1475">
        <v>1.4227E-2</v>
      </c>
      <c r="N1870" s="1476">
        <v>1.590224241337838</v>
      </c>
      <c r="O1870" s="1476"/>
    </row>
    <row r="1871" spans="11:15">
      <c r="K1871" s="1473">
        <v>43928</v>
      </c>
      <c r="L1871" s="1474" t="s">
        <v>2123</v>
      </c>
      <c r="M1871" s="1475">
        <v>1.4227E-2</v>
      </c>
      <c r="N1871" s="1476">
        <v>1.5904504825406531</v>
      </c>
      <c r="O1871" s="1476"/>
    </row>
    <row r="1872" spans="11:15">
      <c r="K1872" s="1473">
        <v>43929</v>
      </c>
      <c r="L1872" s="1474" t="s">
        <v>2123</v>
      </c>
      <c r="M1872" s="1475">
        <v>1.4227E-2</v>
      </c>
      <c r="N1872" s="1476">
        <v>1.5906767559308042</v>
      </c>
      <c r="O1872" s="1476"/>
    </row>
    <row r="1873" spans="11:15">
      <c r="K1873" s="1473">
        <v>43930</v>
      </c>
      <c r="L1873" s="1474" t="s">
        <v>2123</v>
      </c>
      <c r="M1873" s="1475">
        <v>1.4227E-2</v>
      </c>
      <c r="N1873" s="1476">
        <v>1.5909030615128705</v>
      </c>
      <c r="O1873" s="1476"/>
    </row>
    <row r="1874" spans="11:15">
      <c r="K1874" s="1473">
        <v>43931</v>
      </c>
      <c r="L1874" s="1474"/>
      <c r="M1874" s="1475">
        <v>0</v>
      </c>
      <c r="N1874" s="1476">
        <v>1.5909030615128705</v>
      </c>
      <c r="O1874" s="1476"/>
    </row>
    <row r="1875" spans="11:15">
      <c r="K1875" s="1473">
        <v>43932</v>
      </c>
      <c r="L1875" s="1474"/>
      <c r="M1875" s="1475">
        <v>0</v>
      </c>
      <c r="N1875" s="1476">
        <v>1.5909030615128705</v>
      </c>
      <c r="O1875" s="1476"/>
    </row>
    <row r="1876" spans="11:15">
      <c r="K1876" s="1473">
        <v>43933</v>
      </c>
      <c r="L1876" s="1474"/>
      <c r="M1876" s="1475">
        <v>0</v>
      </c>
      <c r="N1876" s="1476">
        <v>1.5909030615128705</v>
      </c>
      <c r="O1876" s="1476"/>
    </row>
    <row r="1877" spans="11:15">
      <c r="K1877" s="1473">
        <v>43934</v>
      </c>
      <c r="L1877" s="1474" t="s">
        <v>2123</v>
      </c>
      <c r="M1877" s="1475">
        <v>1.4227E-2</v>
      </c>
      <c r="N1877" s="1476">
        <v>1.5911293992914319</v>
      </c>
      <c r="O1877" s="1476"/>
    </row>
    <row r="1878" spans="11:15">
      <c r="K1878" s="1473">
        <v>43935</v>
      </c>
      <c r="L1878" s="1474" t="s">
        <v>2123</v>
      </c>
      <c r="M1878" s="1475">
        <v>1.4227E-2</v>
      </c>
      <c r="N1878" s="1476">
        <v>1.5913557692710691</v>
      </c>
      <c r="O1878" s="1476"/>
    </row>
    <row r="1879" spans="11:15">
      <c r="K1879" s="1473">
        <v>43936</v>
      </c>
      <c r="L1879" s="1474" t="s">
        <v>2123</v>
      </c>
      <c r="M1879" s="1475">
        <v>1.4227E-2</v>
      </c>
      <c r="N1879" s="1476">
        <v>1.5915821714563634</v>
      </c>
      <c r="O1879" s="1476"/>
    </row>
    <row r="1880" spans="11:15">
      <c r="K1880" s="1473">
        <v>43937</v>
      </c>
      <c r="L1880" s="1474" t="s">
        <v>2123</v>
      </c>
      <c r="M1880" s="1475">
        <v>1.4227E-2</v>
      </c>
      <c r="N1880" s="1476">
        <v>1.5918086058518965</v>
      </c>
      <c r="O1880" s="1476"/>
    </row>
    <row r="1881" spans="11:15">
      <c r="K1881" s="1473">
        <v>43938</v>
      </c>
      <c r="L1881" s="1474" t="s">
        <v>2123</v>
      </c>
      <c r="M1881" s="1475">
        <v>1.4227E-2</v>
      </c>
      <c r="N1881" s="1476">
        <v>1.5920350724622512</v>
      </c>
      <c r="O1881" s="1476"/>
    </row>
    <row r="1882" spans="11:15">
      <c r="K1882" s="1473">
        <v>43939</v>
      </c>
      <c r="L1882" s="1474"/>
      <c r="M1882" s="1475">
        <v>0</v>
      </c>
      <c r="N1882" s="1476">
        <v>1.5920350724622512</v>
      </c>
      <c r="O1882" s="1476"/>
    </row>
    <row r="1883" spans="11:15">
      <c r="K1883" s="1473">
        <v>43940</v>
      </c>
      <c r="L1883" s="1474"/>
      <c r="M1883" s="1475">
        <v>0</v>
      </c>
      <c r="N1883" s="1476">
        <v>1.5920350724622512</v>
      </c>
      <c r="O1883" s="1476"/>
    </row>
    <row r="1884" spans="11:15">
      <c r="K1884" s="1473">
        <v>43941</v>
      </c>
      <c r="L1884" s="1474" t="s">
        <v>2123</v>
      </c>
      <c r="M1884" s="1475">
        <v>1.4227E-2</v>
      </c>
      <c r="N1884" s="1476">
        <v>1.5922615712920103</v>
      </c>
      <c r="O1884" s="1476"/>
    </row>
    <row r="1885" spans="11:15">
      <c r="K1885" s="1473">
        <v>43942</v>
      </c>
      <c r="L1885" s="1474"/>
      <c r="M1885" s="1475">
        <v>0</v>
      </c>
      <c r="N1885" s="1476">
        <v>1.5922615712920103</v>
      </c>
      <c r="O1885" s="1476"/>
    </row>
    <row r="1886" spans="11:15">
      <c r="K1886" s="1473">
        <v>43943</v>
      </c>
      <c r="L1886" s="1474" t="s">
        <v>2123</v>
      </c>
      <c r="M1886" s="1475">
        <v>1.4227E-2</v>
      </c>
      <c r="N1886" s="1476">
        <v>1.592488102345758</v>
      </c>
      <c r="O1886" s="1476"/>
    </row>
    <row r="1887" spans="11:15">
      <c r="K1887" s="1473">
        <v>43944</v>
      </c>
      <c r="L1887" s="1474" t="s">
        <v>2123</v>
      </c>
      <c r="M1887" s="1475">
        <v>1.4227E-2</v>
      </c>
      <c r="N1887" s="1476">
        <v>1.5927146656280786</v>
      </c>
      <c r="O1887" s="1476"/>
    </row>
    <row r="1888" spans="11:15">
      <c r="K1888" s="1473">
        <v>43945</v>
      </c>
      <c r="L1888" s="1474" t="s">
        <v>2123</v>
      </c>
      <c r="M1888" s="1475">
        <v>1.4227E-2</v>
      </c>
      <c r="N1888" s="1476">
        <v>1.5929412611435576</v>
      </c>
      <c r="O1888" s="1476"/>
    </row>
    <row r="1889" spans="11:15">
      <c r="K1889" s="1473">
        <v>43946</v>
      </c>
      <c r="L1889" s="1474"/>
      <c r="M1889" s="1475">
        <v>0</v>
      </c>
      <c r="N1889" s="1476">
        <v>1.5929412611435576</v>
      </c>
      <c r="O1889" s="1476"/>
    </row>
    <row r="1890" spans="11:15">
      <c r="K1890" s="1473">
        <v>43947</v>
      </c>
      <c r="L1890" s="1474"/>
      <c r="M1890" s="1475">
        <v>0</v>
      </c>
      <c r="N1890" s="1476">
        <v>1.5929412611435576</v>
      </c>
      <c r="O1890" s="1476"/>
    </row>
    <row r="1891" spans="11:15">
      <c r="K1891" s="1473">
        <v>43948</v>
      </c>
      <c r="L1891" s="1474" t="s">
        <v>2123</v>
      </c>
      <c r="M1891" s="1475">
        <v>1.4227E-2</v>
      </c>
      <c r="N1891" s="1476">
        <v>1.5931678888967804</v>
      </c>
      <c r="O1891" s="1476"/>
    </row>
    <row r="1892" spans="11:15">
      <c r="K1892" s="1473">
        <v>43949</v>
      </c>
      <c r="L1892" s="1474" t="s">
        <v>2123</v>
      </c>
      <c r="M1892" s="1475">
        <v>1.4227E-2</v>
      </c>
      <c r="N1892" s="1476">
        <v>1.5933945488923338</v>
      </c>
      <c r="O1892" s="1476"/>
    </row>
    <row r="1893" spans="11:15">
      <c r="K1893" s="1473">
        <v>43950</v>
      </c>
      <c r="L1893" s="1474" t="s">
        <v>2123</v>
      </c>
      <c r="M1893" s="1475">
        <v>1.4227E-2</v>
      </c>
      <c r="N1893" s="1476">
        <v>1.5936212411348047</v>
      </c>
      <c r="O1893" s="1476"/>
    </row>
    <row r="1894" spans="11:15">
      <c r="K1894" s="1473">
        <v>43951</v>
      </c>
      <c r="L1894" s="1474" t="s">
        <v>2123</v>
      </c>
      <c r="M1894" s="1475">
        <v>1.4227E-2</v>
      </c>
      <c r="N1894" s="1476">
        <v>1.5938479656287809</v>
      </c>
      <c r="O1894" s="1476"/>
    </row>
    <row r="1895" spans="11:15">
      <c r="K1895" s="1473">
        <v>43952</v>
      </c>
      <c r="L1895" s="1474"/>
      <c r="M1895" s="1475">
        <v>0</v>
      </c>
      <c r="N1895" s="1476">
        <v>1.5938479656287809</v>
      </c>
      <c r="O1895" s="1476"/>
    </row>
    <row r="1896" spans="11:15">
      <c r="K1896" s="1473">
        <v>43953</v>
      </c>
      <c r="L1896" s="1474"/>
      <c r="M1896" s="1475">
        <v>0</v>
      </c>
      <c r="N1896" s="1476">
        <v>1.5938479656287809</v>
      </c>
      <c r="O1896" s="1476"/>
    </row>
    <row r="1897" spans="11:15">
      <c r="K1897" s="1473">
        <v>43954</v>
      </c>
      <c r="L1897" s="1474"/>
      <c r="M1897" s="1475">
        <v>0</v>
      </c>
      <c r="N1897" s="1476">
        <v>1.5938479656287809</v>
      </c>
      <c r="O1897" s="1476"/>
    </row>
    <row r="1898" spans="11:15">
      <c r="K1898" s="1473">
        <v>43955</v>
      </c>
      <c r="L1898" s="1474" t="s">
        <v>2123</v>
      </c>
      <c r="M1898" s="1475">
        <v>1.4227E-2</v>
      </c>
      <c r="N1898" s="1476">
        <v>1.594074722378851</v>
      </c>
      <c r="O1898" s="1476"/>
    </row>
    <row r="1899" spans="11:15">
      <c r="K1899" s="1473">
        <v>43956</v>
      </c>
      <c r="L1899" s="1474" t="s">
        <v>2123</v>
      </c>
      <c r="M1899" s="1475">
        <v>1.4227E-2</v>
      </c>
      <c r="N1899" s="1476">
        <v>1.5943015113896037</v>
      </c>
      <c r="O1899" s="1476"/>
    </row>
    <row r="1900" spans="11:15">
      <c r="K1900" s="1473">
        <v>43957</v>
      </c>
      <c r="L1900" s="1474" t="s">
        <v>2123</v>
      </c>
      <c r="M1900" s="1475">
        <v>1.4227E-2</v>
      </c>
      <c r="N1900" s="1476">
        <v>1.5945283326656292</v>
      </c>
      <c r="O1900" s="1476"/>
    </row>
    <row r="1901" spans="11:15">
      <c r="K1901" s="1473">
        <v>43958</v>
      </c>
      <c r="L1901" s="1474" t="s">
        <v>2123</v>
      </c>
      <c r="M1901" s="1475">
        <v>1.1344999999999999E-2</v>
      </c>
      <c r="N1901" s="1476">
        <v>1.59470923190497</v>
      </c>
      <c r="O1901" s="1476"/>
    </row>
    <row r="1902" spans="11:15">
      <c r="K1902" s="1473">
        <v>43959</v>
      </c>
      <c r="L1902" s="1474" t="s">
        <v>2123</v>
      </c>
      <c r="M1902" s="1475">
        <v>1.1344999999999999E-2</v>
      </c>
      <c r="N1902" s="1476">
        <v>1.5948901516673295</v>
      </c>
      <c r="O1902" s="1476"/>
    </row>
    <row r="1903" spans="11:15">
      <c r="K1903" s="1473">
        <v>43960</v>
      </c>
      <c r="L1903" s="1474"/>
      <c r="M1903" s="1475">
        <v>0</v>
      </c>
      <c r="N1903" s="1476">
        <v>1.5948901516673295</v>
      </c>
      <c r="O1903" s="1476"/>
    </row>
    <row r="1904" spans="11:15">
      <c r="K1904" s="1473">
        <v>43961</v>
      </c>
      <c r="L1904" s="1474"/>
      <c r="M1904" s="1475">
        <v>0</v>
      </c>
      <c r="N1904" s="1476">
        <v>1.5948901516673295</v>
      </c>
      <c r="O1904" s="1476"/>
    </row>
    <row r="1905" spans="11:15">
      <c r="K1905" s="1473">
        <v>43962</v>
      </c>
      <c r="L1905" s="1474" t="s">
        <v>2123</v>
      </c>
      <c r="M1905" s="1475">
        <v>1.1344999999999999E-2</v>
      </c>
      <c r="N1905" s="1476">
        <v>1.5950710919550362</v>
      </c>
      <c r="O1905" s="1476"/>
    </row>
    <row r="1906" spans="11:15">
      <c r="K1906" s="1473">
        <v>43963</v>
      </c>
      <c r="L1906" s="1474" t="s">
        <v>2123</v>
      </c>
      <c r="M1906" s="1475">
        <v>1.1344999999999999E-2</v>
      </c>
      <c r="N1906" s="1476">
        <v>1.5952520527704184</v>
      </c>
      <c r="O1906" s="1476"/>
    </row>
    <row r="1907" spans="11:15">
      <c r="K1907" s="1473">
        <v>43964</v>
      </c>
      <c r="L1907" s="1474" t="s">
        <v>2123</v>
      </c>
      <c r="M1907" s="1475">
        <v>1.1344999999999999E-2</v>
      </c>
      <c r="N1907" s="1476">
        <v>1.5954330341158052</v>
      </c>
      <c r="O1907" s="1476"/>
    </row>
    <row r="1908" spans="11:15">
      <c r="K1908" s="1473">
        <v>43965</v>
      </c>
      <c r="L1908" s="1474" t="s">
        <v>2123</v>
      </c>
      <c r="M1908" s="1475">
        <v>1.1344999999999999E-2</v>
      </c>
      <c r="N1908" s="1476">
        <v>1.5956140359935256</v>
      </c>
      <c r="O1908" s="1476"/>
    </row>
    <row r="1909" spans="11:15">
      <c r="K1909" s="1473">
        <v>43966</v>
      </c>
      <c r="L1909" s="1474" t="s">
        <v>2123</v>
      </c>
      <c r="M1909" s="1475">
        <v>1.1344999999999999E-2</v>
      </c>
      <c r="N1909" s="1476">
        <v>1.5957950584059091</v>
      </c>
      <c r="O1909" s="1476"/>
    </row>
    <row r="1910" spans="11:15">
      <c r="K1910" s="1473">
        <v>43967</v>
      </c>
      <c r="L1910" s="1474"/>
      <c r="M1910" s="1475">
        <v>0</v>
      </c>
      <c r="N1910" s="1476">
        <v>1.5957950584059091</v>
      </c>
      <c r="O1910" s="1476"/>
    </row>
    <row r="1911" spans="11:15">
      <c r="K1911" s="1473">
        <v>43968</v>
      </c>
      <c r="L1911" s="1474"/>
      <c r="M1911" s="1475">
        <v>0</v>
      </c>
      <c r="N1911" s="1476">
        <v>1.5957950584059091</v>
      </c>
      <c r="O1911" s="1476"/>
    </row>
    <row r="1912" spans="11:15">
      <c r="K1912" s="1473">
        <v>43969</v>
      </c>
      <c r="L1912" s="1474" t="s">
        <v>2123</v>
      </c>
      <c r="M1912" s="1475">
        <v>1.1344999999999999E-2</v>
      </c>
      <c r="N1912" s="1476">
        <v>1.5959761013552851</v>
      </c>
      <c r="O1912" s="1476"/>
    </row>
    <row r="1913" spans="11:15">
      <c r="K1913" s="1473">
        <v>43970</v>
      </c>
      <c r="L1913" s="1474" t="s">
        <v>2123</v>
      </c>
      <c r="M1913" s="1475">
        <v>1.1344999999999999E-2</v>
      </c>
      <c r="N1913" s="1476">
        <v>1.5961571648439838</v>
      </c>
      <c r="O1913" s="1476"/>
    </row>
    <row r="1914" spans="11:15">
      <c r="K1914" s="1473">
        <v>43971</v>
      </c>
      <c r="L1914" s="1474" t="s">
        <v>2123</v>
      </c>
      <c r="M1914" s="1475">
        <v>1.1344999999999999E-2</v>
      </c>
      <c r="N1914" s="1476">
        <v>1.5963382488743354</v>
      </c>
      <c r="O1914" s="1476"/>
    </row>
    <row r="1915" spans="11:15">
      <c r="K1915" s="1473">
        <v>43972</v>
      </c>
      <c r="L1915" s="1474" t="s">
        <v>2123</v>
      </c>
      <c r="M1915" s="1475">
        <v>1.1344999999999999E-2</v>
      </c>
      <c r="N1915" s="1476">
        <v>1.5965193534486701</v>
      </c>
      <c r="O1915" s="1476"/>
    </row>
    <row r="1916" spans="11:15">
      <c r="K1916" s="1473">
        <v>43973</v>
      </c>
      <c r="L1916" s="1474" t="s">
        <v>2123</v>
      </c>
      <c r="M1916" s="1475">
        <v>1.1344999999999999E-2</v>
      </c>
      <c r="N1916" s="1476">
        <v>1.5967004785693188</v>
      </c>
      <c r="O1916" s="1476"/>
    </row>
    <row r="1917" spans="11:15">
      <c r="K1917" s="1473">
        <v>43974</v>
      </c>
      <c r="L1917" s="1474"/>
      <c r="M1917" s="1475">
        <v>0</v>
      </c>
      <c r="N1917" s="1476">
        <v>1.5967004785693188</v>
      </c>
      <c r="O1917" s="1476"/>
    </row>
    <row r="1918" spans="11:15">
      <c r="K1918" s="1473">
        <v>43975</v>
      </c>
      <c r="L1918" s="1474"/>
      <c r="M1918" s="1475">
        <v>0</v>
      </c>
      <c r="N1918" s="1476">
        <v>1.5967004785693188</v>
      </c>
      <c r="O1918" s="1476"/>
    </row>
    <row r="1919" spans="11:15">
      <c r="K1919" s="1473">
        <v>43976</v>
      </c>
      <c r="L1919" s="1474" t="s">
        <v>2123</v>
      </c>
      <c r="M1919" s="1475">
        <v>1.1344999999999999E-2</v>
      </c>
      <c r="N1919" s="1476">
        <v>1.5968816242386126</v>
      </c>
      <c r="O1919" s="1476"/>
    </row>
    <row r="1920" spans="11:15">
      <c r="K1920" s="1473">
        <v>43977</v>
      </c>
      <c r="L1920" s="1474" t="s">
        <v>2123</v>
      </c>
      <c r="M1920" s="1475">
        <v>1.1344999999999999E-2</v>
      </c>
      <c r="N1920" s="1476">
        <v>1.5970627904588823</v>
      </c>
      <c r="O1920" s="1476"/>
    </row>
    <row r="1921" spans="11:15">
      <c r="K1921" s="1473">
        <v>43978</v>
      </c>
      <c r="L1921" s="1474" t="s">
        <v>2123</v>
      </c>
      <c r="M1921" s="1475">
        <v>1.1344999999999999E-2</v>
      </c>
      <c r="N1921" s="1476">
        <v>1.5972439772324598</v>
      </c>
      <c r="O1921" s="1476"/>
    </row>
    <row r="1922" spans="11:15">
      <c r="K1922" s="1473">
        <v>43979</v>
      </c>
      <c r="L1922" s="1474" t="s">
        <v>2123</v>
      </c>
      <c r="M1922" s="1475">
        <v>1.1344999999999999E-2</v>
      </c>
      <c r="N1922" s="1476">
        <v>1.5974251845616767</v>
      </c>
      <c r="O1922" s="1476"/>
    </row>
    <row r="1923" spans="11:15">
      <c r="K1923" s="1473">
        <v>43980</v>
      </c>
      <c r="L1923" s="1474" t="s">
        <v>2123</v>
      </c>
      <c r="M1923" s="1475">
        <v>1.1344999999999999E-2</v>
      </c>
      <c r="N1923" s="1476">
        <v>1.5976064124488651</v>
      </c>
      <c r="O1923" s="1476"/>
    </row>
    <row r="1924" spans="11:15">
      <c r="K1924" s="1473">
        <v>43981</v>
      </c>
      <c r="L1924" s="1474"/>
      <c r="M1924" s="1475">
        <v>0</v>
      </c>
      <c r="N1924" s="1476">
        <v>1.5976064124488651</v>
      </c>
      <c r="O1924" s="1476"/>
    </row>
    <row r="1925" spans="11:15">
      <c r="K1925" s="1473">
        <v>43982</v>
      </c>
      <c r="L1925" s="1474"/>
      <c r="M1925" s="1475">
        <v>0</v>
      </c>
      <c r="N1925" s="1476">
        <v>1.5976064124488651</v>
      </c>
      <c r="O1925" s="1476"/>
    </row>
    <row r="1926" spans="11:15">
      <c r="K1926" s="1473">
        <v>43983</v>
      </c>
      <c r="L1926" s="1474" t="s">
        <v>2123</v>
      </c>
      <c r="M1926" s="1475">
        <v>1.1344999999999999E-2</v>
      </c>
      <c r="N1926" s="1476">
        <v>1.5977876608963575</v>
      </c>
      <c r="O1926" s="1476"/>
    </row>
    <row r="1927" spans="11:15">
      <c r="K1927" s="1473">
        <v>43984</v>
      </c>
      <c r="L1927" s="1474" t="s">
        <v>2123</v>
      </c>
      <c r="M1927" s="1475">
        <v>1.1344999999999999E-2</v>
      </c>
      <c r="N1927" s="1476">
        <v>1.5979689299064861</v>
      </c>
      <c r="O1927" s="1476"/>
    </row>
    <row r="1928" spans="11:15">
      <c r="K1928" s="1473">
        <v>43985</v>
      </c>
      <c r="L1928" s="1474" t="s">
        <v>2123</v>
      </c>
      <c r="M1928" s="1475">
        <v>1.1344999999999999E-2</v>
      </c>
      <c r="N1928" s="1476">
        <v>1.598150219481584</v>
      </c>
      <c r="O1928" s="1476"/>
    </row>
    <row r="1929" spans="11:15">
      <c r="K1929" s="1473">
        <v>43986</v>
      </c>
      <c r="L1929" s="1474" t="s">
        <v>2123</v>
      </c>
      <c r="M1929" s="1475">
        <v>1.1344999999999999E-2</v>
      </c>
      <c r="N1929" s="1476">
        <v>1.5983315296239842</v>
      </c>
      <c r="O1929" s="1476"/>
    </row>
    <row r="1930" spans="11:15">
      <c r="K1930" s="1473">
        <v>43987</v>
      </c>
      <c r="L1930" s="1474" t="s">
        <v>2123</v>
      </c>
      <c r="M1930" s="1475">
        <v>1.1344999999999999E-2</v>
      </c>
      <c r="N1930" s="1476">
        <v>1.5985128603360199</v>
      </c>
      <c r="O1930" s="1476"/>
    </row>
    <row r="1931" spans="11:15">
      <c r="K1931" s="1473">
        <v>43988</v>
      </c>
      <c r="L1931" s="1474"/>
      <c r="M1931" s="1475">
        <v>0</v>
      </c>
      <c r="N1931" s="1476">
        <v>1.5985128603360199</v>
      </c>
      <c r="O1931" s="1476"/>
    </row>
    <row r="1932" spans="11:15">
      <c r="K1932" s="1473">
        <v>43989</v>
      </c>
      <c r="L1932" s="1474"/>
      <c r="M1932" s="1475">
        <v>0</v>
      </c>
      <c r="N1932" s="1476">
        <v>1.5985128603360199</v>
      </c>
      <c r="O1932" s="1476"/>
    </row>
    <row r="1933" spans="11:15">
      <c r="K1933" s="1473">
        <v>43990</v>
      </c>
      <c r="L1933" s="1474" t="s">
        <v>2123</v>
      </c>
      <c r="M1933" s="1475">
        <v>1.1344999999999999E-2</v>
      </c>
      <c r="N1933" s="1476">
        <v>1.5986942116200249</v>
      </c>
      <c r="O1933" s="1476"/>
    </row>
    <row r="1934" spans="11:15">
      <c r="K1934" s="1473">
        <v>43991</v>
      </c>
      <c r="L1934" s="1474" t="s">
        <v>2123</v>
      </c>
      <c r="M1934" s="1475">
        <v>1.1344999999999999E-2</v>
      </c>
      <c r="N1934" s="1476">
        <v>1.598875583478333</v>
      </c>
      <c r="O1934" s="1476"/>
    </row>
    <row r="1935" spans="11:15">
      <c r="K1935" s="1473">
        <v>43992</v>
      </c>
      <c r="L1935" s="1474" t="s">
        <v>2123</v>
      </c>
      <c r="M1935" s="1475">
        <v>1.1344999999999999E-2</v>
      </c>
      <c r="N1935" s="1476">
        <v>1.5990569759132787</v>
      </c>
      <c r="O1935" s="1476"/>
    </row>
    <row r="1936" spans="11:15">
      <c r="K1936" s="1473">
        <v>43993</v>
      </c>
      <c r="L1936" s="1474"/>
      <c r="M1936" s="1475">
        <v>0</v>
      </c>
      <c r="N1936" s="1476">
        <v>1.5990569759132787</v>
      </c>
      <c r="O1936" s="1476"/>
    </row>
    <row r="1937" spans="11:15">
      <c r="K1937" s="1473">
        <v>43994</v>
      </c>
      <c r="L1937" s="1474" t="s">
        <v>2123</v>
      </c>
      <c r="M1937" s="1475">
        <v>1.1344999999999999E-2</v>
      </c>
      <c r="N1937" s="1476">
        <v>1.5992383889271959</v>
      </c>
      <c r="O1937" s="1476"/>
    </row>
    <row r="1938" spans="11:15">
      <c r="K1938" s="1473">
        <v>43995</v>
      </c>
      <c r="L1938" s="1474"/>
      <c r="M1938" s="1475">
        <v>0</v>
      </c>
      <c r="N1938" s="1476">
        <v>1.5992383889271959</v>
      </c>
      <c r="O1938" s="1476"/>
    </row>
    <row r="1939" spans="11:15">
      <c r="K1939" s="1473">
        <v>43996</v>
      </c>
      <c r="L1939" s="1474"/>
      <c r="M1939" s="1475">
        <v>0</v>
      </c>
      <c r="N1939" s="1476">
        <v>1.5992383889271959</v>
      </c>
      <c r="O1939" s="1476"/>
    </row>
    <row r="1940" spans="11:15">
      <c r="K1940" s="1473">
        <v>43997</v>
      </c>
      <c r="L1940" s="1474" t="s">
        <v>2123</v>
      </c>
      <c r="M1940" s="1475">
        <v>1.1344999999999999E-2</v>
      </c>
      <c r="N1940" s="1476">
        <v>1.5994198225224197</v>
      </c>
      <c r="O1940" s="1476"/>
    </row>
    <row r="1941" spans="11:15">
      <c r="K1941" s="1473">
        <v>43998</v>
      </c>
      <c r="L1941" s="1474" t="s">
        <v>2123</v>
      </c>
      <c r="M1941" s="1475">
        <v>1.1344999999999999E-2</v>
      </c>
      <c r="N1941" s="1476">
        <v>1.5996012767012848</v>
      </c>
      <c r="O1941" s="1476"/>
    </row>
    <row r="1942" spans="11:15">
      <c r="K1942" s="1473">
        <v>43999</v>
      </c>
      <c r="L1942" s="1474" t="s">
        <v>2123</v>
      </c>
      <c r="M1942" s="1475">
        <v>1.1344999999999999E-2</v>
      </c>
      <c r="N1942" s="1476">
        <v>1.5997827514661265</v>
      </c>
      <c r="O1942" s="1476"/>
    </row>
    <row r="1943" spans="11:15">
      <c r="K1943" s="1473">
        <v>44000</v>
      </c>
      <c r="L1943" s="1474" t="s">
        <v>2123</v>
      </c>
      <c r="M1943" s="1475">
        <v>8.4419999999999999E-3</v>
      </c>
      <c r="N1943" s="1476">
        <v>1.5999178051260055</v>
      </c>
      <c r="O1943" s="1476"/>
    </row>
    <row r="1944" spans="11:15">
      <c r="K1944" s="1473">
        <v>44001</v>
      </c>
      <c r="L1944" s="1474" t="s">
        <v>2123</v>
      </c>
      <c r="M1944" s="1475">
        <v>8.4419999999999999E-3</v>
      </c>
      <c r="N1944" s="1476">
        <v>1.6000528701871144</v>
      </c>
      <c r="O1944" s="1476"/>
    </row>
    <row r="1945" spans="11:15">
      <c r="K1945" s="1473">
        <v>44002</v>
      </c>
      <c r="L1945" s="1474"/>
      <c r="M1945" s="1475">
        <v>0</v>
      </c>
      <c r="N1945" s="1476">
        <v>1.6000528701871144</v>
      </c>
      <c r="O1945" s="1476"/>
    </row>
    <row r="1946" spans="11:15">
      <c r="K1946" s="1473">
        <v>44003</v>
      </c>
      <c r="L1946" s="1474"/>
      <c r="M1946" s="1475">
        <v>0</v>
      </c>
      <c r="N1946" s="1476">
        <v>1.6000528701871144</v>
      </c>
      <c r="O1946" s="1476"/>
    </row>
    <row r="1947" spans="11:15">
      <c r="K1947" s="1473">
        <v>44004</v>
      </c>
      <c r="L1947" s="1474" t="s">
        <v>2123</v>
      </c>
      <c r="M1947" s="1475">
        <v>8.4419999999999999E-3</v>
      </c>
      <c r="N1947" s="1476">
        <v>1.6001879466504156</v>
      </c>
      <c r="O1947" s="1476"/>
    </row>
    <row r="1948" spans="11:15">
      <c r="K1948" s="1473">
        <v>44005</v>
      </c>
      <c r="L1948" s="1474" t="s">
        <v>2123</v>
      </c>
      <c r="M1948" s="1475">
        <v>8.4419999999999999E-3</v>
      </c>
      <c r="N1948" s="1476">
        <v>1.600323034516872</v>
      </c>
      <c r="O1948" s="1476"/>
    </row>
    <row r="1949" spans="11:15">
      <c r="K1949" s="1473">
        <v>44006</v>
      </c>
      <c r="L1949" s="1474" t="s">
        <v>2123</v>
      </c>
      <c r="M1949" s="1475">
        <v>8.4419999999999999E-3</v>
      </c>
      <c r="N1949" s="1476">
        <v>1.6004581337874459</v>
      </c>
      <c r="O1949" s="1476"/>
    </row>
    <row r="1950" spans="11:15">
      <c r="K1950" s="1473">
        <v>44007</v>
      </c>
      <c r="L1950" s="1474" t="s">
        <v>2123</v>
      </c>
      <c r="M1950" s="1475">
        <v>8.4419999999999999E-3</v>
      </c>
      <c r="N1950" s="1476">
        <v>1.6005932444631004</v>
      </c>
      <c r="O1950" s="1476"/>
    </row>
    <row r="1951" spans="11:15">
      <c r="K1951" s="1473">
        <v>44008</v>
      </c>
      <c r="L1951" s="1474" t="s">
        <v>2123</v>
      </c>
      <c r="M1951" s="1475">
        <v>8.4419999999999999E-3</v>
      </c>
      <c r="N1951" s="1476">
        <v>1.600728366544798</v>
      </c>
      <c r="O1951" s="1476"/>
    </row>
    <row r="1952" spans="11:15">
      <c r="K1952" s="1473">
        <v>44009</v>
      </c>
      <c r="L1952" s="1474"/>
      <c r="M1952" s="1475">
        <v>0</v>
      </c>
      <c r="N1952" s="1476">
        <v>1.600728366544798</v>
      </c>
      <c r="O1952" s="1476"/>
    </row>
    <row r="1953" spans="11:15">
      <c r="K1953" s="1473">
        <v>44010</v>
      </c>
      <c r="L1953" s="1474"/>
      <c r="M1953" s="1475">
        <v>0</v>
      </c>
      <c r="N1953" s="1476">
        <v>1.600728366544798</v>
      </c>
      <c r="O1953" s="1476"/>
    </row>
    <row r="1954" spans="11:15">
      <c r="K1954" s="1473">
        <v>44011</v>
      </c>
      <c r="L1954" s="1474" t="s">
        <v>2123</v>
      </c>
      <c r="M1954" s="1475">
        <v>8.4419999999999999E-3</v>
      </c>
      <c r="N1954" s="1476">
        <v>1.6008635000335019</v>
      </c>
      <c r="O1954" s="1476"/>
    </row>
    <row r="1955" spans="11:15">
      <c r="K1955" s="1473">
        <v>44012</v>
      </c>
      <c r="L1955" s="1474" t="s">
        <v>2123</v>
      </c>
      <c r="M1955" s="1475">
        <v>8.4419999999999999E-3</v>
      </c>
      <c r="N1955" s="1476">
        <v>1.6009986449301747</v>
      </c>
      <c r="O1955" s="1476"/>
    </row>
    <row r="1956" spans="11:15">
      <c r="K1956" s="1473">
        <v>44013</v>
      </c>
      <c r="L1956" s="1474" t="s">
        <v>2123</v>
      </c>
      <c r="M1956" s="1475">
        <v>8.4419999999999999E-3</v>
      </c>
      <c r="N1956" s="1476">
        <v>1.6011338012357799</v>
      </c>
      <c r="O1956" s="1476"/>
    </row>
    <row r="1957" spans="11:15">
      <c r="K1957" s="1473">
        <v>44014</v>
      </c>
      <c r="L1957" s="1474" t="s">
        <v>2123</v>
      </c>
      <c r="M1957" s="1475">
        <v>8.4419999999999999E-3</v>
      </c>
      <c r="N1957" s="1476">
        <v>1.6012689689512802</v>
      </c>
      <c r="O1957" s="1476"/>
    </row>
    <row r="1958" spans="11:15">
      <c r="K1958" s="1473">
        <v>44015</v>
      </c>
      <c r="L1958" s="1474" t="s">
        <v>2123</v>
      </c>
      <c r="M1958" s="1475">
        <v>8.4419999999999999E-3</v>
      </c>
      <c r="N1958" s="1476">
        <v>1.6014041480776393</v>
      </c>
      <c r="O1958" s="1476"/>
    </row>
    <row r="1959" spans="11:15">
      <c r="K1959" s="1473">
        <v>44016</v>
      </c>
      <c r="L1959" s="1474"/>
      <c r="M1959" s="1475">
        <v>0</v>
      </c>
      <c r="N1959" s="1476">
        <v>1.6014041480776393</v>
      </c>
      <c r="O1959" s="1476"/>
    </row>
    <row r="1960" spans="11:15">
      <c r="K1960" s="1473">
        <v>44017</v>
      </c>
      <c r="L1960" s="1474"/>
      <c r="M1960" s="1475">
        <v>0</v>
      </c>
      <c r="N1960" s="1476">
        <v>1.6014041480776393</v>
      </c>
      <c r="O1960" s="1476"/>
    </row>
    <row r="1961" spans="11:15">
      <c r="K1961" s="1473">
        <v>44018</v>
      </c>
      <c r="L1961" s="1474" t="s">
        <v>2123</v>
      </c>
      <c r="M1961" s="1475">
        <v>8.4419999999999999E-3</v>
      </c>
      <c r="N1961" s="1476">
        <v>1.6015393386158201</v>
      </c>
      <c r="O1961" s="1476"/>
    </row>
    <row r="1962" spans="11:15">
      <c r="K1962" s="1473">
        <v>44019</v>
      </c>
      <c r="L1962" s="1474" t="s">
        <v>2123</v>
      </c>
      <c r="M1962" s="1475">
        <v>8.4419999999999999E-3</v>
      </c>
      <c r="N1962" s="1476">
        <v>1.6016745405667863</v>
      </c>
      <c r="O1962" s="1476"/>
    </row>
    <row r="1963" spans="11:15">
      <c r="K1963" s="1473">
        <v>44020</v>
      </c>
      <c r="L1963" s="1474" t="s">
        <v>2123</v>
      </c>
      <c r="M1963" s="1475">
        <v>8.4419999999999999E-3</v>
      </c>
      <c r="N1963" s="1476">
        <v>1.601809753931501</v>
      </c>
      <c r="O1963" s="1476"/>
    </row>
    <row r="1964" spans="11:15">
      <c r="K1964" s="1473">
        <v>44021</v>
      </c>
      <c r="L1964" s="1474" t="s">
        <v>2123</v>
      </c>
      <c r="M1964" s="1475">
        <v>8.4419999999999999E-3</v>
      </c>
      <c r="N1964" s="1476">
        <v>1.6019449787109281</v>
      </c>
      <c r="O1964" s="1476"/>
    </row>
    <row r="1965" spans="11:15">
      <c r="K1965" s="1473">
        <v>44022</v>
      </c>
      <c r="L1965" s="1474" t="s">
        <v>2123</v>
      </c>
      <c r="M1965" s="1475">
        <v>8.4419999999999999E-3</v>
      </c>
      <c r="N1965" s="1476">
        <v>1.6020802149060309</v>
      </c>
      <c r="O1965" s="1476"/>
    </row>
    <row r="1966" spans="11:15">
      <c r="K1966" s="1473">
        <v>44023</v>
      </c>
      <c r="L1966" s="1474"/>
      <c r="M1966" s="1475">
        <v>0</v>
      </c>
      <c r="N1966" s="1476">
        <v>1.6020802149060309</v>
      </c>
      <c r="O1966" s="1476"/>
    </row>
    <row r="1967" spans="11:15">
      <c r="K1967" s="1473">
        <v>44024</v>
      </c>
      <c r="L1967" s="1474"/>
      <c r="M1967" s="1475">
        <v>0</v>
      </c>
      <c r="N1967" s="1476">
        <v>1.6020802149060309</v>
      </c>
      <c r="O1967" s="1476"/>
    </row>
    <row r="1968" spans="11:15">
      <c r="K1968" s="1473">
        <v>44025</v>
      </c>
      <c r="L1968" s="1474" t="s">
        <v>2123</v>
      </c>
      <c r="M1968" s="1475">
        <v>8.4419999999999999E-3</v>
      </c>
      <c r="N1968" s="1476">
        <v>1.6022154625177734</v>
      </c>
      <c r="O1968" s="1476"/>
    </row>
    <row r="1969" spans="11:15">
      <c r="K1969" s="1473">
        <v>44026</v>
      </c>
      <c r="L1969" s="1474" t="s">
        <v>2123</v>
      </c>
      <c r="M1969" s="1475">
        <v>8.4419999999999999E-3</v>
      </c>
      <c r="N1969" s="1476">
        <v>1.6023507215471193</v>
      </c>
      <c r="O1969" s="1476"/>
    </row>
    <row r="1970" spans="11:15">
      <c r="K1970" s="1473">
        <v>44027</v>
      </c>
      <c r="L1970" s="1474" t="s">
        <v>2123</v>
      </c>
      <c r="M1970" s="1475">
        <v>8.4419999999999999E-3</v>
      </c>
      <c r="N1970" s="1476">
        <v>1.6024859919950325</v>
      </c>
      <c r="O1970" s="1476"/>
    </row>
    <row r="1971" spans="11:15">
      <c r="K1971" s="1473">
        <v>44028</v>
      </c>
      <c r="L1971" s="1474" t="s">
        <v>2123</v>
      </c>
      <c r="M1971" s="1475">
        <v>8.4419999999999999E-3</v>
      </c>
      <c r="N1971" s="1476">
        <v>1.6026212738624768</v>
      </c>
      <c r="O1971" s="1476"/>
    </row>
    <row r="1972" spans="11:15">
      <c r="K1972" s="1473">
        <v>44029</v>
      </c>
      <c r="L1972" s="1474" t="s">
        <v>2123</v>
      </c>
      <c r="M1972" s="1475">
        <v>8.4419999999999999E-3</v>
      </c>
      <c r="N1972" s="1476">
        <v>1.6027565671504165</v>
      </c>
      <c r="O1972" s="1476"/>
    </row>
    <row r="1973" spans="11:15">
      <c r="K1973" s="1473">
        <v>44030</v>
      </c>
      <c r="L1973" s="1474"/>
      <c r="M1973" s="1475">
        <v>0</v>
      </c>
      <c r="N1973" s="1476">
        <v>1.6027565671504165</v>
      </c>
      <c r="O1973" s="1476"/>
    </row>
    <row r="1974" spans="11:15">
      <c r="K1974" s="1473">
        <v>44031</v>
      </c>
      <c r="L1974" s="1474"/>
      <c r="M1974" s="1475">
        <v>0</v>
      </c>
      <c r="N1974" s="1476">
        <v>1.6027565671504165</v>
      </c>
      <c r="O1974" s="1476"/>
    </row>
    <row r="1975" spans="11:15">
      <c r="K1975" s="1473">
        <v>44032</v>
      </c>
      <c r="L1975" s="1474" t="s">
        <v>2123</v>
      </c>
      <c r="M1975" s="1475">
        <v>8.4419999999999999E-3</v>
      </c>
      <c r="N1975" s="1476">
        <v>1.6028918718598155</v>
      </c>
      <c r="O1975" s="1476"/>
    </row>
    <row r="1976" spans="11:15">
      <c r="K1976" s="1473">
        <v>44033</v>
      </c>
      <c r="L1976" s="1474" t="s">
        <v>2123</v>
      </c>
      <c r="M1976" s="1475">
        <v>8.4419999999999999E-3</v>
      </c>
      <c r="N1976" s="1476">
        <v>1.603027187991638</v>
      </c>
      <c r="O1976" s="1476"/>
    </row>
    <row r="1977" spans="11:15">
      <c r="K1977" s="1473">
        <v>44034</v>
      </c>
      <c r="L1977" s="1474" t="s">
        <v>2123</v>
      </c>
      <c r="M1977" s="1475">
        <v>8.4419999999999999E-3</v>
      </c>
      <c r="N1977" s="1476">
        <v>1.6031625155468483</v>
      </c>
      <c r="O1977" s="1476"/>
    </row>
    <row r="1978" spans="11:15">
      <c r="K1978" s="1473">
        <v>44035</v>
      </c>
      <c r="L1978" s="1474" t="s">
        <v>2123</v>
      </c>
      <c r="M1978" s="1475">
        <v>8.4419999999999999E-3</v>
      </c>
      <c r="N1978" s="1476">
        <v>1.6032978545264109</v>
      </c>
      <c r="O1978" s="1476"/>
    </row>
    <row r="1979" spans="11:15">
      <c r="K1979" s="1473">
        <v>44036</v>
      </c>
      <c r="L1979" s="1474" t="s">
        <v>2123</v>
      </c>
      <c r="M1979" s="1475">
        <v>8.4419999999999999E-3</v>
      </c>
      <c r="N1979" s="1476">
        <v>1.6034332049312903</v>
      </c>
      <c r="O1979" s="1476"/>
    </row>
    <row r="1980" spans="11:15">
      <c r="K1980" s="1473">
        <v>44037</v>
      </c>
      <c r="L1980" s="1474"/>
      <c r="M1980" s="1475">
        <v>0</v>
      </c>
      <c r="N1980" s="1476">
        <v>1.6034332049312903</v>
      </c>
      <c r="O1980" s="1476"/>
    </row>
    <row r="1981" spans="11:15">
      <c r="K1981" s="1473">
        <v>44038</v>
      </c>
      <c r="L1981" s="1474"/>
      <c r="M1981" s="1475">
        <v>0</v>
      </c>
      <c r="N1981" s="1476">
        <v>1.6034332049312903</v>
      </c>
      <c r="O1981" s="1476"/>
    </row>
    <row r="1982" spans="11:15">
      <c r="K1982" s="1473">
        <v>44039</v>
      </c>
      <c r="L1982" s="1474" t="s">
        <v>2123</v>
      </c>
      <c r="M1982" s="1475">
        <v>8.4419999999999999E-3</v>
      </c>
      <c r="N1982" s="1476">
        <v>1.6035685667624506</v>
      </c>
      <c r="O1982" s="1476"/>
    </row>
    <row r="1983" spans="11:15">
      <c r="K1983" s="1473">
        <v>44040</v>
      </c>
      <c r="L1983" s="1474" t="s">
        <v>2123</v>
      </c>
      <c r="M1983" s="1475">
        <v>8.4419999999999999E-3</v>
      </c>
      <c r="N1983" s="1476">
        <v>1.6037039400208568</v>
      </c>
      <c r="O1983" s="1476"/>
    </row>
    <row r="1984" spans="11:15">
      <c r="K1984" s="1473">
        <v>44041</v>
      </c>
      <c r="L1984" s="1474" t="s">
        <v>2123</v>
      </c>
      <c r="M1984" s="1475">
        <v>8.4419999999999999E-3</v>
      </c>
      <c r="N1984" s="1476">
        <v>1.6038393247074736</v>
      </c>
      <c r="O1984" s="1476"/>
    </row>
    <row r="1985" spans="11:15">
      <c r="K1985" s="1473">
        <v>44042</v>
      </c>
      <c r="L1985" s="1474" t="s">
        <v>2123</v>
      </c>
      <c r="M1985" s="1475">
        <v>8.4419999999999999E-3</v>
      </c>
      <c r="N1985" s="1476">
        <v>1.6039747208232655</v>
      </c>
      <c r="O1985" s="1476"/>
    </row>
    <row r="1986" spans="11:15">
      <c r="K1986" s="1473">
        <v>44043</v>
      </c>
      <c r="L1986" s="1474" t="s">
        <v>2123</v>
      </c>
      <c r="M1986" s="1475">
        <v>8.4419999999999999E-3</v>
      </c>
      <c r="N1986" s="1476">
        <v>1.6041101283691976</v>
      </c>
      <c r="O1986" s="1476"/>
    </row>
    <row r="1987" spans="11:15">
      <c r="K1987" s="1473">
        <v>44044</v>
      </c>
      <c r="L1987" s="1474"/>
      <c r="M1987" s="1475">
        <v>0</v>
      </c>
      <c r="N1987" s="1476">
        <v>1.6041101283691976</v>
      </c>
      <c r="O1987" s="1476"/>
    </row>
    <row r="1988" spans="11:15">
      <c r="K1988" s="1473">
        <v>44045</v>
      </c>
      <c r="L1988" s="1474"/>
      <c r="M1988" s="1475">
        <v>0</v>
      </c>
      <c r="N1988" s="1476">
        <v>1.6041101283691976</v>
      </c>
      <c r="O1988" s="1476"/>
    </row>
    <row r="1989" spans="11:15">
      <c r="K1989" s="1473">
        <v>44046</v>
      </c>
      <c r="L1989" s="1474" t="s">
        <v>2123</v>
      </c>
      <c r="M1989" s="1475">
        <v>8.4419999999999999E-3</v>
      </c>
      <c r="N1989" s="1476">
        <v>1.6042455473462347</v>
      </c>
      <c r="O1989" s="1476"/>
    </row>
    <row r="1990" spans="11:15">
      <c r="K1990" s="1473">
        <v>44047</v>
      </c>
      <c r="L1990" s="1474" t="s">
        <v>2123</v>
      </c>
      <c r="M1990" s="1475">
        <v>8.4419999999999999E-3</v>
      </c>
      <c r="N1990" s="1476">
        <v>1.6043809777553417</v>
      </c>
      <c r="O1990" s="1476"/>
    </row>
    <row r="1991" spans="11:15">
      <c r="K1991" s="1473">
        <v>44048</v>
      </c>
      <c r="L1991" s="1474" t="s">
        <v>2123</v>
      </c>
      <c r="M1991" s="1475">
        <v>8.4419999999999999E-3</v>
      </c>
      <c r="N1991" s="1476">
        <v>1.6045164195974839</v>
      </c>
      <c r="O1991" s="1476"/>
    </row>
    <row r="1992" spans="11:15">
      <c r="K1992" s="1473">
        <v>44049</v>
      </c>
      <c r="L1992" s="1474" t="s">
        <v>2123</v>
      </c>
      <c r="M1992" s="1475">
        <v>7.4689999999999999E-3</v>
      </c>
      <c r="N1992" s="1476">
        <v>1.6046362609288636</v>
      </c>
      <c r="O1992" s="1476"/>
    </row>
    <row r="1993" spans="11:15">
      <c r="K1993" s="1473">
        <v>44050</v>
      </c>
      <c r="L1993" s="1474" t="s">
        <v>2123</v>
      </c>
      <c r="M1993" s="1475">
        <v>7.4689999999999999E-3</v>
      </c>
      <c r="N1993" s="1476">
        <v>1.6047561112111923</v>
      </c>
      <c r="O1993" s="1476"/>
    </row>
    <row r="1994" spans="11:15">
      <c r="K1994" s="1473">
        <v>44051</v>
      </c>
      <c r="L1994" s="1474"/>
      <c r="M1994" s="1475">
        <v>0</v>
      </c>
      <c r="N1994" s="1476">
        <v>1.6047561112111923</v>
      </c>
      <c r="O1994" s="1476"/>
    </row>
    <row r="1995" spans="11:15">
      <c r="K1995" s="1473">
        <v>44052</v>
      </c>
      <c r="L1995" s="1474"/>
      <c r="M1995" s="1475">
        <v>0</v>
      </c>
      <c r="N1995" s="1476">
        <v>1.6047561112111923</v>
      </c>
      <c r="O1995" s="1476"/>
    </row>
    <row r="1996" spans="11:15">
      <c r="K1996" s="1473">
        <v>44053</v>
      </c>
      <c r="L1996" s="1474" t="s">
        <v>2123</v>
      </c>
      <c r="M1996" s="1475">
        <v>7.4689999999999999E-3</v>
      </c>
      <c r="N1996" s="1476">
        <v>1.6048759704451385</v>
      </c>
      <c r="O1996" s="1476"/>
    </row>
    <row r="1997" spans="11:15">
      <c r="K1997" s="1473">
        <v>44054</v>
      </c>
      <c r="L1997" s="1474" t="s">
        <v>2123</v>
      </c>
      <c r="M1997" s="1475">
        <v>7.4689999999999999E-3</v>
      </c>
      <c r="N1997" s="1476">
        <v>1.604995838631371</v>
      </c>
      <c r="O1997" s="1476"/>
    </row>
    <row r="1998" spans="11:15">
      <c r="K1998" s="1473">
        <v>44055</v>
      </c>
      <c r="L1998" s="1474" t="s">
        <v>2123</v>
      </c>
      <c r="M1998" s="1475">
        <v>7.4689999999999999E-3</v>
      </c>
      <c r="N1998" s="1476">
        <v>1.6051157157705582</v>
      </c>
      <c r="O1998" s="1476"/>
    </row>
    <row r="1999" spans="11:15">
      <c r="K1999" s="1473">
        <v>44056</v>
      </c>
      <c r="L1999" s="1474" t="s">
        <v>2123</v>
      </c>
      <c r="M1999" s="1475">
        <v>7.4689999999999999E-3</v>
      </c>
      <c r="N1999" s="1476">
        <v>1.6052356018633691</v>
      </c>
      <c r="O1999" s="1476"/>
    </row>
    <row r="2000" spans="11:15">
      <c r="K2000" s="1473">
        <v>44057</v>
      </c>
      <c r="L2000" s="1474" t="s">
        <v>2123</v>
      </c>
      <c r="M2000" s="1475">
        <v>7.4689999999999999E-3</v>
      </c>
      <c r="N2000" s="1476">
        <v>1.6053554969104722</v>
      </c>
      <c r="O2000" s="1476"/>
    </row>
    <row r="2001" spans="11:15">
      <c r="K2001" s="1473">
        <v>44058</v>
      </c>
      <c r="L2001" s="1474"/>
      <c r="M2001" s="1475">
        <v>0</v>
      </c>
      <c r="N2001" s="1476">
        <v>1.6053554969104722</v>
      </c>
      <c r="O2001" s="1476"/>
    </row>
    <row r="2002" spans="11:15">
      <c r="K2002" s="1473">
        <v>44059</v>
      </c>
      <c r="L2002" s="1474"/>
      <c r="M2002" s="1475">
        <v>0</v>
      </c>
      <c r="N2002" s="1476">
        <v>1.6053554969104722</v>
      </c>
      <c r="O2002" s="1476"/>
    </row>
    <row r="2003" spans="11:15">
      <c r="K2003" s="1473">
        <v>44060</v>
      </c>
      <c r="L2003" s="1474" t="s">
        <v>2123</v>
      </c>
      <c r="M2003" s="1475">
        <v>7.4689999999999999E-3</v>
      </c>
      <c r="N2003" s="1476">
        <v>1.6054754009125363</v>
      </c>
      <c r="O2003" s="1476"/>
    </row>
    <row r="2004" spans="11:15">
      <c r="K2004" s="1473">
        <v>44061</v>
      </c>
      <c r="L2004" s="1474" t="s">
        <v>2123</v>
      </c>
      <c r="M2004" s="1475">
        <v>7.4689999999999999E-3</v>
      </c>
      <c r="N2004" s="1476">
        <v>1.6055953138702304</v>
      </c>
      <c r="O2004" s="1476"/>
    </row>
    <row r="2005" spans="11:15">
      <c r="K2005" s="1473">
        <v>44062</v>
      </c>
      <c r="L2005" s="1474" t="s">
        <v>2123</v>
      </c>
      <c r="M2005" s="1475">
        <v>7.4689999999999999E-3</v>
      </c>
      <c r="N2005" s="1476">
        <v>1.6057152357842233</v>
      </c>
      <c r="O2005" s="1476"/>
    </row>
    <row r="2006" spans="11:15">
      <c r="K2006" s="1473">
        <v>44063</v>
      </c>
      <c r="L2006" s="1474" t="s">
        <v>2123</v>
      </c>
      <c r="M2006" s="1475">
        <v>7.4689999999999999E-3</v>
      </c>
      <c r="N2006" s="1476">
        <v>1.6058351666551838</v>
      </c>
      <c r="O2006" s="1476"/>
    </row>
    <row r="2007" spans="11:15">
      <c r="K2007" s="1473">
        <v>44064</v>
      </c>
      <c r="L2007" s="1474" t="s">
        <v>2123</v>
      </c>
      <c r="M2007" s="1475">
        <v>7.4689999999999999E-3</v>
      </c>
      <c r="N2007" s="1476">
        <v>1.6059551064837811</v>
      </c>
      <c r="O2007" s="1476"/>
    </row>
    <row r="2008" spans="11:15">
      <c r="K2008" s="1473">
        <v>44065</v>
      </c>
      <c r="L2008" s="1474"/>
      <c r="M2008" s="1475">
        <v>0</v>
      </c>
      <c r="N2008" s="1476">
        <v>1.6059551064837811</v>
      </c>
      <c r="O2008" s="1476"/>
    </row>
    <row r="2009" spans="11:15">
      <c r="K2009" s="1473">
        <v>44066</v>
      </c>
      <c r="L2009" s="1474"/>
      <c r="M2009" s="1475">
        <v>0</v>
      </c>
      <c r="N2009" s="1476">
        <v>1.6059551064837811</v>
      </c>
      <c r="O2009" s="1476"/>
    </row>
    <row r="2010" spans="11:15">
      <c r="K2010" s="1473">
        <v>44067</v>
      </c>
      <c r="L2010" s="1474" t="s">
        <v>2123</v>
      </c>
      <c r="M2010" s="1475">
        <v>7.4689999999999999E-3</v>
      </c>
      <c r="N2010" s="1476">
        <v>1.6060750552706844</v>
      </c>
      <c r="O2010" s="1476"/>
    </row>
    <row r="2011" spans="11:15">
      <c r="K2011" s="1473">
        <v>44068</v>
      </c>
      <c r="L2011" s="1474" t="s">
        <v>2123</v>
      </c>
      <c r="M2011" s="1475">
        <v>7.4689999999999999E-3</v>
      </c>
      <c r="N2011" s="1476">
        <v>1.6061950130165625</v>
      </c>
      <c r="O2011" s="1476"/>
    </row>
    <row r="2012" spans="11:15">
      <c r="K2012" s="1473">
        <v>44069</v>
      </c>
      <c r="L2012" s="1474" t="s">
        <v>2123</v>
      </c>
      <c r="M2012" s="1475">
        <v>7.4689999999999999E-3</v>
      </c>
      <c r="N2012" s="1476">
        <v>1.6063149797220846</v>
      </c>
      <c r="O2012" s="1476"/>
    </row>
    <row r="2013" spans="11:15">
      <c r="K2013" s="1473">
        <v>44070</v>
      </c>
      <c r="L2013" s="1474" t="s">
        <v>2123</v>
      </c>
      <c r="M2013" s="1475">
        <v>7.4689999999999999E-3</v>
      </c>
      <c r="N2013" s="1476">
        <v>1.60643495538792</v>
      </c>
      <c r="O2013" s="1476"/>
    </row>
    <row r="2014" spans="11:15">
      <c r="K2014" s="1473">
        <v>44071</v>
      </c>
      <c r="L2014" s="1474" t="s">
        <v>2123</v>
      </c>
      <c r="M2014" s="1475">
        <v>7.4689999999999999E-3</v>
      </c>
      <c r="N2014" s="1476">
        <v>1.6065549400147379</v>
      </c>
      <c r="O2014" s="1476"/>
    </row>
    <row r="2015" spans="11:15">
      <c r="K2015" s="1473">
        <v>44072</v>
      </c>
      <c r="L2015" s="1474"/>
      <c r="M2015" s="1475">
        <v>0</v>
      </c>
      <c r="N2015" s="1476">
        <v>1.6065549400147379</v>
      </c>
      <c r="O2015" s="1476"/>
    </row>
    <row r="2016" spans="11:15">
      <c r="K2016" s="1473">
        <v>44073</v>
      </c>
      <c r="L2016" s="1474"/>
      <c r="M2016" s="1475">
        <v>0</v>
      </c>
      <c r="N2016" s="1476">
        <v>1.6065549400147379</v>
      </c>
      <c r="O2016" s="1476"/>
    </row>
    <row r="2017" spans="11:15">
      <c r="K2017" s="1473">
        <v>44074</v>
      </c>
      <c r="L2017" s="1474" t="s">
        <v>2123</v>
      </c>
      <c r="M2017" s="1475">
        <v>7.4689999999999999E-3</v>
      </c>
      <c r="N2017" s="1476">
        <v>1.6066749336032076</v>
      </c>
      <c r="O2017" s="1476"/>
    </row>
    <row r="2018" spans="11:15">
      <c r="K2018" s="1473">
        <v>44075</v>
      </c>
      <c r="L2018" s="1474" t="s">
        <v>2123</v>
      </c>
      <c r="M2018" s="1475">
        <v>7.4689999999999999E-3</v>
      </c>
      <c r="N2018" s="1476">
        <v>1.6067949361539984</v>
      </c>
      <c r="O2018" s="1476"/>
    </row>
    <row r="2019" spans="11:15">
      <c r="K2019" s="1473">
        <v>44076</v>
      </c>
      <c r="L2019" s="1474" t="s">
        <v>2123</v>
      </c>
      <c r="M2019" s="1475">
        <v>7.4689999999999999E-3</v>
      </c>
      <c r="N2019" s="1476">
        <v>1.6069149476677795</v>
      </c>
      <c r="O2019" s="1476"/>
    </row>
    <row r="2020" spans="11:15">
      <c r="K2020" s="1473">
        <v>44077</v>
      </c>
      <c r="L2020" s="1474" t="s">
        <v>2123</v>
      </c>
      <c r="M2020" s="1475">
        <v>7.4689999999999999E-3</v>
      </c>
      <c r="N2020" s="1476">
        <v>1.6070349681452207</v>
      </c>
      <c r="O2020" s="1476"/>
    </row>
    <row r="2021" spans="11:15">
      <c r="K2021" s="1473">
        <v>44078</v>
      </c>
      <c r="L2021" s="1474" t="s">
        <v>2123</v>
      </c>
      <c r="M2021" s="1475">
        <v>7.4689999999999999E-3</v>
      </c>
      <c r="N2021" s="1476">
        <v>1.6071549975869914</v>
      </c>
      <c r="O2021" s="1476"/>
    </row>
    <row r="2022" spans="11:15">
      <c r="K2022" s="1473">
        <v>44079</v>
      </c>
      <c r="L2022" s="1474"/>
      <c r="M2022" s="1475">
        <v>0</v>
      </c>
      <c r="N2022" s="1476">
        <v>1.6071549975869914</v>
      </c>
      <c r="O2022" s="1476"/>
    </row>
    <row r="2023" spans="11:15">
      <c r="K2023" s="1473">
        <v>44080</v>
      </c>
      <c r="L2023" s="1474"/>
      <c r="M2023" s="1475">
        <v>0</v>
      </c>
      <c r="N2023" s="1476">
        <v>1.6071549975869914</v>
      </c>
      <c r="O2023" s="1476"/>
    </row>
    <row r="2024" spans="11:15">
      <c r="K2024" s="1473">
        <v>44081</v>
      </c>
      <c r="L2024" s="1474"/>
      <c r="M2024" s="1475">
        <v>0</v>
      </c>
      <c r="N2024" s="1476">
        <v>1.6071549975869914</v>
      </c>
      <c r="O2024" s="1476"/>
    </row>
    <row r="2025" spans="11:15">
      <c r="K2025" s="1473">
        <v>44082</v>
      </c>
      <c r="L2025" s="1474" t="s">
        <v>2123</v>
      </c>
      <c r="M2025" s="1475">
        <v>7.4689999999999999E-3</v>
      </c>
      <c r="N2025" s="1476">
        <v>1.6072750359937611</v>
      </c>
      <c r="O2025" s="1476"/>
    </row>
    <row r="2026" spans="11:15">
      <c r="K2026" s="1473">
        <v>44083</v>
      </c>
      <c r="L2026" s="1474" t="s">
        <v>2123</v>
      </c>
      <c r="M2026" s="1475">
        <v>7.4689999999999999E-3</v>
      </c>
      <c r="N2026" s="1476">
        <v>1.6073950833661994</v>
      </c>
      <c r="O2026" s="1476"/>
    </row>
    <row r="2027" spans="11:15">
      <c r="K2027" s="1473">
        <v>44084</v>
      </c>
      <c r="L2027" s="1474" t="s">
        <v>2123</v>
      </c>
      <c r="M2027" s="1475">
        <v>7.4689999999999999E-3</v>
      </c>
      <c r="N2027" s="1476">
        <v>1.6075151397049758</v>
      </c>
      <c r="O2027" s="1476"/>
    </row>
    <row r="2028" spans="11:15">
      <c r="K2028" s="1473">
        <v>44085</v>
      </c>
      <c r="L2028" s="1474" t="s">
        <v>2123</v>
      </c>
      <c r="M2028" s="1475">
        <v>7.4689999999999999E-3</v>
      </c>
      <c r="N2028" s="1476">
        <v>1.6076352050107603</v>
      </c>
      <c r="O2028" s="1476"/>
    </row>
    <row r="2029" spans="11:15">
      <c r="K2029" s="1473">
        <v>44086</v>
      </c>
      <c r="L2029" s="1474"/>
      <c r="M2029" s="1475">
        <v>0</v>
      </c>
      <c r="N2029" s="1476">
        <v>1.6076352050107603</v>
      </c>
      <c r="O2029" s="1476"/>
    </row>
    <row r="2030" spans="11:15">
      <c r="K2030" s="1473">
        <v>44087</v>
      </c>
      <c r="L2030" s="1474"/>
      <c r="M2030" s="1475">
        <v>0</v>
      </c>
      <c r="N2030" s="1476">
        <v>1.6076352050107603</v>
      </c>
      <c r="O2030" s="1476"/>
    </row>
    <row r="2031" spans="11:15">
      <c r="K2031" s="1473">
        <v>44088</v>
      </c>
      <c r="L2031" s="1474" t="s">
        <v>2123</v>
      </c>
      <c r="M2031" s="1475">
        <v>7.4689999999999999E-3</v>
      </c>
      <c r="N2031" s="1476">
        <v>1.6077552792842225</v>
      </c>
      <c r="O2031" s="1476"/>
    </row>
    <row r="2032" spans="11:15">
      <c r="K2032" s="1473">
        <v>44089</v>
      </c>
      <c r="L2032" s="1474" t="s">
        <v>2123</v>
      </c>
      <c r="M2032" s="1475">
        <v>7.4689999999999999E-3</v>
      </c>
      <c r="N2032" s="1476">
        <v>1.607875362526032</v>
      </c>
      <c r="O2032" s="1476"/>
    </row>
    <row r="2033" spans="11:15">
      <c r="K2033" s="1473">
        <v>44090</v>
      </c>
      <c r="L2033" s="1474" t="s">
        <v>2123</v>
      </c>
      <c r="M2033" s="1475">
        <v>7.4689999999999999E-3</v>
      </c>
      <c r="N2033" s="1476">
        <v>1.6079954547368589</v>
      </c>
      <c r="O2033" s="1476"/>
    </row>
    <row r="2034" spans="11:15">
      <c r="K2034" s="1473">
        <v>44091</v>
      </c>
      <c r="L2034" s="1474" t="s">
        <v>2123</v>
      </c>
      <c r="M2034" s="1475">
        <v>7.4689999999999999E-3</v>
      </c>
      <c r="N2034" s="1476">
        <v>1.608115555917373</v>
      </c>
      <c r="O2034" s="1476"/>
    </row>
    <row r="2035" spans="11:15">
      <c r="K2035" s="1473">
        <v>44092</v>
      </c>
      <c r="L2035" s="1474" t="s">
        <v>2123</v>
      </c>
      <c r="M2035" s="1475">
        <v>7.4689999999999999E-3</v>
      </c>
      <c r="N2035" s="1476">
        <v>1.6082356660682444</v>
      </c>
      <c r="O2035" s="1476"/>
    </row>
    <row r="2036" spans="11:15">
      <c r="K2036" s="1473">
        <v>44093</v>
      </c>
      <c r="L2036" s="1474"/>
      <c r="M2036" s="1475">
        <v>0</v>
      </c>
      <c r="N2036" s="1476">
        <v>1.6082356660682444</v>
      </c>
      <c r="O2036" s="1476"/>
    </row>
    <row r="2037" spans="11:15">
      <c r="K2037" s="1473">
        <v>44094</v>
      </c>
      <c r="L2037" s="1474"/>
      <c r="M2037" s="1475">
        <v>0</v>
      </c>
      <c r="N2037" s="1476">
        <v>1.6082356660682444</v>
      </c>
      <c r="O2037" s="1476"/>
    </row>
    <row r="2038" spans="11:15">
      <c r="K2038" s="1473">
        <v>44095</v>
      </c>
      <c r="L2038" s="1474" t="s">
        <v>2123</v>
      </c>
      <c r="M2038" s="1475">
        <v>7.4689999999999999E-3</v>
      </c>
      <c r="N2038" s="1476">
        <v>1.6083557851901429</v>
      </c>
      <c r="O2038" s="1476"/>
    </row>
    <row r="2039" spans="11:15">
      <c r="K2039" s="1473">
        <v>44096</v>
      </c>
      <c r="L2039" s="1474" t="s">
        <v>2123</v>
      </c>
      <c r="M2039" s="1475">
        <v>7.4689999999999999E-3</v>
      </c>
      <c r="N2039" s="1476">
        <v>1.6084759132837387</v>
      </c>
      <c r="O2039" s="1476"/>
    </row>
    <row r="2040" spans="11:15">
      <c r="K2040" s="1473">
        <v>44097</v>
      </c>
      <c r="L2040" s="1474" t="s">
        <v>2123</v>
      </c>
      <c r="M2040" s="1475">
        <v>7.4689999999999999E-3</v>
      </c>
      <c r="N2040" s="1476">
        <v>1.6085960503497019</v>
      </c>
      <c r="O2040" s="1476"/>
    </row>
    <row r="2041" spans="11:15">
      <c r="K2041" s="1473">
        <v>44098</v>
      </c>
      <c r="L2041" s="1474" t="s">
        <v>2123</v>
      </c>
      <c r="M2041" s="1475">
        <v>7.4689999999999999E-3</v>
      </c>
      <c r="N2041" s="1476">
        <v>1.6087161963887024</v>
      </c>
      <c r="O2041" s="1476"/>
    </row>
    <row r="2042" spans="11:15">
      <c r="K2042" s="1473">
        <v>44099</v>
      </c>
      <c r="L2042" s="1474" t="s">
        <v>2123</v>
      </c>
      <c r="M2042" s="1475">
        <v>7.4689999999999999E-3</v>
      </c>
      <c r="N2042" s="1476">
        <v>1.6088363514014106</v>
      </c>
      <c r="O2042" s="1476"/>
    </row>
    <row r="2043" spans="11:15">
      <c r="K2043" s="1473">
        <v>44100</v>
      </c>
      <c r="L2043" s="1474"/>
      <c r="M2043" s="1475">
        <v>0</v>
      </c>
      <c r="N2043" s="1476">
        <v>1.6088363514014106</v>
      </c>
      <c r="O2043" s="1476"/>
    </row>
    <row r="2044" spans="11:15">
      <c r="K2044" s="1473">
        <v>44101</v>
      </c>
      <c r="L2044" s="1474"/>
      <c r="M2044" s="1475">
        <v>0</v>
      </c>
      <c r="N2044" s="1476">
        <v>1.6088363514014106</v>
      </c>
      <c r="O2044" s="1476"/>
    </row>
    <row r="2045" spans="11:15">
      <c r="K2045" s="1473">
        <v>44102</v>
      </c>
      <c r="L2045" s="1474" t="s">
        <v>2123</v>
      </c>
      <c r="M2045" s="1475">
        <v>7.4689999999999999E-3</v>
      </c>
      <c r="N2045" s="1476">
        <v>1.6089565153884966</v>
      </c>
      <c r="O2045" s="1476"/>
    </row>
    <row r="2046" spans="11:15">
      <c r="K2046" s="1473">
        <v>44103</v>
      </c>
      <c r="L2046" s="1474" t="s">
        <v>2123</v>
      </c>
      <c r="M2046" s="1475">
        <v>7.4689999999999999E-3</v>
      </c>
      <c r="N2046" s="1476">
        <v>1.6090766883506309</v>
      </c>
      <c r="O2046" s="1476"/>
    </row>
    <row r="2047" spans="11:15">
      <c r="K2047" s="1473">
        <v>44104</v>
      </c>
      <c r="L2047" s="1474" t="s">
        <v>2123</v>
      </c>
      <c r="M2047" s="1475">
        <v>7.4689999999999999E-3</v>
      </c>
      <c r="N2047" s="1476">
        <v>1.6091968702884838</v>
      </c>
      <c r="O2047" s="1476"/>
    </row>
    <row r="2048" spans="11:15">
      <c r="K2048" s="1473">
        <v>44105</v>
      </c>
      <c r="L2048" s="1474" t="s">
        <v>2123</v>
      </c>
      <c r="M2048" s="1475">
        <v>7.4689999999999999E-3</v>
      </c>
      <c r="N2048" s="1476">
        <v>1.6093170612027254</v>
      </c>
      <c r="O2048" s="1476"/>
    </row>
    <row r="2049" spans="11:15">
      <c r="K2049" s="1473">
        <v>44106</v>
      </c>
      <c r="L2049" s="1474" t="s">
        <v>2123</v>
      </c>
      <c r="M2049" s="1475">
        <v>7.4689999999999999E-3</v>
      </c>
      <c r="N2049" s="1476">
        <v>1.6094372610940266</v>
      </c>
      <c r="O2049" s="1476"/>
    </row>
    <row r="2050" spans="11:15">
      <c r="K2050" s="1473">
        <v>44107</v>
      </c>
      <c r="L2050" s="1474"/>
      <c r="M2050" s="1475">
        <v>0</v>
      </c>
      <c r="N2050" s="1476">
        <v>1.6094372610940266</v>
      </c>
      <c r="O2050" s="1476"/>
    </row>
    <row r="2051" spans="11:15">
      <c r="K2051" s="1473">
        <v>44108</v>
      </c>
      <c r="L2051" s="1474"/>
      <c r="M2051" s="1475">
        <v>0</v>
      </c>
      <c r="N2051" s="1476">
        <v>1.6094372610940266</v>
      </c>
      <c r="O2051" s="1476"/>
    </row>
    <row r="2052" spans="11:15">
      <c r="K2052" s="1473">
        <v>44109</v>
      </c>
      <c r="L2052" s="1474" t="s">
        <v>2123</v>
      </c>
      <c r="M2052" s="1475">
        <v>7.4689999999999999E-3</v>
      </c>
      <c r="N2052" s="1476">
        <v>1.6095574699630577</v>
      </c>
      <c r="O2052" s="1476"/>
    </row>
    <row r="2053" spans="11:15">
      <c r="K2053" s="1473">
        <v>44110</v>
      </c>
      <c r="L2053" s="1474" t="s">
        <v>2123</v>
      </c>
      <c r="M2053" s="1475">
        <v>7.4689999999999999E-3</v>
      </c>
      <c r="N2053" s="1476">
        <v>1.609677687810489</v>
      </c>
      <c r="O2053" s="1476"/>
    </row>
    <row r="2054" spans="11:15">
      <c r="K2054" s="1473">
        <v>44111</v>
      </c>
      <c r="L2054" s="1474" t="s">
        <v>2123</v>
      </c>
      <c r="M2054" s="1475">
        <v>7.4689999999999999E-3</v>
      </c>
      <c r="N2054" s="1476">
        <v>1.6097979146369914</v>
      </c>
      <c r="O2054" s="1476"/>
    </row>
    <row r="2055" spans="11:15">
      <c r="K2055" s="1473">
        <v>44112</v>
      </c>
      <c r="L2055" s="1474" t="s">
        <v>2123</v>
      </c>
      <c r="M2055" s="1475">
        <v>7.4689999999999999E-3</v>
      </c>
      <c r="N2055" s="1476">
        <v>1.6099181504432356</v>
      </c>
      <c r="O2055" s="1476"/>
    </row>
    <row r="2056" spans="11:15">
      <c r="K2056" s="1473">
        <v>44113</v>
      </c>
      <c r="L2056" s="1474" t="s">
        <v>2123</v>
      </c>
      <c r="M2056" s="1475">
        <v>7.4689999999999999E-3</v>
      </c>
      <c r="N2056" s="1476">
        <v>1.610038395229892</v>
      </c>
      <c r="O2056" s="1476"/>
    </row>
    <row r="2057" spans="11:15">
      <c r="K2057" s="1473">
        <v>44114</v>
      </c>
      <c r="L2057" s="1474"/>
      <c r="M2057" s="1475">
        <v>0</v>
      </c>
      <c r="N2057" s="1476">
        <v>1.610038395229892</v>
      </c>
      <c r="O2057" s="1476"/>
    </row>
    <row r="2058" spans="11:15">
      <c r="K2058" s="1473">
        <v>44115</v>
      </c>
      <c r="L2058" s="1474"/>
      <c r="M2058" s="1475">
        <v>0</v>
      </c>
      <c r="N2058" s="1476">
        <v>1.610038395229892</v>
      </c>
      <c r="O2058" s="1476"/>
    </row>
    <row r="2059" spans="11:15">
      <c r="K2059" s="1473">
        <v>44116</v>
      </c>
      <c r="L2059" s="1474"/>
      <c r="M2059" s="1475">
        <v>0</v>
      </c>
      <c r="N2059" s="1476">
        <v>1.610038395229892</v>
      </c>
      <c r="O2059" s="1476"/>
    </row>
    <row r="2060" spans="11:15">
      <c r="K2060" s="1473">
        <v>44117</v>
      </c>
      <c r="L2060" s="1474" t="s">
        <v>2123</v>
      </c>
      <c r="M2060" s="1475">
        <v>7.4689999999999999E-3</v>
      </c>
      <c r="N2060" s="1476">
        <v>1.6101586489976316</v>
      </c>
      <c r="O2060" s="1476"/>
    </row>
    <row r="2061" spans="11:15">
      <c r="K2061" s="1473">
        <v>44118</v>
      </c>
      <c r="L2061" s="1474" t="s">
        <v>2123</v>
      </c>
      <c r="M2061" s="1475">
        <v>7.4689999999999999E-3</v>
      </c>
      <c r="N2061" s="1476">
        <v>1.6102789117471252</v>
      </c>
      <c r="O2061" s="1476"/>
    </row>
    <row r="2062" spans="11:15">
      <c r="K2062" s="1473">
        <v>44119</v>
      </c>
      <c r="L2062" s="1474" t="s">
        <v>2123</v>
      </c>
      <c r="M2062" s="1475">
        <v>7.4689999999999999E-3</v>
      </c>
      <c r="N2062" s="1476">
        <v>1.6103991834790434</v>
      </c>
      <c r="O2062" s="1476"/>
    </row>
    <row r="2063" spans="11:15">
      <c r="K2063" s="1473">
        <v>44120</v>
      </c>
      <c r="L2063" s="1474" t="s">
        <v>2123</v>
      </c>
      <c r="M2063" s="1475">
        <v>7.4689999999999999E-3</v>
      </c>
      <c r="N2063" s="1476">
        <v>1.6105194641940574</v>
      </c>
      <c r="O2063" s="1476"/>
    </row>
    <row r="2064" spans="11:15">
      <c r="K2064" s="1473">
        <v>44121</v>
      </c>
      <c r="L2064" s="1474"/>
      <c r="M2064" s="1475">
        <v>0</v>
      </c>
      <c r="N2064" s="1476">
        <v>1.6105194641940574</v>
      </c>
      <c r="O2064" s="1476"/>
    </row>
    <row r="2065" spans="11:15">
      <c r="K2065" s="1473">
        <v>44122</v>
      </c>
      <c r="L2065" s="1474"/>
      <c r="M2065" s="1475">
        <v>0</v>
      </c>
      <c r="N2065" s="1476">
        <v>1.6105194641940574</v>
      </c>
      <c r="O2065" s="1476"/>
    </row>
    <row r="2066" spans="11:15">
      <c r="K2066" s="1473">
        <v>44123</v>
      </c>
      <c r="L2066" s="1474" t="s">
        <v>2123</v>
      </c>
      <c r="M2066" s="1475">
        <v>7.4689999999999999E-3</v>
      </c>
      <c r="N2066" s="1476">
        <v>1.6106397538928381</v>
      </c>
      <c r="O2066" s="1476"/>
    </row>
    <row r="2067" spans="11:15">
      <c r="K2067" s="1473">
        <v>44124</v>
      </c>
      <c r="L2067" s="1474" t="s">
        <v>2123</v>
      </c>
      <c r="M2067" s="1475">
        <v>7.4689999999999999E-3</v>
      </c>
      <c r="N2067" s="1476">
        <v>1.6107600525760561</v>
      </c>
      <c r="O2067" s="1476"/>
    </row>
    <row r="2068" spans="11:15">
      <c r="K2068" s="1473">
        <v>44125</v>
      </c>
      <c r="L2068" s="1474" t="s">
        <v>2123</v>
      </c>
      <c r="M2068" s="1475">
        <v>7.4689999999999999E-3</v>
      </c>
      <c r="N2068" s="1476">
        <v>1.6108803602443829</v>
      </c>
      <c r="O2068" s="1476"/>
    </row>
    <row r="2069" spans="11:15">
      <c r="K2069" s="1473">
        <v>44126</v>
      </c>
      <c r="L2069" s="1474" t="s">
        <v>2123</v>
      </c>
      <c r="M2069" s="1475">
        <v>7.4689999999999999E-3</v>
      </c>
      <c r="N2069" s="1476">
        <v>1.6110006768984895</v>
      </c>
      <c r="O2069" s="1476"/>
    </row>
    <row r="2070" spans="11:15">
      <c r="K2070" s="1473">
        <v>44127</v>
      </c>
      <c r="L2070" s="1474" t="s">
        <v>2123</v>
      </c>
      <c r="M2070" s="1475">
        <v>7.4689999999999999E-3</v>
      </c>
      <c r="N2070" s="1476">
        <v>1.611121002539047</v>
      </c>
      <c r="O2070" s="1476"/>
    </row>
    <row r="2071" spans="11:15">
      <c r="K2071" s="1473">
        <v>44128</v>
      </c>
      <c r="L2071" s="1474"/>
      <c r="M2071" s="1475">
        <v>0</v>
      </c>
      <c r="N2071" s="1476">
        <v>1.611121002539047</v>
      </c>
      <c r="O2071" s="1476"/>
    </row>
    <row r="2072" spans="11:15">
      <c r="K2072" s="1473">
        <v>44129</v>
      </c>
      <c r="L2072" s="1474"/>
      <c r="M2072" s="1475">
        <v>0</v>
      </c>
      <c r="N2072" s="1476">
        <v>1.611121002539047</v>
      </c>
      <c r="O2072" s="1476"/>
    </row>
    <row r="2073" spans="11:15">
      <c r="K2073" s="1473">
        <v>44130</v>
      </c>
      <c r="L2073" s="1474" t="s">
        <v>2123</v>
      </c>
      <c r="M2073" s="1475">
        <v>7.4689999999999999E-3</v>
      </c>
      <c r="N2073" s="1476">
        <v>1.6112413371667265</v>
      </c>
      <c r="O2073" s="1476"/>
    </row>
    <row r="2074" spans="11:15">
      <c r="K2074" s="1473">
        <v>44131</v>
      </c>
      <c r="L2074" s="1474" t="s">
        <v>2123</v>
      </c>
      <c r="M2074" s="1475">
        <v>7.4689999999999999E-3</v>
      </c>
      <c r="N2074" s="1476">
        <v>1.6113616807821993</v>
      </c>
      <c r="O2074" s="1476"/>
    </row>
    <row r="2075" spans="11:15">
      <c r="K2075" s="1473">
        <v>44132</v>
      </c>
      <c r="L2075" s="1474" t="s">
        <v>2123</v>
      </c>
      <c r="M2075" s="1475">
        <v>7.4689999999999999E-3</v>
      </c>
      <c r="N2075" s="1476">
        <v>1.6114820333861368</v>
      </c>
      <c r="O2075" s="1476"/>
    </row>
    <row r="2076" spans="11:15">
      <c r="K2076" s="1473">
        <v>44133</v>
      </c>
      <c r="L2076" s="1474" t="s">
        <v>2123</v>
      </c>
      <c r="M2076" s="1475">
        <v>7.4689999999999999E-3</v>
      </c>
      <c r="N2076" s="1476">
        <v>1.6116023949792104</v>
      </c>
      <c r="O2076" s="1476"/>
    </row>
    <row r="2077" spans="11:15">
      <c r="K2077" s="1473">
        <v>44134</v>
      </c>
      <c r="L2077" s="1474" t="s">
        <v>2123</v>
      </c>
      <c r="M2077" s="1475">
        <v>7.4689999999999999E-3</v>
      </c>
      <c r="N2077" s="1476">
        <v>1.6117227655620914</v>
      </c>
      <c r="O2077" s="1476"/>
    </row>
    <row r="2078" spans="11:15">
      <c r="K2078" s="1473">
        <v>44135</v>
      </c>
      <c r="L2078" s="1474"/>
      <c r="M2078" s="1475">
        <v>0</v>
      </c>
      <c r="N2078" s="1476">
        <v>1.6117227655620914</v>
      </c>
      <c r="O2078" s="1476"/>
    </row>
    <row r="2079" spans="11:15">
      <c r="K2079" s="1473">
        <v>44136</v>
      </c>
      <c r="L2079" s="1474"/>
      <c r="M2079" s="1475">
        <v>0</v>
      </c>
      <c r="N2079" s="1476">
        <v>1.6117227655620914</v>
      </c>
      <c r="O2079" s="1476"/>
    </row>
    <row r="2080" spans="11:15">
      <c r="K2080" s="1473">
        <v>44137</v>
      </c>
      <c r="L2080" s="1474"/>
      <c r="M2080" s="1475">
        <v>0</v>
      </c>
      <c r="N2080" s="1476">
        <v>1.6117227655620914</v>
      </c>
      <c r="O2080" s="1476"/>
    </row>
    <row r="2081" spans="11:15">
      <c r="K2081" s="1473">
        <v>44138</v>
      </c>
      <c r="L2081" s="1474" t="s">
        <v>2123</v>
      </c>
      <c r="M2081" s="1475">
        <v>7.4689999999999999E-3</v>
      </c>
      <c r="N2081" s="1476">
        <v>1.6118431451354511</v>
      </c>
      <c r="O2081" s="1476"/>
    </row>
    <row r="2082" spans="11:15">
      <c r="K2082" s="1473">
        <v>44139</v>
      </c>
      <c r="L2082" s="1474" t="s">
        <v>2123</v>
      </c>
      <c r="M2082" s="1475">
        <v>7.4689999999999999E-3</v>
      </c>
      <c r="N2082" s="1476">
        <v>1.6119635336999611</v>
      </c>
      <c r="O2082" s="1476"/>
    </row>
    <row r="2083" spans="11:15">
      <c r="K2083" s="1473">
        <v>44140</v>
      </c>
      <c r="L2083" s="1474" t="s">
        <v>2123</v>
      </c>
      <c r="M2083" s="1475">
        <v>7.4689999999999999E-3</v>
      </c>
      <c r="N2083" s="1476">
        <v>1.6120839312562931</v>
      </c>
      <c r="O2083" s="1476"/>
    </row>
    <row r="2084" spans="11:15">
      <c r="K2084" s="1473">
        <v>44141</v>
      </c>
      <c r="L2084" s="1474" t="s">
        <v>2123</v>
      </c>
      <c r="M2084" s="1475">
        <v>7.4689999999999999E-3</v>
      </c>
      <c r="N2084" s="1476">
        <v>1.6122043378051185</v>
      </c>
      <c r="O2084" s="1476"/>
    </row>
    <row r="2085" spans="11:15">
      <c r="K2085" s="1473">
        <v>44142</v>
      </c>
      <c r="L2085" s="1474"/>
      <c r="M2085" s="1475">
        <v>0</v>
      </c>
      <c r="N2085" s="1476">
        <v>1.6122043378051185</v>
      </c>
      <c r="O2085" s="1476"/>
    </row>
    <row r="2086" spans="11:15">
      <c r="K2086" s="1473">
        <v>44143</v>
      </c>
      <c r="L2086" s="1474"/>
      <c r="M2086" s="1475">
        <v>0</v>
      </c>
      <c r="N2086" s="1476">
        <v>1.6122043378051185</v>
      </c>
      <c r="O2086" s="1476"/>
    </row>
    <row r="2087" spans="11:15">
      <c r="K2087" s="1473">
        <v>44144</v>
      </c>
      <c r="L2087" s="1474" t="s">
        <v>2123</v>
      </c>
      <c r="M2087" s="1475">
        <v>7.4689999999999999E-3</v>
      </c>
      <c r="N2087" s="1476">
        <v>1.612324753347109</v>
      </c>
      <c r="O2087" s="1476"/>
    </row>
    <row r="2088" spans="11:15">
      <c r="K2088" s="1473">
        <v>44145</v>
      </c>
      <c r="L2088" s="1474" t="s">
        <v>2123</v>
      </c>
      <c r="M2088" s="1475">
        <v>7.4689999999999999E-3</v>
      </c>
      <c r="N2088" s="1476">
        <v>1.6124451778829363</v>
      </c>
      <c r="O2088" s="1476"/>
    </row>
    <row r="2089" spans="11:15">
      <c r="K2089" s="1473">
        <v>44146</v>
      </c>
      <c r="L2089" s="1474" t="s">
        <v>2123</v>
      </c>
      <c r="M2089" s="1475">
        <v>7.4689999999999999E-3</v>
      </c>
      <c r="N2089" s="1476">
        <v>1.6125656114132723</v>
      </c>
      <c r="O2089" s="1476"/>
    </row>
    <row r="2090" spans="11:15">
      <c r="K2090" s="1473">
        <v>44147</v>
      </c>
      <c r="L2090" s="1474" t="s">
        <v>2123</v>
      </c>
      <c r="M2090" s="1475">
        <v>7.4689999999999999E-3</v>
      </c>
      <c r="N2090" s="1476">
        <v>1.6126860539387886</v>
      </c>
      <c r="O2090" s="1476"/>
    </row>
    <row r="2091" spans="11:15">
      <c r="K2091" s="1473">
        <v>44148</v>
      </c>
      <c r="L2091" s="1474" t="s">
        <v>2123</v>
      </c>
      <c r="M2091" s="1475">
        <v>7.4689999999999999E-3</v>
      </c>
      <c r="N2091" s="1476">
        <v>1.6128065054601572</v>
      </c>
      <c r="O2091" s="1476"/>
    </row>
    <row r="2092" spans="11:15">
      <c r="K2092" s="1473">
        <v>44149</v>
      </c>
      <c r="L2092" s="1474"/>
      <c r="M2092" s="1475">
        <v>0</v>
      </c>
      <c r="N2092" s="1476">
        <v>1.6128065054601572</v>
      </c>
      <c r="O2092" s="1476"/>
    </row>
    <row r="2093" spans="11:15">
      <c r="K2093" s="1473">
        <v>44150</v>
      </c>
      <c r="L2093" s="1474"/>
      <c r="M2093" s="1475">
        <v>0</v>
      </c>
      <c r="N2093" s="1476">
        <v>1.6128065054601572</v>
      </c>
      <c r="O2093" s="1476"/>
    </row>
    <row r="2094" spans="11:15">
      <c r="K2094" s="1473">
        <v>44151</v>
      </c>
      <c r="L2094" s="1474" t="s">
        <v>2123</v>
      </c>
      <c r="M2094" s="1475">
        <v>7.4689999999999999E-3</v>
      </c>
      <c r="N2094" s="1476">
        <v>1.6129269659780499</v>
      </c>
      <c r="O2094" s="1476"/>
    </row>
    <row r="2095" spans="11:15">
      <c r="K2095" s="1473">
        <v>44152</v>
      </c>
      <c r="L2095" s="1474" t="s">
        <v>2123</v>
      </c>
      <c r="M2095" s="1475">
        <v>7.4689999999999999E-3</v>
      </c>
      <c r="N2095" s="1476">
        <v>1.6130474354931386</v>
      </c>
      <c r="O2095" s="1476"/>
    </row>
    <row r="2096" spans="11:15">
      <c r="K2096" s="1473">
        <v>44153</v>
      </c>
      <c r="L2096" s="1474" t="s">
        <v>2123</v>
      </c>
      <c r="M2096" s="1475">
        <v>7.4689999999999999E-3</v>
      </c>
      <c r="N2096" s="1476">
        <v>1.6131679140060955</v>
      </c>
      <c r="O2096" s="1476"/>
    </row>
    <row r="2097" spans="11:15">
      <c r="K2097" s="1473">
        <v>44154</v>
      </c>
      <c r="L2097" s="1474" t="s">
        <v>2123</v>
      </c>
      <c r="M2097" s="1475">
        <v>7.4689999999999999E-3</v>
      </c>
      <c r="N2097" s="1476">
        <v>1.6132884015175926</v>
      </c>
      <c r="O2097" s="1476"/>
    </row>
    <row r="2098" spans="11:15">
      <c r="K2098" s="1473">
        <v>44155</v>
      </c>
      <c r="L2098" s="1474" t="s">
        <v>2123</v>
      </c>
      <c r="M2098" s="1475">
        <v>7.4689999999999999E-3</v>
      </c>
      <c r="N2098" s="1476">
        <v>1.6134088980283019</v>
      </c>
      <c r="O2098" s="1476"/>
    </row>
    <row r="2099" spans="11:15">
      <c r="K2099" s="1473">
        <v>44156</v>
      </c>
      <c r="L2099" s="1474"/>
      <c r="M2099" s="1475">
        <v>0</v>
      </c>
      <c r="N2099" s="1476">
        <v>1.6134088980283019</v>
      </c>
      <c r="O2099" s="1476"/>
    </row>
    <row r="2100" spans="11:15">
      <c r="K2100" s="1473">
        <v>44157</v>
      </c>
      <c r="L2100" s="1474"/>
      <c r="M2100" s="1475">
        <v>0</v>
      </c>
      <c r="N2100" s="1476">
        <v>1.6134088980283019</v>
      </c>
      <c r="O2100" s="1476"/>
    </row>
    <row r="2101" spans="11:15">
      <c r="K2101" s="1473">
        <v>44158</v>
      </c>
      <c r="L2101" s="1474" t="s">
        <v>2123</v>
      </c>
      <c r="M2101" s="1475">
        <v>7.4689999999999999E-3</v>
      </c>
      <c r="N2101" s="1476">
        <v>1.6135294035388956</v>
      </c>
      <c r="O2101" s="1476"/>
    </row>
    <row r="2102" spans="11:15">
      <c r="K2102" s="1473">
        <v>44159</v>
      </c>
      <c r="L2102" s="1474" t="s">
        <v>2123</v>
      </c>
      <c r="M2102" s="1475">
        <v>7.4689999999999999E-3</v>
      </c>
      <c r="N2102" s="1476">
        <v>1.6136499180500459</v>
      </c>
      <c r="O2102" s="1476"/>
    </row>
    <row r="2103" spans="11:15">
      <c r="K2103" s="1473">
        <v>44160</v>
      </c>
      <c r="L2103" s="1474" t="s">
        <v>2123</v>
      </c>
      <c r="M2103" s="1475">
        <v>7.4689999999999999E-3</v>
      </c>
      <c r="N2103" s="1476">
        <v>1.613770441562425</v>
      </c>
      <c r="O2103" s="1476"/>
    </row>
    <row r="2104" spans="11:15">
      <c r="K2104" s="1473">
        <v>44161</v>
      </c>
      <c r="L2104" s="1474" t="s">
        <v>2123</v>
      </c>
      <c r="M2104" s="1475">
        <v>7.4689999999999999E-3</v>
      </c>
      <c r="N2104" s="1476">
        <v>1.6138909740767051</v>
      </c>
      <c r="O2104" s="1476"/>
    </row>
    <row r="2105" spans="11:15">
      <c r="K2105" s="1473">
        <v>44162</v>
      </c>
      <c r="L2105" s="1474" t="s">
        <v>2123</v>
      </c>
      <c r="M2105" s="1475">
        <v>7.4689999999999999E-3</v>
      </c>
      <c r="N2105" s="1476">
        <v>1.6140115155935588</v>
      </c>
      <c r="O2105" s="1476"/>
    </row>
    <row r="2106" spans="11:15">
      <c r="K2106" s="1473">
        <v>44163</v>
      </c>
      <c r="L2106" s="1474"/>
      <c r="M2106" s="1475">
        <v>0</v>
      </c>
      <c r="N2106" s="1476">
        <v>1.6140115155935588</v>
      </c>
      <c r="O2106" s="1476"/>
    </row>
    <row r="2107" spans="11:15">
      <c r="K2107" s="1473">
        <v>44164</v>
      </c>
      <c r="L2107" s="1474"/>
      <c r="M2107" s="1475">
        <v>0</v>
      </c>
      <c r="N2107" s="1476">
        <v>1.6140115155935588</v>
      </c>
      <c r="O2107" s="1476"/>
    </row>
    <row r="2108" spans="11:15">
      <c r="K2108" s="1473">
        <v>44165</v>
      </c>
      <c r="L2108" s="1474" t="s">
        <v>2123</v>
      </c>
      <c r="M2108" s="1475">
        <v>7.4689999999999999E-3</v>
      </c>
      <c r="N2108" s="1476">
        <v>1.6141320661136584</v>
      </c>
      <c r="O2108" s="1476"/>
    </row>
    <row r="2109" spans="11:15">
      <c r="K2109" s="1473">
        <v>44166</v>
      </c>
      <c r="L2109" s="1474" t="s">
        <v>2123</v>
      </c>
      <c r="M2109" s="1475">
        <v>7.4689999999999999E-3</v>
      </c>
      <c r="N2109" s="1476">
        <v>1.6142526256376764</v>
      </c>
      <c r="O2109" s="1476"/>
    </row>
    <row r="2110" spans="11:15">
      <c r="K2110" s="1473">
        <v>44167</v>
      </c>
      <c r="L2110" s="1474" t="s">
        <v>2123</v>
      </c>
      <c r="M2110" s="1475">
        <v>7.4689999999999999E-3</v>
      </c>
      <c r="N2110" s="1476">
        <v>1.6143731941662851</v>
      </c>
      <c r="O2110" s="1476"/>
    </row>
    <row r="2111" spans="11:15">
      <c r="K2111" s="1473">
        <v>44168</v>
      </c>
      <c r="L2111" s="1474" t="s">
        <v>2123</v>
      </c>
      <c r="M2111" s="1475">
        <v>7.4689999999999999E-3</v>
      </c>
      <c r="N2111" s="1476">
        <v>1.6144937717001573</v>
      </c>
      <c r="O2111" s="1476"/>
    </row>
    <row r="2112" spans="11:15">
      <c r="K2112" s="1473">
        <v>44169</v>
      </c>
      <c r="L2112" s="1474" t="s">
        <v>2123</v>
      </c>
      <c r="M2112" s="1475">
        <v>7.4689999999999999E-3</v>
      </c>
      <c r="N2112" s="1476">
        <v>1.6146143582399655</v>
      </c>
      <c r="O2112" s="1476"/>
    </row>
    <row r="2113" spans="11:15">
      <c r="K2113" s="1473">
        <v>44170</v>
      </c>
      <c r="L2113" s="1474"/>
      <c r="M2113" s="1475">
        <v>0</v>
      </c>
      <c r="N2113" s="1476">
        <v>1.6146143582399655</v>
      </c>
      <c r="O2113" s="1476"/>
    </row>
    <row r="2114" spans="11:15">
      <c r="K2114" s="1473">
        <v>44171</v>
      </c>
      <c r="L2114" s="1474"/>
      <c r="M2114" s="1475">
        <v>0</v>
      </c>
      <c r="N2114" s="1476">
        <v>1.6146143582399655</v>
      </c>
      <c r="O2114" s="1476"/>
    </row>
    <row r="2115" spans="11:15">
      <c r="K2115" s="1473">
        <v>44172</v>
      </c>
      <c r="L2115" s="1474" t="s">
        <v>2123</v>
      </c>
      <c r="M2115" s="1475">
        <v>7.4689999999999999E-3</v>
      </c>
      <c r="N2115" s="1476">
        <v>1.6147349537863822</v>
      </c>
      <c r="O2115" s="1476"/>
    </row>
    <row r="2116" spans="11:15">
      <c r="K2116" s="1473">
        <v>44173</v>
      </c>
      <c r="L2116" s="1474" t="s">
        <v>2123</v>
      </c>
      <c r="M2116" s="1475">
        <v>7.4689999999999999E-3</v>
      </c>
      <c r="N2116" s="1476">
        <v>1.6148555583400803</v>
      </c>
      <c r="O2116" s="1476"/>
    </row>
    <row r="2117" spans="11:15">
      <c r="K2117" s="1473">
        <v>44174</v>
      </c>
      <c r="L2117" s="1474" t="s">
        <v>2123</v>
      </c>
      <c r="M2117" s="1475">
        <v>7.4689999999999999E-3</v>
      </c>
      <c r="N2117" s="1476">
        <v>1.6149761719017326</v>
      </c>
      <c r="O2117" s="1476"/>
    </row>
    <row r="2118" spans="11:15">
      <c r="K2118" s="1473">
        <v>44175</v>
      </c>
      <c r="L2118" s="1474" t="s">
        <v>2123</v>
      </c>
      <c r="M2118" s="1475">
        <v>7.4689999999999999E-3</v>
      </c>
      <c r="N2118" s="1476">
        <v>1.6150967944720118</v>
      </c>
      <c r="O2118" s="1476"/>
    </row>
    <row r="2119" spans="11:15">
      <c r="K2119" s="1473">
        <v>44176</v>
      </c>
      <c r="L2119" s="1474" t="s">
        <v>2123</v>
      </c>
      <c r="M2119" s="1475">
        <v>7.4689999999999999E-3</v>
      </c>
      <c r="N2119" s="1476">
        <v>1.6152174260515908</v>
      </c>
      <c r="O2119" s="1476"/>
    </row>
    <row r="2120" spans="11:15">
      <c r="K2120" s="1473">
        <v>44177</v>
      </c>
      <c r="L2120" s="1474"/>
      <c r="M2120" s="1475">
        <v>0</v>
      </c>
      <c r="N2120" s="1476">
        <v>1.6152174260515908</v>
      </c>
      <c r="O2120" s="1476"/>
    </row>
    <row r="2121" spans="11:15">
      <c r="K2121" s="1473">
        <v>44178</v>
      </c>
      <c r="L2121" s="1474"/>
      <c r="M2121" s="1475">
        <v>0</v>
      </c>
      <c r="N2121" s="1476">
        <v>1.6152174260515908</v>
      </c>
      <c r="O2121" s="1476"/>
    </row>
    <row r="2122" spans="11:15">
      <c r="K2122" s="1473">
        <v>44179</v>
      </c>
      <c r="L2122" s="1474" t="s">
        <v>2123</v>
      </c>
      <c r="M2122" s="1475">
        <v>7.4689999999999999E-3</v>
      </c>
      <c r="N2122" s="1476">
        <v>1.6153380666411425</v>
      </c>
      <c r="O2122" s="1476"/>
    </row>
    <row r="2123" spans="11:15">
      <c r="K2123" s="1473">
        <v>44180</v>
      </c>
      <c r="L2123" s="1474" t="s">
        <v>2123</v>
      </c>
      <c r="M2123" s="1475">
        <v>7.4689999999999999E-3</v>
      </c>
      <c r="N2123" s="1476">
        <v>1.6154587162413399</v>
      </c>
      <c r="O2123" s="1476"/>
    </row>
    <row r="2124" spans="11:15">
      <c r="K2124" s="1473">
        <v>44181</v>
      </c>
      <c r="L2124" s="1474" t="s">
        <v>2123</v>
      </c>
      <c r="M2124" s="1475">
        <v>7.4689999999999999E-3</v>
      </c>
      <c r="N2124" s="1476">
        <v>1.6155793748528557</v>
      </c>
      <c r="O2124" s="1476"/>
    </row>
    <row r="2125" spans="11:15">
      <c r="K2125" s="1473">
        <v>44182</v>
      </c>
      <c r="L2125" s="1474" t="s">
        <v>2123</v>
      </c>
      <c r="M2125" s="1475">
        <v>7.4689999999999999E-3</v>
      </c>
      <c r="N2125" s="1476">
        <v>1.6157000424763635</v>
      </c>
      <c r="O2125" s="1476"/>
    </row>
    <row r="2126" spans="11:15">
      <c r="K2126" s="1473">
        <v>44183</v>
      </c>
      <c r="L2126" s="1474" t="s">
        <v>2123</v>
      </c>
      <c r="M2126" s="1475">
        <v>7.4689999999999999E-3</v>
      </c>
      <c r="N2126" s="1476">
        <v>1.615820719112536</v>
      </c>
      <c r="O2126" s="1476"/>
    </row>
    <row r="2127" spans="11:15">
      <c r="K2127" s="1473">
        <v>44184</v>
      </c>
      <c r="L2127" s="1474"/>
      <c r="M2127" s="1475">
        <v>0</v>
      </c>
      <c r="N2127" s="1476">
        <v>1.615820719112536</v>
      </c>
      <c r="O2127" s="1476"/>
    </row>
    <row r="2128" spans="11:15">
      <c r="K2128" s="1473">
        <v>44185</v>
      </c>
      <c r="L2128" s="1474"/>
      <c r="M2128" s="1475">
        <v>0</v>
      </c>
      <c r="N2128" s="1476">
        <v>1.615820719112536</v>
      </c>
      <c r="O2128" s="1476"/>
    </row>
    <row r="2129" spans="11:15">
      <c r="K2129" s="1473">
        <v>44186</v>
      </c>
      <c r="L2129" s="1474" t="s">
        <v>2123</v>
      </c>
      <c r="M2129" s="1475">
        <v>7.4689999999999999E-3</v>
      </c>
      <c r="N2129" s="1476">
        <v>1.6159414047620464</v>
      </c>
      <c r="O2129" s="1476"/>
    </row>
    <row r="2130" spans="11:15">
      <c r="K2130" s="1473">
        <v>44187</v>
      </c>
      <c r="L2130" s="1474" t="s">
        <v>2123</v>
      </c>
      <c r="M2130" s="1475">
        <v>7.4689999999999999E-3</v>
      </c>
      <c r="N2130" s="1476">
        <v>1.6160620994255679</v>
      </c>
      <c r="O2130" s="1476"/>
    </row>
    <row r="2131" spans="11:15">
      <c r="K2131" s="1473">
        <v>44188</v>
      </c>
      <c r="L2131" s="1474" t="s">
        <v>2123</v>
      </c>
      <c r="M2131" s="1475">
        <v>7.4689999999999999E-3</v>
      </c>
      <c r="N2131" s="1476">
        <v>1.6161828031037739</v>
      </c>
      <c r="O2131" s="1476"/>
    </row>
    <row r="2132" spans="11:15">
      <c r="K2132" s="1473">
        <v>44189</v>
      </c>
      <c r="L2132" s="1474" t="s">
        <v>2123</v>
      </c>
      <c r="M2132" s="1475">
        <v>7.4689999999999999E-3</v>
      </c>
      <c r="N2132" s="1476">
        <v>1.6163035157973376</v>
      </c>
      <c r="O2132" s="1476"/>
    </row>
    <row r="2133" spans="11:15">
      <c r="K2133" s="1473">
        <v>44190</v>
      </c>
      <c r="L2133" s="1474"/>
      <c r="M2133" s="1475">
        <v>0</v>
      </c>
      <c r="N2133" s="1476">
        <v>1.6163035157973376</v>
      </c>
      <c r="O2133" s="1476"/>
    </row>
    <row r="2134" spans="11:15">
      <c r="K2134" s="1473">
        <v>44191</v>
      </c>
      <c r="L2134" s="1474"/>
      <c r="M2134" s="1475">
        <v>0</v>
      </c>
      <c r="N2134" s="1476">
        <v>1.6163035157973376</v>
      </c>
      <c r="O2134" s="1476"/>
    </row>
    <row r="2135" spans="11:15">
      <c r="K2135" s="1473">
        <v>44192</v>
      </c>
      <c r="L2135" s="1474"/>
      <c r="M2135" s="1475">
        <v>0</v>
      </c>
      <c r="N2135" s="1476">
        <v>1.6163035157973376</v>
      </c>
      <c r="O2135" s="1476"/>
    </row>
    <row r="2136" spans="11:15">
      <c r="K2136" s="1473">
        <v>44193</v>
      </c>
      <c r="L2136" s="1474" t="s">
        <v>2123</v>
      </c>
      <c r="M2136" s="1475">
        <v>7.4689999999999999E-3</v>
      </c>
      <c r="N2136" s="1476">
        <v>1.6164242375069324</v>
      </c>
      <c r="O2136" s="1476"/>
    </row>
    <row r="2137" spans="11:15">
      <c r="K2137" s="1473">
        <v>44194</v>
      </c>
      <c r="L2137" s="1474" t="s">
        <v>2123</v>
      </c>
      <c r="M2137" s="1475">
        <v>7.4689999999999999E-3</v>
      </c>
      <c r="N2137" s="1476">
        <v>1.6165449682332318</v>
      </c>
      <c r="O2137" s="1476"/>
    </row>
    <row r="2138" spans="11:15">
      <c r="K2138" s="1473">
        <v>44195</v>
      </c>
      <c r="L2138" s="1474" t="s">
        <v>2123</v>
      </c>
      <c r="M2138" s="1475">
        <v>7.4689999999999999E-3</v>
      </c>
      <c r="N2138" s="1476">
        <v>1.6166657079769091</v>
      </c>
      <c r="O2138" s="1476"/>
    </row>
    <row r="2139" spans="11:15">
      <c r="K2139" s="1473">
        <v>44196</v>
      </c>
      <c r="L2139" s="1474" t="s">
        <v>2123</v>
      </c>
      <c r="M2139" s="1475">
        <v>7.4689999999999999E-3</v>
      </c>
      <c r="N2139" s="1476">
        <v>1.6167864567386379</v>
      </c>
      <c r="O2139" s="1476"/>
    </row>
    <row r="2140" spans="11:15">
      <c r="K2140" s="1473">
        <v>44197</v>
      </c>
      <c r="L2140" s="1474"/>
      <c r="M2140" s="1475">
        <v>0</v>
      </c>
      <c r="N2140" s="1476">
        <v>1.6167864567386379</v>
      </c>
      <c r="O2140" s="1476"/>
    </row>
    <row r="2141" spans="11:15">
      <c r="K2141" s="1473">
        <v>44198</v>
      </c>
      <c r="L2141" s="1474"/>
      <c r="M2141" s="1475">
        <v>0</v>
      </c>
      <c r="N2141" s="1476">
        <v>1.6167864567386379</v>
      </c>
      <c r="O2141" s="1476"/>
    </row>
    <row r="2142" spans="11:15">
      <c r="K2142" s="1473">
        <v>44199</v>
      </c>
      <c r="L2142" s="1474"/>
      <c r="M2142" s="1475">
        <v>0</v>
      </c>
      <c r="N2142" s="1476">
        <v>1.6167864567386379</v>
      </c>
      <c r="O2142" s="1476"/>
    </row>
    <row r="2143" spans="11:15">
      <c r="K2143" s="1473">
        <v>44200</v>
      </c>
      <c r="L2143" s="1474" t="s">
        <v>2123</v>
      </c>
      <c r="M2143" s="1475">
        <v>7.4689999999999999E-3</v>
      </c>
      <c r="N2143" s="1476">
        <v>1.6169072145190915</v>
      </c>
      <c r="O2143" s="1476"/>
    </row>
    <row r="2144" spans="11:15">
      <c r="K2144" s="1473">
        <v>44201</v>
      </c>
      <c r="L2144" s="1474" t="s">
        <v>2123</v>
      </c>
      <c r="M2144" s="1475">
        <v>7.4689999999999999E-3</v>
      </c>
      <c r="N2144" s="1476">
        <v>1.6170279813189439</v>
      </c>
      <c r="O2144" s="1476"/>
    </row>
    <row r="2145" spans="11:15">
      <c r="K2145" s="1473">
        <v>44202</v>
      </c>
      <c r="L2145" s="1474" t="s">
        <v>2123</v>
      </c>
      <c r="M2145" s="1475">
        <v>7.4689999999999999E-3</v>
      </c>
      <c r="N2145" s="1476">
        <v>1.6171487571388685</v>
      </c>
      <c r="O2145" s="1476"/>
    </row>
    <row r="2146" spans="11:15">
      <c r="K2146" s="1473">
        <v>44203</v>
      </c>
      <c r="L2146" s="1474" t="s">
        <v>2123</v>
      </c>
      <c r="M2146" s="1475">
        <v>7.4689999999999999E-3</v>
      </c>
      <c r="N2146" s="1476">
        <v>1.6172695419795391</v>
      </c>
      <c r="O2146" s="1476"/>
    </row>
    <row r="2147" spans="11:15">
      <c r="K2147" s="1473">
        <v>44204</v>
      </c>
      <c r="L2147" s="1474" t="s">
        <v>2123</v>
      </c>
      <c r="M2147" s="1475">
        <v>7.4689999999999999E-3</v>
      </c>
      <c r="N2147" s="1476">
        <v>1.6173903358416295</v>
      </c>
      <c r="O2147" s="1476"/>
    </row>
    <row r="2148" spans="11:15">
      <c r="K2148" s="1473">
        <v>44205</v>
      </c>
      <c r="L2148" s="1474"/>
      <c r="M2148" s="1475">
        <v>0</v>
      </c>
      <c r="N2148" s="1476">
        <v>1.6173903358416295</v>
      </c>
      <c r="O2148" s="1476"/>
    </row>
    <row r="2149" spans="11:15">
      <c r="K2149" s="1473">
        <v>44206</v>
      </c>
      <c r="L2149" s="1474"/>
      <c r="M2149" s="1475">
        <v>0</v>
      </c>
      <c r="N2149" s="1476">
        <v>1.6173903358416295</v>
      </c>
      <c r="O2149" s="1476"/>
    </row>
    <row r="2150" spans="11:15">
      <c r="K2150" s="1473">
        <v>44207</v>
      </c>
      <c r="L2150" s="1474" t="s">
        <v>2123</v>
      </c>
      <c r="M2150" s="1475">
        <v>7.4689999999999999E-3</v>
      </c>
      <c r="N2150" s="1476">
        <v>1.6175111387258134</v>
      </c>
      <c r="O2150" s="1476"/>
    </row>
    <row r="2151" spans="11:15">
      <c r="K2151" s="1473">
        <v>44208</v>
      </c>
      <c r="L2151" s="1474" t="s">
        <v>2123</v>
      </c>
      <c r="M2151" s="1475">
        <v>7.4689999999999999E-3</v>
      </c>
      <c r="N2151" s="1476">
        <v>1.6176319506327648</v>
      </c>
      <c r="O2151" s="1476"/>
    </row>
    <row r="2152" spans="11:15">
      <c r="K2152" s="1473">
        <v>44209</v>
      </c>
      <c r="L2152" s="1474" t="s">
        <v>2123</v>
      </c>
      <c r="M2152" s="1475">
        <v>7.4689999999999999E-3</v>
      </c>
      <c r="N2152" s="1476">
        <v>1.6177527715631574</v>
      </c>
      <c r="O2152" s="1476"/>
    </row>
    <row r="2153" spans="11:15">
      <c r="K2153" s="1473">
        <v>44210</v>
      </c>
      <c r="L2153" s="1474" t="s">
        <v>2123</v>
      </c>
      <c r="M2153" s="1475">
        <v>7.4689999999999999E-3</v>
      </c>
      <c r="N2153" s="1476">
        <v>1.6178736015176653</v>
      </c>
      <c r="O2153" s="1476"/>
    </row>
    <row r="2154" spans="11:15">
      <c r="K2154" s="1473">
        <v>44211</v>
      </c>
      <c r="L2154" s="1474" t="s">
        <v>2123</v>
      </c>
      <c r="M2154" s="1475">
        <v>7.4689999999999999E-3</v>
      </c>
      <c r="N2154" s="1476">
        <v>1.6179944404969626</v>
      </c>
      <c r="O2154" s="1476"/>
    </row>
    <row r="2155" spans="11:15">
      <c r="K2155" s="1473">
        <v>44212</v>
      </c>
      <c r="L2155" s="1474"/>
      <c r="M2155" s="1475">
        <v>0</v>
      </c>
      <c r="N2155" s="1476">
        <v>1.6179944404969626</v>
      </c>
      <c r="O2155" s="1476"/>
    </row>
    <row r="2156" spans="11:15">
      <c r="K2156" s="1473">
        <v>44213</v>
      </c>
      <c r="L2156" s="1474"/>
      <c r="M2156" s="1475">
        <v>0</v>
      </c>
      <c r="N2156" s="1476">
        <v>1.6179944404969626</v>
      </c>
      <c r="O2156" s="1476"/>
    </row>
    <row r="2157" spans="11:15">
      <c r="K2157" s="1473">
        <v>44214</v>
      </c>
      <c r="L2157" s="1474" t="s">
        <v>2123</v>
      </c>
      <c r="M2157" s="1475">
        <v>7.4689999999999999E-3</v>
      </c>
      <c r="N2157" s="1476">
        <v>1.6181152885017231</v>
      </c>
      <c r="O2157" s="1476"/>
    </row>
    <row r="2158" spans="11:15">
      <c r="K2158" s="1473">
        <v>44215</v>
      </c>
      <c r="L2158" s="1474" t="s">
        <v>2123</v>
      </c>
      <c r="M2158" s="1475">
        <v>7.4689999999999999E-3</v>
      </c>
      <c r="N2158" s="1476">
        <v>1.6182361455326213</v>
      </c>
      <c r="O2158" s="1476"/>
    </row>
    <row r="2159" spans="11:15">
      <c r="K2159" s="1473">
        <v>44216</v>
      </c>
      <c r="L2159" s="1474" t="s">
        <v>2123</v>
      </c>
      <c r="M2159" s="1475">
        <v>7.4689999999999999E-3</v>
      </c>
      <c r="N2159" s="1476">
        <v>1.618357011590331</v>
      </c>
      <c r="O2159" s="1476"/>
    </row>
    <row r="2160" spans="11:15">
      <c r="K2160" s="1473">
        <v>44217</v>
      </c>
      <c r="L2160" s="1474" t="s">
        <v>2123</v>
      </c>
      <c r="M2160" s="1475">
        <v>7.4689999999999999E-3</v>
      </c>
      <c r="N2160" s="1476">
        <v>1.6184778866755265</v>
      </c>
      <c r="O2160" s="1476"/>
    </row>
    <row r="2161" spans="11:15">
      <c r="K2161" s="1473">
        <v>44218</v>
      </c>
      <c r="L2161" s="1474" t="s">
        <v>2123</v>
      </c>
      <c r="M2161" s="1475">
        <v>7.4689999999999999E-3</v>
      </c>
      <c r="N2161" s="1476">
        <v>1.6185987707888823</v>
      </c>
      <c r="O2161" s="1476"/>
    </row>
    <row r="2162" spans="11:15">
      <c r="K2162" s="1473">
        <v>44219</v>
      </c>
      <c r="L2162" s="1474"/>
      <c r="M2162" s="1475">
        <v>0</v>
      </c>
      <c r="N2162" s="1476">
        <v>1.6185987707888823</v>
      </c>
      <c r="O2162" s="1476"/>
    </row>
    <row r="2163" spans="11:15">
      <c r="K2163" s="1473">
        <v>44220</v>
      </c>
      <c r="L2163" s="1474"/>
      <c r="M2163" s="1475">
        <v>0</v>
      </c>
      <c r="N2163" s="1476">
        <v>1.6185987707888823</v>
      </c>
      <c r="O2163" s="1476"/>
    </row>
    <row r="2164" spans="11:15">
      <c r="K2164" s="1473">
        <v>44221</v>
      </c>
      <c r="L2164" s="1474" t="s">
        <v>2123</v>
      </c>
      <c r="M2164" s="1475">
        <v>7.4689999999999999E-3</v>
      </c>
      <c r="N2164" s="1476">
        <v>1.6187196639310724</v>
      </c>
      <c r="O2164" s="1476"/>
    </row>
    <row r="2165" spans="11:15">
      <c r="K2165" s="1473">
        <v>44222</v>
      </c>
      <c r="L2165" s="1474" t="s">
        <v>2123</v>
      </c>
      <c r="M2165" s="1475">
        <v>7.4689999999999999E-3</v>
      </c>
      <c r="N2165" s="1476">
        <v>1.6188405661027712</v>
      </c>
      <c r="O2165" s="1476"/>
    </row>
    <row r="2166" spans="11:15">
      <c r="K2166" s="1473">
        <v>44223</v>
      </c>
      <c r="L2166" s="1474" t="s">
        <v>2123</v>
      </c>
      <c r="M2166" s="1475">
        <v>7.4689999999999999E-3</v>
      </c>
      <c r="N2166" s="1476">
        <v>1.6189614773046532</v>
      </c>
      <c r="O2166" s="1476"/>
    </row>
    <row r="2167" spans="11:15">
      <c r="K2167" s="1473">
        <v>44224</v>
      </c>
      <c r="L2167" s="1474" t="s">
        <v>2123</v>
      </c>
      <c r="M2167" s="1475">
        <v>7.4689999999999999E-3</v>
      </c>
      <c r="N2167" s="1476">
        <v>1.6190823975373929</v>
      </c>
      <c r="O2167" s="1476"/>
    </row>
    <row r="2168" spans="11:15">
      <c r="K2168" s="1473">
        <v>44225</v>
      </c>
      <c r="L2168" s="1474" t="s">
        <v>2123</v>
      </c>
      <c r="M2168" s="1475">
        <v>7.4689999999999999E-3</v>
      </c>
      <c r="N2168" s="1476">
        <v>1.6192033268016648</v>
      </c>
      <c r="O2168" s="1476"/>
    </row>
    <row r="2169" spans="11:15">
      <c r="K2169" s="1473">
        <v>44226</v>
      </c>
      <c r="L2169" s="1474"/>
      <c r="M2169" s="1475">
        <v>0</v>
      </c>
      <c r="N2169" s="1476">
        <v>1.6192033268016648</v>
      </c>
      <c r="O2169" s="1476"/>
    </row>
    <row r="2170" spans="11:15">
      <c r="K2170" s="1473">
        <v>44227</v>
      </c>
      <c r="L2170" s="1474"/>
      <c r="M2170" s="1475">
        <v>0</v>
      </c>
      <c r="N2170" s="1476">
        <v>1.6192033268016648</v>
      </c>
      <c r="O2170" s="1476"/>
    </row>
    <row r="2171" spans="11:15">
      <c r="K2171" s="1473">
        <v>44228</v>
      </c>
      <c r="L2171" s="1474" t="s">
        <v>2123</v>
      </c>
      <c r="M2171" s="1475">
        <v>7.4689999999999999E-3</v>
      </c>
      <c r="N2171" s="1476">
        <v>1.6193242650981434</v>
      </c>
      <c r="O2171" s="1476"/>
    </row>
    <row r="2172" spans="11:15">
      <c r="K2172" s="1473">
        <v>44229</v>
      </c>
      <c r="L2172" s="1474" t="s">
        <v>2123</v>
      </c>
      <c r="M2172" s="1475">
        <v>7.4689999999999999E-3</v>
      </c>
      <c r="N2172" s="1476">
        <v>1.6194452124275034</v>
      </c>
      <c r="O2172" s="1476"/>
    </row>
    <row r="2173" spans="11:15">
      <c r="K2173" s="1473">
        <v>44230</v>
      </c>
      <c r="L2173" s="1474" t="s">
        <v>2123</v>
      </c>
      <c r="M2173" s="1475">
        <v>7.4689999999999999E-3</v>
      </c>
      <c r="N2173" s="1476">
        <v>1.6195661687904195</v>
      </c>
      <c r="O2173" s="1476"/>
    </row>
    <row r="2174" spans="11:15">
      <c r="K2174" s="1473">
        <v>44231</v>
      </c>
      <c r="L2174" s="1474" t="s">
        <v>2123</v>
      </c>
      <c r="M2174" s="1475">
        <v>7.4689999999999999E-3</v>
      </c>
      <c r="N2174" s="1476">
        <v>1.6196871341875663</v>
      </c>
      <c r="O2174" s="1476"/>
    </row>
    <row r="2175" spans="11:15">
      <c r="K2175" s="1473">
        <v>44232</v>
      </c>
      <c r="L2175" s="1474" t="s">
        <v>2123</v>
      </c>
      <c r="M2175" s="1475">
        <v>7.4689999999999999E-3</v>
      </c>
      <c r="N2175" s="1476">
        <v>1.6198081086196185</v>
      </c>
      <c r="O2175" s="1476"/>
    </row>
    <row r="2176" spans="11:15">
      <c r="K2176" s="1473">
        <v>44233</v>
      </c>
      <c r="L2176" s="1474"/>
      <c r="M2176" s="1475">
        <v>0</v>
      </c>
      <c r="N2176" s="1476">
        <v>1.6198081086196185</v>
      </c>
      <c r="O2176" s="1476"/>
    </row>
    <row r="2177" spans="11:15">
      <c r="K2177" s="1473">
        <v>44234</v>
      </c>
      <c r="L2177" s="1474"/>
      <c r="M2177" s="1475">
        <v>0</v>
      </c>
      <c r="N2177" s="1476">
        <v>1.6198081086196185</v>
      </c>
      <c r="O2177" s="1476"/>
    </row>
    <row r="2178" spans="11:15">
      <c r="K2178" s="1473">
        <v>44235</v>
      </c>
      <c r="L2178" s="1474" t="s">
        <v>2123</v>
      </c>
      <c r="M2178" s="1475">
        <v>7.4689999999999999E-3</v>
      </c>
      <c r="N2178" s="1476">
        <v>1.6199290920872513</v>
      </c>
      <c r="O2178" s="1476"/>
    </row>
    <row r="2179" spans="11:15">
      <c r="K2179" s="1473">
        <v>44236</v>
      </c>
      <c r="L2179" s="1474" t="s">
        <v>2123</v>
      </c>
      <c r="M2179" s="1475">
        <v>7.4689999999999999E-3</v>
      </c>
      <c r="N2179" s="1476">
        <v>1.6200500845911392</v>
      </c>
      <c r="O2179" s="1476"/>
    </row>
    <row r="2180" spans="11:15">
      <c r="K2180" s="1473">
        <v>44237</v>
      </c>
      <c r="L2180" s="1474" t="s">
        <v>2123</v>
      </c>
      <c r="M2180" s="1475">
        <v>7.4689999999999999E-3</v>
      </c>
      <c r="N2180" s="1476">
        <v>1.6201710861319571</v>
      </c>
      <c r="O2180" s="1476"/>
    </row>
    <row r="2181" spans="11:15">
      <c r="K2181" s="1473">
        <v>44238</v>
      </c>
      <c r="L2181" s="1474" t="s">
        <v>2123</v>
      </c>
      <c r="M2181" s="1475">
        <v>7.4689999999999999E-3</v>
      </c>
      <c r="N2181" s="1476">
        <v>1.6202920967103802</v>
      </c>
      <c r="O2181" s="1476"/>
    </row>
    <row r="2182" spans="11:15">
      <c r="K2182" s="1473">
        <v>44239</v>
      </c>
      <c r="L2182" s="1474" t="s">
        <v>2123</v>
      </c>
      <c r="M2182" s="1475">
        <v>7.4689999999999999E-3</v>
      </c>
      <c r="N2182" s="1476">
        <v>1.6204131163270834</v>
      </c>
      <c r="O2182" s="1476"/>
    </row>
    <row r="2183" spans="11:15">
      <c r="K2183" s="1473">
        <v>44240</v>
      </c>
      <c r="L2183" s="1474"/>
      <c r="M2183" s="1475">
        <v>0</v>
      </c>
      <c r="N2183" s="1476">
        <v>1.6204131163270834</v>
      </c>
      <c r="O2183" s="1476"/>
    </row>
    <row r="2184" spans="11:15">
      <c r="K2184" s="1473">
        <v>44241</v>
      </c>
      <c r="L2184" s="1474"/>
      <c r="M2184" s="1475">
        <v>0</v>
      </c>
      <c r="N2184" s="1476">
        <v>1.6204131163270834</v>
      </c>
      <c r="O2184" s="1476"/>
    </row>
    <row r="2185" spans="11:15">
      <c r="K2185" s="1473">
        <v>44242</v>
      </c>
      <c r="L2185" s="1474"/>
      <c r="M2185" s="1475">
        <v>0</v>
      </c>
      <c r="N2185" s="1476">
        <v>1.6204131163270834</v>
      </c>
      <c r="O2185" s="1476"/>
    </row>
    <row r="2186" spans="11:15">
      <c r="K2186" s="1473">
        <v>44243</v>
      </c>
      <c r="L2186" s="1474"/>
      <c r="M2186" s="1475">
        <v>0</v>
      </c>
      <c r="N2186" s="1476">
        <v>1.6204131163270834</v>
      </c>
      <c r="O2186" s="1476"/>
    </row>
    <row r="2187" spans="11:15">
      <c r="K2187" s="1473">
        <v>44244</v>
      </c>
      <c r="L2187" s="1474" t="s">
        <v>2123</v>
      </c>
      <c r="M2187" s="1475">
        <v>7.4689999999999999E-3</v>
      </c>
      <c r="N2187" s="1476">
        <v>1.6205341449827417</v>
      </c>
      <c r="O2187" s="1476"/>
    </row>
    <row r="2188" spans="11:15">
      <c r="K2188" s="1473">
        <v>44245</v>
      </c>
      <c r="L2188" s="1474" t="s">
        <v>2123</v>
      </c>
      <c r="M2188" s="1475">
        <v>7.4689999999999999E-3</v>
      </c>
      <c r="N2188" s="1476">
        <v>1.6206551826780304</v>
      </c>
      <c r="O2188" s="1476"/>
    </row>
    <row r="2189" spans="11:15">
      <c r="K2189" s="1473">
        <v>44246</v>
      </c>
      <c r="L2189" s="1474" t="s">
        <v>2123</v>
      </c>
      <c r="M2189" s="1475">
        <v>7.4689999999999999E-3</v>
      </c>
      <c r="N2189" s="1476">
        <v>1.6207762294136245</v>
      </c>
      <c r="O2189" s="1476"/>
    </row>
    <row r="2190" spans="11:15">
      <c r="K2190" s="1473">
        <v>44247</v>
      </c>
      <c r="L2190" s="1474"/>
      <c r="M2190" s="1475">
        <v>0</v>
      </c>
      <c r="N2190" s="1476">
        <v>1.6207762294136245</v>
      </c>
      <c r="O2190" s="1476"/>
    </row>
    <row r="2191" spans="11:15">
      <c r="K2191" s="1473">
        <v>44248</v>
      </c>
      <c r="L2191" s="1474"/>
      <c r="M2191" s="1475">
        <v>0</v>
      </c>
      <c r="N2191" s="1476">
        <v>1.6207762294136245</v>
      </c>
      <c r="O2191" s="1476"/>
    </row>
    <row r="2192" spans="11:15">
      <c r="K2192" s="1473">
        <v>44249</v>
      </c>
      <c r="L2192" s="1474" t="s">
        <v>2123</v>
      </c>
      <c r="M2192" s="1475">
        <v>7.4689999999999999E-3</v>
      </c>
      <c r="N2192" s="1476">
        <v>1.6208972851901993</v>
      </c>
      <c r="O2192" s="1476"/>
    </row>
    <row r="2193" spans="11:15">
      <c r="K2193" s="1473">
        <v>44250</v>
      </c>
      <c r="L2193" s="1474" t="s">
        <v>2123</v>
      </c>
      <c r="M2193" s="1475">
        <v>7.4689999999999999E-3</v>
      </c>
      <c r="N2193" s="1476">
        <v>1.6210183500084301</v>
      </c>
      <c r="O2193" s="1476"/>
    </row>
    <row r="2194" spans="11:15">
      <c r="K2194" s="1473">
        <v>44251</v>
      </c>
      <c r="L2194" s="1474" t="s">
        <v>2123</v>
      </c>
      <c r="M2194" s="1475">
        <v>7.4689999999999999E-3</v>
      </c>
      <c r="N2194" s="1476">
        <v>1.621139423868992</v>
      </c>
      <c r="O2194" s="1476"/>
    </row>
    <row r="2195" spans="11:15">
      <c r="K2195" s="1473">
        <v>44252</v>
      </c>
      <c r="L2195" s="1474" t="s">
        <v>2123</v>
      </c>
      <c r="M2195" s="1475">
        <v>7.4689999999999999E-3</v>
      </c>
      <c r="N2195" s="1476">
        <v>1.6212605067725607</v>
      </c>
      <c r="O2195" s="1476"/>
    </row>
    <row r="2196" spans="11:15">
      <c r="K2196" s="1473">
        <v>44253</v>
      </c>
      <c r="L2196" s="1474" t="s">
        <v>2123</v>
      </c>
      <c r="M2196" s="1475">
        <v>7.4689999999999999E-3</v>
      </c>
      <c r="N2196" s="1476">
        <v>1.6213815987198115</v>
      </c>
      <c r="O2196" s="1476"/>
    </row>
    <row r="2197" spans="11:15">
      <c r="K2197" s="1473">
        <v>44254</v>
      </c>
      <c r="L2197" s="1474"/>
      <c r="M2197" s="1475">
        <v>0</v>
      </c>
      <c r="N2197" s="1476">
        <v>1.6213815987198115</v>
      </c>
      <c r="O2197" s="1476"/>
    </row>
    <row r="2198" spans="11:15">
      <c r="K2198" s="1473">
        <v>44255</v>
      </c>
      <c r="L2198" s="1474"/>
      <c r="M2198" s="1475">
        <v>0</v>
      </c>
      <c r="N2198" s="1476">
        <v>1.6213815987198115</v>
      </c>
      <c r="O2198" s="1476"/>
    </row>
    <row r="2199" spans="11:15">
      <c r="K2199" s="1473">
        <v>44256</v>
      </c>
      <c r="L2199" s="1474" t="s">
        <v>2123</v>
      </c>
      <c r="M2199" s="1475">
        <v>7.4689999999999999E-3</v>
      </c>
      <c r="N2199" s="1476">
        <v>1.6215026997114197</v>
      </c>
      <c r="O2199" s="1476"/>
    </row>
    <row r="2200" spans="11:15">
      <c r="K2200" s="1473">
        <v>44257</v>
      </c>
      <c r="L2200" s="1474" t="s">
        <v>2123</v>
      </c>
      <c r="M2200" s="1475">
        <v>7.4689999999999999E-3</v>
      </c>
      <c r="N2200" s="1476">
        <v>1.6216238097480611</v>
      </c>
      <c r="O2200" s="1476"/>
    </row>
    <row r="2201" spans="11:15">
      <c r="K2201" s="1473">
        <v>44258</v>
      </c>
      <c r="L2201" s="1474" t="s">
        <v>2123</v>
      </c>
      <c r="M2201" s="1475">
        <v>7.4689999999999999E-3</v>
      </c>
      <c r="N2201" s="1476">
        <v>1.6217449288304111</v>
      </c>
      <c r="O2201" s="1476"/>
    </row>
    <row r="2202" spans="11:15">
      <c r="K2202" s="1473">
        <v>44259</v>
      </c>
      <c r="L2202" s="1474" t="s">
        <v>2123</v>
      </c>
      <c r="M2202" s="1475">
        <v>7.4689999999999999E-3</v>
      </c>
      <c r="N2202" s="1476">
        <v>1.6218660569591454</v>
      </c>
      <c r="O2202" s="1476"/>
    </row>
    <row r="2203" spans="11:15">
      <c r="K2203" s="1473">
        <v>44260</v>
      </c>
      <c r="L2203" s="1474" t="s">
        <v>2123</v>
      </c>
      <c r="M2203" s="1475">
        <v>7.4689999999999999E-3</v>
      </c>
      <c r="N2203" s="1476">
        <v>1.6219871941349395</v>
      </c>
      <c r="O2203" s="1476"/>
    </row>
    <row r="2204" spans="11:15">
      <c r="K2204" s="1473">
        <v>44261</v>
      </c>
      <c r="L2204" s="1474"/>
      <c r="M2204" s="1475">
        <v>0</v>
      </c>
      <c r="N2204" s="1476">
        <v>1.6219871941349395</v>
      </c>
      <c r="O2204" s="1476"/>
    </row>
    <row r="2205" spans="11:15">
      <c r="K2205" s="1473">
        <v>44262</v>
      </c>
      <c r="L2205" s="1474"/>
      <c r="M2205" s="1475">
        <v>0</v>
      </c>
      <c r="N2205" s="1476">
        <v>1.6219871941349395</v>
      </c>
      <c r="O2205" s="1476"/>
    </row>
    <row r="2206" spans="11:15">
      <c r="K2206" s="1473">
        <v>44263</v>
      </c>
      <c r="L2206" s="1474" t="s">
        <v>2123</v>
      </c>
      <c r="M2206" s="1475">
        <v>7.4689999999999999E-3</v>
      </c>
      <c r="N2206" s="1476">
        <v>1.6221083403584693</v>
      </c>
      <c r="O2206" s="1476"/>
    </row>
    <row r="2207" spans="11:15">
      <c r="K2207" s="1473">
        <v>44264</v>
      </c>
      <c r="L2207" s="1474" t="s">
        <v>2123</v>
      </c>
      <c r="M2207" s="1475">
        <v>7.4689999999999999E-3</v>
      </c>
      <c r="N2207" s="1476">
        <v>1.6222294956304106</v>
      </c>
      <c r="O2207" s="1476"/>
    </row>
    <row r="2208" spans="11:15">
      <c r="K2208" s="1473">
        <v>44265</v>
      </c>
      <c r="L2208" s="1474" t="s">
        <v>2123</v>
      </c>
      <c r="M2208" s="1475">
        <v>7.4689999999999999E-3</v>
      </c>
      <c r="N2208" s="1476">
        <v>1.6223506599514392</v>
      </c>
      <c r="O2208" s="1476"/>
    </row>
    <row r="2209" spans="11:15">
      <c r="K2209" s="1473">
        <v>44266</v>
      </c>
      <c r="L2209" s="1474" t="s">
        <v>2123</v>
      </c>
      <c r="M2209" s="1475">
        <v>7.4689999999999999E-3</v>
      </c>
      <c r="N2209" s="1476">
        <v>1.622471833322231</v>
      </c>
      <c r="O2209" s="1476"/>
    </row>
    <row r="2210" spans="11:15">
      <c r="K2210" s="1473">
        <v>44267</v>
      </c>
      <c r="L2210" s="1474" t="s">
        <v>2123</v>
      </c>
      <c r="M2210" s="1475">
        <v>7.4689999999999999E-3</v>
      </c>
      <c r="N2210" s="1476">
        <v>1.6225930157434618</v>
      </c>
      <c r="O2210" s="1476"/>
    </row>
    <row r="2211" spans="11:15">
      <c r="K2211" s="1473">
        <v>44268</v>
      </c>
      <c r="L2211" s="1474"/>
      <c r="M2211" s="1475">
        <v>0</v>
      </c>
      <c r="N2211" s="1476">
        <v>1.6225930157434618</v>
      </c>
      <c r="O2211" s="1476"/>
    </row>
    <row r="2212" spans="11:15">
      <c r="K2212" s="1473">
        <v>44269</v>
      </c>
      <c r="L2212" s="1474"/>
      <c r="M2212" s="1475">
        <v>0</v>
      </c>
      <c r="N2212" s="1476">
        <v>1.6225930157434618</v>
      </c>
      <c r="O2212" s="1476"/>
    </row>
    <row r="2213" spans="11:15">
      <c r="K2213" s="1473">
        <v>44270</v>
      </c>
      <c r="L2213" s="1474" t="s">
        <v>2123</v>
      </c>
      <c r="M2213" s="1475">
        <v>7.4689999999999999E-3</v>
      </c>
      <c r="N2213" s="1476">
        <v>1.6227142072158076</v>
      </c>
      <c r="O2213" s="1476"/>
    </row>
    <row r="2214" spans="11:15">
      <c r="K2214" s="1473">
        <v>44271</v>
      </c>
      <c r="L2214" s="1474" t="s">
        <v>2123</v>
      </c>
      <c r="M2214" s="1475">
        <v>7.4689999999999999E-3</v>
      </c>
      <c r="N2214" s="1476">
        <v>1.6228354077399445</v>
      </c>
      <c r="O2214" s="1476"/>
    </row>
    <row r="2215" spans="11:15">
      <c r="K2215" s="1473">
        <v>44272</v>
      </c>
      <c r="L2215" s="1474" t="s">
        <v>2123</v>
      </c>
      <c r="M2215" s="1475">
        <v>7.4689999999999999E-3</v>
      </c>
      <c r="N2215" s="1476">
        <v>1.6229566173165484</v>
      </c>
      <c r="O2215" s="1476"/>
    </row>
    <row r="2216" spans="11:15">
      <c r="K2216" s="1473">
        <v>44273</v>
      </c>
      <c r="L2216" s="1474" t="s">
        <v>2123</v>
      </c>
      <c r="M2216" s="1475">
        <v>1.0378999999999999E-2</v>
      </c>
      <c r="N2216" s="1476">
        <v>1.6231250639838597</v>
      </c>
      <c r="O2216" s="1476"/>
    </row>
    <row r="2217" spans="11:15">
      <c r="K2217" s="1473">
        <v>44274</v>
      </c>
      <c r="L2217" s="1474" t="s">
        <v>2123</v>
      </c>
      <c r="M2217" s="1475">
        <v>1.0378999999999999E-2</v>
      </c>
      <c r="N2217" s="1476">
        <v>1.6232935281342507</v>
      </c>
      <c r="O2217" s="1476"/>
    </row>
    <row r="2218" spans="11:15">
      <c r="K2218" s="1473">
        <v>44275</v>
      </c>
      <c r="L2218" s="1474"/>
      <c r="M2218" s="1475">
        <v>0</v>
      </c>
      <c r="N2218" s="1476">
        <v>1.6232935281342507</v>
      </c>
      <c r="O2218" s="1476"/>
    </row>
    <row r="2219" spans="11:15">
      <c r="K2219" s="1473">
        <v>44276</v>
      </c>
      <c r="L2219" s="1474"/>
      <c r="M2219" s="1475">
        <v>0</v>
      </c>
      <c r="N2219" s="1476">
        <v>1.6232935281342507</v>
      </c>
      <c r="O2219" s="1476"/>
    </row>
    <row r="2220" spans="11:15">
      <c r="K2220" s="1473">
        <v>44277</v>
      </c>
      <c r="L2220" s="1474" t="s">
        <v>2123</v>
      </c>
      <c r="M2220" s="1475">
        <v>1.0378999999999999E-2</v>
      </c>
      <c r="N2220" s="1476">
        <v>1.6234620097695358</v>
      </c>
      <c r="O2220" s="1476"/>
    </row>
    <row r="2221" spans="11:15">
      <c r="K2221" s="1473">
        <v>44278</v>
      </c>
      <c r="L2221" s="1474" t="s">
        <v>2123</v>
      </c>
      <c r="M2221" s="1475">
        <v>1.0378999999999999E-2</v>
      </c>
      <c r="N2221" s="1476">
        <v>1.6236305088915299</v>
      </c>
      <c r="O2221" s="1476"/>
    </row>
    <row r="2222" spans="11:15">
      <c r="K2222" s="1473">
        <v>44279</v>
      </c>
      <c r="L2222" s="1474" t="s">
        <v>2123</v>
      </c>
      <c r="M2222" s="1475">
        <v>1.0378999999999999E-2</v>
      </c>
      <c r="N2222" s="1476">
        <v>1.6237990255020478</v>
      </c>
      <c r="O2222" s="1476"/>
    </row>
    <row r="2223" spans="11:15">
      <c r="K2223" s="1473">
        <v>44280</v>
      </c>
      <c r="L2223" s="1474" t="s">
        <v>2123</v>
      </c>
      <c r="M2223" s="1475">
        <v>1.0378999999999999E-2</v>
      </c>
      <c r="N2223" s="1476">
        <v>1.6239675596029048</v>
      </c>
      <c r="O2223" s="1476"/>
    </row>
    <row r="2224" spans="11:15">
      <c r="K2224" s="1473">
        <v>44281</v>
      </c>
      <c r="L2224" s="1474" t="s">
        <v>2123</v>
      </c>
      <c r="M2224" s="1475">
        <v>1.0378999999999999E-2</v>
      </c>
      <c r="N2224" s="1476">
        <v>1.6241361111959161</v>
      </c>
      <c r="O2224" s="1476"/>
    </row>
    <row r="2225" spans="11:15">
      <c r="K2225" s="1473">
        <v>44282</v>
      </c>
      <c r="L2225" s="1474"/>
      <c r="M2225" s="1475">
        <v>0</v>
      </c>
      <c r="N2225" s="1476">
        <v>1.6241361111959161</v>
      </c>
      <c r="O2225" s="1476"/>
    </row>
    <row r="2226" spans="11:15">
      <c r="K2226" s="1473">
        <v>44283</v>
      </c>
      <c r="L2226" s="1474"/>
      <c r="M2226" s="1475">
        <v>0</v>
      </c>
      <c r="N2226" s="1476">
        <v>1.6241361111959161</v>
      </c>
      <c r="O2226" s="1476"/>
    </row>
    <row r="2227" spans="11:15">
      <c r="K2227" s="1473">
        <v>44284</v>
      </c>
      <c r="L2227" s="1474" t="s">
        <v>2123</v>
      </c>
      <c r="M2227" s="1475">
        <v>1.0378999999999999E-2</v>
      </c>
      <c r="N2227" s="1476">
        <v>1.6243046802828971</v>
      </c>
      <c r="O2227" s="1476"/>
    </row>
    <row r="2228" spans="11:15">
      <c r="K2228" s="1473">
        <v>44285</v>
      </c>
      <c r="L2228" s="1474" t="s">
        <v>2123</v>
      </c>
      <c r="M2228" s="1475">
        <v>1.0378999999999999E-2</v>
      </c>
      <c r="N2228" s="1476">
        <v>1.6244732668656638</v>
      </c>
      <c r="O2228" s="1476"/>
    </row>
    <row r="2229" spans="11:15">
      <c r="K2229" s="1473">
        <v>44286</v>
      </c>
      <c r="L2229" s="1474" t="s">
        <v>2123</v>
      </c>
      <c r="M2229" s="1475">
        <v>1.0378999999999999E-2</v>
      </c>
      <c r="N2229" s="1476">
        <v>1.624641870946032</v>
      </c>
      <c r="O2229" s="1476"/>
    </row>
    <row r="2230" spans="11:15">
      <c r="K2230" s="1473">
        <v>44287</v>
      </c>
      <c r="L2230" s="1474" t="s">
        <v>2123</v>
      </c>
      <c r="M2230" s="1475">
        <v>1.0378999999999999E-2</v>
      </c>
      <c r="N2230" s="1476">
        <v>1.6248104925258176</v>
      </c>
      <c r="O2230" s="1476"/>
    </row>
    <row r="2231" spans="11:15">
      <c r="K2231" s="1473">
        <v>44288</v>
      </c>
      <c r="L2231" s="1474"/>
      <c r="M2231" s="1475">
        <v>0</v>
      </c>
      <c r="N2231" s="1476">
        <v>1.6248104925258176</v>
      </c>
      <c r="O2231" s="1476"/>
    </row>
    <row r="2232" spans="11:15">
      <c r="K2232" s="1473">
        <v>44289</v>
      </c>
      <c r="L2232" s="1474"/>
      <c r="M2232" s="1475">
        <v>0</v>
      </c>
      <c r="N2232" s="1476">
        <v>1.6248104925258176</v>
      </c>
      <c r="O2232" s="1476"/>
    </row>
    <row r="2233" spans="11:15">
      <c r="K2233" s="1473">
        <v>44290</v>
      </c>
      <c r="L2233" s="1474"/>
      <c r="M2233" s="1475">
        <v>0</v>
      </c>
      <c r="N2233" s="1476">
        <v>1.6248104925258176</v>
      </c>
      <c r="O2233" s="1476"/>
    </row>
    <row r="2234" spans="11:15">
      <c r="K2234" s="1473">
        <v>44291</v>
      </c>
      <c r="L2234" s="1474" t="s">
        <v>2123</v>
      </c>
      <c r="M2234" s="1475">
        <v>1.0378999999999999E-2</v>
      </c>
      <c r="N2234" s="1476">
        <v>1.6249791316068369</v>
      </c>
      <c r="O2234" s="1476"/>
    </row>
    <row r="2235" spans="11:15">
      <c r="K2235" s="1473">
        <v>44292</v>
      </c>
      <c r="L2235" s="1474" t="s">
        <v>2123</v>
      </c>
      <c r="M2235" s="1475">
        <v>1.0378999999999999E-2</v>
      </c>
      <c r="N2235" s="1476">
        <v>1.6251477881909064</v>
      </c>
      <c r="O2235" s="1476"/>
    </row>
    <row r="2236" spans="11:15">
      <c r="K2236" s="1473">
        <v>44293</v>
      </c>
      <c r="L2236" s="1474" t="s">
        <v>2123</v>
      </c>
      <c r="M2236" s="1475">
        <v>1.0378999999999999E-2</v>
      </c>
      <c r="N2236" s="1476">
        <v>1.6253164622798428</v>
      </c>
      <c r="O2236" s="1476"/>
    </row>
    <row r="2237" spans="11:15">
      <c r="K2237" s="1473">
        <v>44294</v>
      </c>
      <c r="L2237" s="1474" t="s">
        <v>2123</v>
      </c>
      <c r="M2237" s="1475">
        <v>1.0378999999999999E-2</v>
      </c>
      <c r="N2237" s="1476">
        <v>1.6254851538754629</v>
      </c>
      <c r="O2237" s="1476"/>
    </row>
    <row r="2238" spans="11:15">
      <c r="K2238" s="1473">
        <v>44295</v>
      </c>
      <c r="L2238" s="1474" t="s">
        <v>2123</v>
      </c>
      <c r="M2238" s="1475">
        <v>1.0378999999999999E-2</v>
      </c>
      <c r="N2238" s="1476">
        <v>1.6256538629795838</v>
      </c>
      <c r="O2238" s="1476"/>
    </row>
    <row r="2239" spans="11:15">
      <c r="K2239" s="1473">
        <v>44296</v>
      </c>
      <c r="L2239" s="1474"/>
      <c r="M2239" s="1475">
        <v>0</v>
      </c>
      <c r="N2239" s="1476">
        <v>1.6256538629795838</v>
      </c>
      <c r="O2239" s="1476"/>
    </row>
    <row r="2240" spans="11:15">
      <c r="K2240" s="1473">
        <v>44297</v>
      </c>
      <c r="L2240" s="1474"/>
      <c r="M2240" s="1475">
        <v>0</v>
      </c>
      <c r="N2240" s="1476">
        <v>1.6256538629795838</v>
      </c>
      <c r="O2240" s="1476"/>
    </row>
    <row r="2241" spans="11:15">
      <c r="K2241" s="1473">
        <v>44298</v>
      </c>
      <c r="L2241" s="1474" t="s">
        <v>2123</v>
      </c>
      <c r="M2241" s="1475">
        <v>1.0378999999999999E-2</v>
      </c>
      <c r="N2241" s="1476">
        <v>1.6258225895940226</v>
      </c>
      <c r="O2241" s="1476"/>
    </row>
    <row r="2242" spans="11:15">
      <c r="K2242" s="1473">
        <v>44299</v>
      </c>
      <c r="L2242" s="1474" t="s">
        <v>2123</v>
      </c>
      <c r="M2242" s="1475">
        <v>1.0378999999999999E-2</v>
      </c>
      <c r="N2242" s="1476">
        <v>1.6259913337205967</v>
      </c>
      <c r="O2242" s="1476"/>
    </row>
    <row r="2243" spans="11:15">
      <c r="K2243" s="1473">
        <v>44300</v>
      </c>
      <c r="L2243" s="1474" t="s">
        <v>2123</v>
      </c>
      <c r="M2243" s="1475">
        <v>1.0378999999999999E-2</v>
      </c>
      <c r="N2243" s="1476">
        <v>1.6261600953611237</v>
      </c>
      <c r="O2243" s="1476"/>
    </row>
    <row r="2244" spans="11:15">
      <c r="K2244" s="1473">
        <v>44301</v>
      </c>
      <c r="L2244" s="1474" t="s">
        <v>2123</v>
      </c>
      <c r="M2244" s="1475">
        <v>1.0378999999999999E-2</v>
      </c>
      <c r="N2244" s="1476">
        <v>1.6263288745174214</v>
      </c>
      <c r="O2244" s="1476"/>
    </row>
    <row r="2245" spans="11:15">
      <c r="K2245" s="1473">
        <v>44302</v>
      </c>
      <c r="L2245" s="1474" t="s">
        <v>2123</v>
      </c>
      <c r="M2245" s="1475">
        <v>1.0378999999999999E-2</v>
      </c>
      <c r="N2245" s="1476">
        <v>1.6264976711913075</v>
      </c>
      <c r="O2245" s="1476"/>
    </row>
    <row r="2246" spans="11:15">
      <c r="K2246" s="1473">
        <v>44303</v>
      </c>
      <c r="L2246" s="1474"/>
      <c r="M2246" s="1475">
        <v>0</v>
      </c>
      <c r="N2246" s="1476">
        <v>1.6264976711913075</v>
      </c>
      <c r="O2246" s="1476"/>
    </row>
    <row r="2247" spans="11:15">
      <c r="K2247" s="1473">
        <v>44304</v>
      </c>
      <c r="L2247" s="1474"/>
      <c r="M2247" s="1475">
        <v>0</v>
      </c>
      <c r="N2247" s="1476">
        <v>1.6264976711913075</v>
      </c>
      <c r="O2247" s="1476"/>
    </row>
    <row r="2248" spans="11:15">
      <c r="K2248" s="1473">
        <v>44305</v>
      </c>
      <c r="L2248" s="1474" t="s">
        <v>2123</v>
      </c>
      <c r="M2248" s="1475">
        <v>1.0378999999999999E-2</v>
      </c>
      <c r="N2248" s="1476">
        <v>1.6266664853846005</v>
      </c>
      <c r="O2248" s="1476"/>
    </row>
    <row r="2249" spans="11:15">
      <c r="K2249" s="1473">
        <v>44306</v>
      </c>
      <c r="L2249" s="1474" t="s">
        <v>2123</v>
      </c>
      <c r="M2249" s="1475">
        <v>1.0378999999999999E-2</v>
      </c>
      <c r="N2249" s="1476">
        <v>1.6268353170991185</v>
      </c>
      <c r="O2249" s="1476"/>
    </row>
    <row r="2250" spans="11:15">
      <c r="K2250" s="1473">
        <v>44307</v>
      </c>
      <c r="L2250" s="1474"/>
      <c r="M2250" s="1475">
        <v>0</v>
      </c>
      <c r="N2250" s="1476">
        <v>1.6268353170991185</v>
      </c>
      <c r="O2250" s="1476"/>
    </row>
    <row r="2251" spans="11:15">
      <c r="K2251" s="1473">
        <v>44308</v>
      </c>
      <c r="L2251" s="1474" t="s">
        <v>2123</v>
      </c>
      <c r="M2251" s="1475">
        <v>1.0378999999999999E-2</v>
      </c>
      <c r="N2251" s="1476">
        <v>1.6270041663366803</v>
      </c>
      <c r="O2251" s="1476"/>
    </row>
    <row r="2252" spans="11:15">
      <c r="K2252" s="1473">
        <v>44309</v>
      </c>
      <c r="L2252" s="1474" t="s">
        <v>2123</v>
      </c>
      <c r="M2252" s="1475">
        <v>1.0378999999999999E-2</v>
      </c>
      <c r="N2252" s="1476">
        <v>1.6271730330991045</v>
      </c>
      <c r="O2252" s="1476"/>
    </row>
    <row r="2253" spans="11:15">
      <c r="K2253" s="1473">
        <v>44310</v>
      </c>
      <c r="L2253" s="1474"/>
      <c r="M2253" s="1475">
        <v>0</v>
      </c>
      <c r="N2253" s="1476">
        <v>1.6271730330991045</v>
      </c>
      <c r="O2253" s="1476"/>
    </row>
    <row r="2254" spans="11:15">
      <c r="K2254" s="1473">
        <v>44311</v>
      </c>
      <c r="L2254" s="1474"/>
      <c r="M2254" s="1475">
        <v>0</v>
      </c>
      <c r="N2254" s="1476">
        <v>1.6271730330991045</v>
      </c>
      <c r="O2254" s="1476"/>
    </row>
    <row r="2255" spans="11:15">
      <c r="K2255" s="1473">
        <v>44312</v>
      </c>
      <c r="L2255" s="1474" t="s">
        <v>2123</v>
      </c>
      <c r="M2255" s="1475">
        <v>1.0378999999999999E-2</v>
      </c>
      <c r="N2255" s="1476">
        <v>1.62734191738821</v>
      </c>
      <c r="O2255" s="1476"/>
    </row>
    <row r="2256" spans="11:15">
      <c r="K2256" s="1473">
        <v>44313</v>
      </c>
      <c r="L2256" s="1474" t="s">
        <v>2123</v>
      </c>
      <c r="M2256" s="1475">
        <v>1.0378999999999999E-2</v>
      </c>
      <c r="N2256" s="1476">
        <v>1.6275108192058159</v>
      </c>
      <c r="O2256" s="1476"/>
    </row>
    <row r="2257" spans="11:15">
      <c r="K2257" s="1473">
        <v>44314</v>
      </c>
      <c r="L2257" s="1474" t="s">
        <v>2123</v>
      </c>
      <c r="M2257" s="1475">
        <v>1.0378999999999999E-2</v>
      </c>
      <c r="N2257" s="1476">
        <v>1.6276797385537414</v>
      </c>
      <c r="O2257" s="1476"/>
    </row>
    <row r="2258" spans="11:15">
      <c r="K2258" s="1473">
        <v>44315</v>
      </c>
      <c r="L2258" s="1474" t="s">
        <v>2123</v>
      </c>
      <c r="M2258" s="1475">
        <v>1.0378999999999999E-2</v>
      </c>
      <c r="N2258" s="1476">
        <v>1.627848675433806</v>
      </c>
      <c r="O2258" s="1476"/>
    </row>
    <row r="2259" spans="11:15">
      <c r="K2259" s="1473">
        <v>44316</v>
      </c>
      <c r="L2259" s="1474" t="s">
        <v>2123</v>
      </c>
      <c r="M2259" s="1475">
        <v>1.0378999999999999E-2</v>
      </c>
      <c r="N2259" s="1476">
        <v>1.6280176298478293</v>
      </c>
      <c r="O2259" s="1476"/>
    </row>
    <row r="2260" spans="11:15">
      <c r="K2260" s="1473">
        <v>44317</v>
      </c>
      <c r="L2260" s="1474"/>
      <c r="M2260" s="1475">
        <v>0</v>
      </c>
      <c r="N2260" s="1476">
        <v>1.6280176298478293</v>
      </c>
      <c r="O2260" s="1476"/>
    </row>
    <row r="2261" spans="11:15">
      <c r="K2261" s="1473">
        <v>44318</v>
      </c>
      <c r="L2261" s="1474"/>
      <c r="M2261" s="1475">
        <v>0</v>
      </c>
      <c r="N2261" s="1476">
        <v>1.6280176298478293</v>
      </c>
      <c r="O2261" s="1476"/>
    </row>
    <row r="2262" spans="11:15">
      <c r="K2262" s="1473">
        <v>44319</v>
      </c>
      <c r="L2262" s="1474" t="s">
        <v>2123</v>
      </c>
      <c r="M2262" s="1475">
        <v>1.0378999999999999E-2</v>
      </c>
      <c r="N2262" s="1476">
        <v>1.6281866017976312</v>
      </c>
      <c r="O2262" s="1476"/>
    </row>
    <row r="2263" spans="11:15">
      <c r="K2263" s="1473">
        <v>44320</v>
      </c>
      <c r="L2263" s="1474" t="s">
        <v>2123</v>
      </c>
      <c r="M2263" s="1475">
        <v>1.0378999999999999E-2</v>
      </c>
      <c r="N2263" s="1476">
        <v>1.6283555912850318</v>
      </c>
      <c r="O2263" s="1476"/>
    </row>
    <row r="2264" spans="11:15">
      <c r="K2264" s="1473">
        <v>44321</v>
      </c>
      <c r="L2264" s="1474" t="s">
        <v>2123</v>
      </c>
      <c r="M2264" s="1475">
        <v>1.0378999999999999E-2</v>
      </c>
      <c r="N2264" s="1476">
        <v>1.6285245983118515</v>
      </c>
      <c r="O2264" s="1476"/>
    </row>
    <row r="2265" spans="11:15">
      <c r="K2265" s="1473">
        <v>44322</v>
      </c>
      <c r="L2265" s="1474" t="s">
        <v>2123</v>
      </c>
      <c r="M2265" s="1475">
        <v>1.3269E-2</v>
      </c>
      <c r="N2265" s="1476">
        <v>1.6287406872408015</v>
      </c>
      <c r="O2265" s="1476"/>
    </row>
    <row r="2266" spans="11:15">
      <c r="K2266" s="1473">
        <v>44323</v>
      </c>
      <c r="L2266" s="1474" t="s">
        <v>2123</v>
      </c>
      <c r="M2266" s="1475">
        <v>1.3269E-2</v>
      </c>
      <c r="N2266" s="1476">
        <v>1.6289568048425915</v>
      </c>
      <c r="O2266" s="1476"/>
    </row>
    <row r="2267" spans="11:15">
      <c r="K2267" s="1473">
        <v>44324</v>
      </c>
      <c r="L2267" s="1474"/>
      <c r="M2267" s="1475">
        <v>0</v>
      </c>
      <c r="N2267" s="1476">
        <v>1.6289568048425915</v>
      </c>
      <c r="O2267" s="1476"/>
    </row>
    <row r="2268" spans="11:15">
      <c r="K2268" s="1473">
        <v>44325</v>
      </c>
      <c r="L2268" s="1474"/>
      <c r="M2268" s="1475">
        <v>0</v>
      </c>
      <c r="N2268" s="1476">
        <v>1.6289568048425915</v>
      </c>
      <c r="O2268" s="1476"/>
    </row>
    <row r="2269" spans="11:15">
      <c r="K2269" s="1473">
        <v>44326</v>
      </c>
      <c r="L2269" s="1474" t="s">
        <v>2123</v>
      </c>
      <c r="M2269" s="1475">
        <v>1.3269E-2</v>
      </c>
      <c r="N2269" s="1476">
        <v>1.6291729511210262</v>
      </c>
      <c r="O2269" s="1476"/>
    </row>
    <row r="2270" spans="11:15">
      <c r="K2270" s="1473">
        <v>44327</v>
      </c>
      <c r="L2270" s="1474" t="s">
        <v>2123</v>
      </c>
      <c r="M2270" s="1475">
        <v>1.3269E-2</v>
      </c>
      <c r="N2270" s="1476">
        <v>1.6293891260799105</v>
      </c>
      <c r="O2270" s="1476"/>
    </row>
    <row r="2271" spans="11:15">
      <c r="K2271" s="1473">
        <v>44328</v>
      </c>
      <c r="L2271" s="1474" t="s">
        <v>2123</v>
      </c>
      <c r="M2271" s="1475">
        <v>1.3269E-2</v>
      </c>
      <c r="N2271" s="1476">
        <v>1.6296053297230502</v>
      </c>
      <c r="O2271" s="1476"/>
    </row>
    <row r="2272" spans="11:15">
      <c r="K2272" s="1473">
        <v>44329</v>
      </c>
      <c r="L2272" s="1474" t="s">
        <v>2123</v>
      </c>
      <c r="M2272" s="1475">
        <v>1.3269E-2</v>
      </c>
      <c r="N2272" s="1476">
        <v>1.6298215620542511</v>
      </c>
      <c r="O2272" s="1476"/>
    </row>
    <row r="2273" spans="11:15">
      <c r="K2273" s="1473">
        <v>44330</v>
      </c>
      <c r="L2273" s="1474" t="s">
        <v>2123</v>
      </c>
      <c r="M2273" s="1475">
        <v>1.3269E-2</v>
      </c>
      <c r="N2273" s="1476">
        <v>1.6300378230773203</v>
      </c>
      <c r="O2273" s="1476"/>
    </row>
    <row r="2274" spans="11:15">
      <c r="K2274" s="1473">
        <v>44331</v>
      </c>
      <c r="L2274" s="1474"/>
      <c r="M2274" s="1475">
        <v>0</v>
      </c>
      <c r="N2274" s="1476">
        <v>1.6300378230773203</v>
      </c>
      <c r="O2274" s="1476"/>
    </row>
    <row r="2275" spans="11:15">
      <c r="K2275" s="1473">
        <v>44332</v>
      </c>
      <c r="L2275" s="1474"/>
      <c r="M2275" s="1475">
        <v>0</v>
      </c>
      <c r="N2275" s="1476">
        <v>1.6300378230773203</v>
      </c>
      <c r="O2275" s="1476"/>
    </row>
    <row r="2276" spans="11:15">
      <c r="K2276" s="1473">
        <v>44333</v>
      </c>
      <c r="L2276" s="1474" t="s">
        <v>2123</v>
      </c>
      <c r="M2276" s="1475">
        <v>1.3269E-2</v>
      </c>
      <c r="N2276" s="1476">
        <v>1.6302541127960644</v>
      </c>
      <c r="O2276" s="1476"/>
    </row>
    <row r="2277" spans="11:15">
      <c r="K2277" s="1473">
        <v>44334</v>
      </c>
      <c r="L2277" s="1474" t="s">
        <v>2123</v>
      </c>
      <c r="M2277" s="1475">
        <v>1.3269E-2</v>
      </c>
      <c r="N2277" s="1476">
        <v>1.6304704312142912</v>
      </c>
      <c r="O2277" s="1476"/>
    </row>
    <row r="2278" spans="11:15">
      <c r="K2278" s="1473">
        <v>44335</v>
      </c>
      <c r="L2278" s="1474" t="s">
        <v>2123</v>
      </c>
      <c r="M2278" s="1475">
        <v>1.3269E-2</v>
      </c>
      <c r="N2278" s="1476">
        <v>1.6306867783358092</v>
      </c>
      <c r="O2278" s="1476"/>
    </row>
    <row r="2279" spans="11:15">
      <c r="K2279" s="1473">
        <v>44336</v>
      </c>
      <c r="L2279" s="1474" t="s">
        <v>2123</v>
      </c>
      <c r="M2279" s="1475">
        <v>1.3269E-2</v>
      </c>
      <c r="N2279" s="1476">
        <v>1.6309031541644268</v>
      </c>
      <c r="O2279" s="1476"/>
    </row>
    <row r="2280" spans="11:15">
      <c r="K2280" s="1473">
        <v>44337</v>
      </c>
      <c r="L2280" s="1474" t="s">
        <v>2123</v>
      </c>
      <c r="M2280" s="1475">
        <v>1.3269E-2</v>
      </c>
      <c r="N2280" s="1476">
        <v>1.6311195587039529</v>
      </c>
      <c r="O2280" s="1476"/>
    </row>
    <row r="2281" spans="11:15">
      <c r="K2281" s="1473">
        <v>44338</v>
      </c>
      <c r="L2281" s="1474"/>
      <c r="M2281" s="1475">
        <v>0</v>
      </c>
      <c r="N2281" s="1476">
        <v>1.6311195587039529</v>
      </c>
      <c r="O2281" s="1476"/>
    </row>
    <row r="2282" spans="11:15">
      <c r="K2282" s="1473">
        <v>44339</v>
      </c>
      <c r="L2282" s="1474"/>
      <c r="M2282" s="1475">
        <v>0</v>
      </c>
      <c r="N2282" s="1476">
        <v>1.6311195587039529</v>
      </c>
      <c r="O2282" s="1476"/>
    </row>
    <row r="2283" spans="11:15">
      <c r="K2283" s="1473">
        <v>44340</v>
      </c>
      <c r="L2283" s="1474" t="s">
        <v>2123</v>
      </c>
      <c r="M2283" s="1475">
        <v>1.3269E-2</v>
      </c>
      <c r="N2283" s="1476">
        <v>1.6313359919581973</v>
      </c>
      <c r="O2283" s="1476"/>
    </row>
    <row r="2284" spans="11:15">
      <c r="K2284" s="1473">
        <v>44341</v>
      </c>
      <c r="L2284" s="1474" t="s">
        <v>2123</v>
      </c>
      <c r="M2284" s="1475">
        <v>1.3269E-2</v>
      </c>
      <c r="N2284" s="1476">
        <v>1.6315524539309703</v>
      </c>
      <c r="O2284" s="1476"/>
    </row>
    <row r="2285" spans="11:15">
      <c r="K2285" s="1473">
        <v>44342</v>
      </c>
      <c r="L2285" s="1474" t="s">
        <v>2123</v>
      </c>
      <c r="M2285" s="1475">
        <v>1.3269E-2</v>
      </c>
      <c r="N2285" s="1476">
        <v>1.6317689446260824</v>
      </c>
      <c r="O2285" s="1476"/>
    </row>
    <row r="2286" spans="11:15">
      <c r="K2286" s="1473">
        <v>44343</v>
      </c>
      <c r="L2286" s="1474" t="s">
        <v>2123</v>
      </c>
      <c r="M2286" s="1475">
        <v>1.3269E-2</v>
      </c>
      <c r="N2286" s="1476">
        <v>1.6319854640473448</v>
      </c>
      <c r="O2286" s="1476"/>
    </row>
    <row r="2287" spans="11:15">
      <c r="K2287" s="1473">
        <v>44344</v>
      </c>
      <c r="L2287" s="1474" t="s">
        <v>2123</v>
      </c>
      <c r="M2287" s="1475">
        <v>1.3269E-2</v>
      </c>
      <c r="N2287" s="1476">
        <v>1.6322020121985694</v>
      </c>
      <c r="O2287" s="1476"/>
    </row>
    <row r="2288" spans="11:15">
      <c r="K2288" s="1473">
        <v>44345</v>
      </c>
      <c r="L2288" s="1474"/>
      <c r="M2288" s="1475">
        <v>0</v>
      </c>
      <c r="N2288" s="1476">
        <v>1.6322020121985694</v>
      </c>
      <c r="O2288" s="1476"/>
    </row>
    <row r="2289" spans="11:15">
      <c r="K2289" s="1473">
        <v>44346</v>
      </c>
      <c r="L2289" s="1474"/>
      <c r="M2289" s="1475">
        <v>0</v>
      </c>
      <c r="N2289" s="1476">
        <v>1.6322020121985694</v>
      </c>
      <c r="O2289" s="1476"/>
    </row>
    <row r="2290" spans="11:15">
      <c r="K2290" s="1473">
        <v>44347</v>
      </c>
      <c r="L2290" s="1474" t="s">
        <v>2123</v>
      </c>
      <c r="M2290" s="1475">
        <v>1.3269E-2</v>
      </c>
      <c r="N2290" s="1476">
        <v>1.6324185890835681</v>
      </c>
      <c r="O2290" s="1476"/>
    </row>
    <row r="2291" spans="11:15">
      <c r="K2291" s="1473">
        <v>44348</v>
      </c>
      <c r="L2291" s="1474" t="s">
        <v>2123</v>
      </c>
      <c r="M2291" s="1475">
        <v>1.3269E-2</v>
      </c>
      <c r="N2291" s="1476">
        <v>1.6326351947061537</v>
      </c>
      <c r="O2291" s="1476"/>
    </row>
    <row r="2292" spans="11:15">
      <c r="K2292" s="1473">
        <v>44349</v>
      </c>
      <c r="L2292" s="1474" t="s">
        <v>2123</v>
      </c>
      <c r="M2292" s="1475">
        <v>1.3269E-2</v>
      </c>
      <c r="N2292" s="1476">
        <v>1.6328518290701393</v>
      </c>
      <c r="O2292" s="1476"/>
    </row>
    <row r="2293" spans="11:15">
      <c r="K2293" s="1473">
        <v>44350</v>
      </c>
      <c r="L2293" s="1474"/>
      <c r="M2293" s="1475">
        <v>0</v>
      </c>
      <c r="N2293" s="1476">
        <v>1.6328518290701393</v>
      </c>
      <c r="O2293" s="1476"/>
    </row>
    <row r="2294" spans="11:15">
      <c r="K2294" s="1473">
        <v>44351</v>
      </c>
      <c r="L2294" s="1474" t="s">
        <v>2123</v>
      </c>
      <c r="M2294" s="1475">
        <v>1.3269E-2</v>
      </c>
      <c r="N2294" s="1476">
        <v>1.6330684921793386</v>
      </c>
      <c r="O2294" s="1476"/>
    </row>
    <row r="2295" spans="11:15">
      <c r="K2295" s="1473">
        <v>44352</v>
      </c>
      <c r="L2295" s="1474"/>
      <c r="M2295" s="1475">
        <v>0</v>
      </c>
      <c r="N2295" s="1476">
        <v>1.6330684921793386</v>
      </c>
      <c r="O2295" s="1476"/>
    </row>
    <row r="2296" spans="11:15">
      <c r="K2296" s="1473">
        <v>44353</v>
      </c>
      <c r="L2296" s="1474"/>
      <c r="M2296" s="1475">
        <v>0</v>
      </c>
      <c r="N2296" s="1476">
        <v>1.6330684921793386</v>
      </c>
      <c r="O2296" s="1476"/>
    </row>
    <row r="2297" spans="11:15">
      <c r="K2297" s="1473">
        <v>44354</v>
      </c>
      <c r="L2297" s="1474" t="s">
        <v>2123</v>
      </c>
      <c r="M2297" s="1475">
        <v>1.3269E-2</v>
      </c>
      <c r="N2297" s="1476">
        <v>1.633285184037566</v>
      </c>
      <c r="O2297" s="1476"/>
    </row>
    <row r="2298" spans="11:15">
      <c r="K2298" s="1473">
        <v>44355</v>
      </c>
      <c r="L2298" s="1474" t="s">
        <v>2123</v>
      </c>
      <c r="M2298" s="1475">
        <v>1.3269E-2</v>
      </c>
      <c r="N2298" s="1476">
        <v>1.6335019046486359</v>
      </c>
      <c r="O2298" s="1476"/>
    </row>
    <row r="2299" spans="11:15">
      <c r="K2299" s="1473">
        <v>44356</v>
      </c>
      <c r="L2299" s="1474" t="s">
        <v>2123</v>
      </c>
      <c r="M2299" s="1475">
        <v>1.3269E-2</v>
      </c>
      <c r="N2299" s="1476">
        <v>1.6337186540163637</v>
      </c>
      <c r="O2299" s="1476"/>
    </row>
    <row r="2300" spans="11:15">
      <c r="K2300" s="1473">
        <v>44357</v>
      </c>
      <c r="L2300" s="1474" t="s">
        <v>2123</v>
      </c>
      <c r="M2300" s="1475">
        <v>1.3269E-2</v>
      </c>
      <c r="N2300" s="1476">
        <v>1.6339354321445652</v>
      </c>
      <c r="O2300" s="1476"/>
    </row>
    <row r="2301" spans="11:15">
      <c r="K2301" s="1473">
        <v>44358</v>
      </c>
      <c r="L2301" s="1474" t="s">
        <v>2123</v>
      </c>
      <c r="M2301" s="1475">
        <v>1.3269E-2</v>
      </c>
      <c r="N2301" s="1476">
        <v>1.6341522390370564</v>
      </c>
      <c r="O2301" s="1476"/>
    </row>
    <row r="2302" spans="11:15">
      <c r="K2302" s="1473">
        <v>44359</v>
      </c>
      <c r="L2302" s="1474"/>
      <c r="M2302" s="1475">
        <v>0</v>
      </c>
      <c r="N2302" s="1476">
        <v>1.6341522390370564</v>
      </c>
      <c r="O2302" s="1476"/>
    </row>
    <row r="2303" spans="11:15">
      <c r="K2303" s="1473">
        <v>44360</v>
      </c>
      <c r="L2303" s="1474"/>
      <c r="M2303" s="1475">
        <v>0</v>
      </c>
      <c r="N2303" s="1476">
        <v>1.6341522390370564</v>
      </c>
      <c r="O2303" s="1476"/>
    </row>
    <row r="2304" spans="11:15">
      <c r="K2304" s="1473">
        <v>44361</v>
      </c>
      <c r="L2304" s="1474" t="s">
        <v>2123</v>
      </c>
      <c r="M2304" s="1475">
        <v>1.3269E-2</v>
      </c>
      <c r="N2304" s="1476">
        <v>1.6343690746976542</v>
      </c>
      <c r="O2304" s="1476"/>
    </row>
    <row r="2305" spans="11:15">
      <c r="K2305" s="1473">
        <v>44362</v>
      </c>
      <c r="L2305" s="1474" t="s">
        <v>2123</v>
      </c>
      <c r="M2305" s="1475">
        <v>1.3269E-2</v>
      </c>
      <c r="N2305" s="1476">
        <v>1.634585939130176</v>
      </c>
      <c r="O2305" s="1476"/>
    </row>
    <row r="2306" spans="11:15">
      <c r="K2306" s="1473">
        <v>44363</v>
      </c>
      <c r="L2306" s="1474" t="s">
        <v>2123</v>
      </c>
      <c r="M2306" s="1475">
        <v>1.3269E-2</v>
      </c>
      <c r="N2306" s="1476">
        <v>1.6348028323384394</v>
      </c>
      <c r="O2306" s="1476"/>
    </row>
    <row r="2307" spans="11:15">
      <c r="K2307" s="1473">
        <v>44364</v>
      </c>
      <c r="L2307" s="1474" t="s">
        <v>2123</v>
      </c>
      <c r="M2307" s="1475">
        <v>1.6136999999999999E-2</v>
      </c>
      <c r="N2307" s="1476">
        <v>1.635066640471494</v>
      </c>
      <c r="O2307" s="1476"/>
    </row>
    <row r="2308" spans="11:15">
      <c r="K2308" s="1473">
        <v>44365</v>
      </c>
      <c r="L2308" s="1474" t="s">
        <v>2123</v>
      </c>
      <c r="M2308" s="1475">
        <v>1.6136999999999999E-2</v>
      </c>
      <c r="N2308" s="1476">
        <v>1.6353304911752669</v>
      </c>
      <c r="O2308" s="1476"/>
    </row>
    <row r="2309" spans="11:15">
      <c r="K2309" s="1473">
        <v>44366</v>
      </c>
      <c r="L2309" s="1474"/>
      <c r="M2309" s="1475">
        <v>0</v>
      </c>
      <c r="N2309" s="1476">
        <v>1.6353304911752669</v>
      </c>
      <c r="O2309" s="1476"/>
    </row>
    <row r="2310" spans="11:15">
      <c r="K2310" s="1473">
        <v>44367</v>
      </c>
      <c r="L2310" s="1474"/>
      <c r="M2310" s="1475">
        <v>0</v>
      </c>
      <c r="N2310" s="1476">
        <v>1.6353304911752669</v>
      </c>
      <c r="O2310" s="1476"/>
    </row>
    <row r="2311" spans="11:15">
      <c r="K2311" s="1473">
        <v>44368</v>
      </c>
      <c r="L2311" s="1474" t="s">
        <v>2123</v>
      </c>
      <c r="M2311" s="1475">
        <v>1.6136999999999999E-2</v>
      </c>
      <c r="N2311" s="1476">
        <v>1.6355943844566279</v>
      </c>
      <c r="O2311" s="1476"/>
    </row>
    <row r="2312" spans="11:15">
      <c r="K2312" s="1473">
        <v>44369</v>
      </c>
      <c r="L2312" s="1474" t="s">
        <v>2123</v>
      </c>
      <c r="M2312" s="1475">
        <v>1.6136999999999999E-2</v>
      </c>
      <c r="N2312" s="1476">
        <v>1.6358583203224477</v>
      </c>
      <c r="O2312" s="1476"/>
    </row>
    <row r="2313" spans="11:15">
      <c r="K2313" s="1473">
        <v>44370</v>
      </c>
      <c r="L2313" s="1474" t="s">
        <v>2123</v>
      </c>
      <c r="M2313" s="1475">
        <v>1.6136999999999999E-2</v>
      </c>
      <c r="N2313" s="1476">
        <v>1.6361222987795982</v>
      </c>
      <c r="O2313" s="1476"/>
    </row>
    <row r="2314" spans="11:15">
      <c r="K2314" s="1473">
        <v>44371</v>
      </c>
      <c r="L2314" s="1474" t="s">
        <v>2123</v>
      </c>
      <c r="M2314" s="1475">
        <v>1.6136999999999999E-2</v>
      </c>
      <c r="N2314" s="1476">
        <v>1.6363863198349524</v>
      </c>
      <c r="O2314" s="1476"/>
    </row>
    <row r="2315" spans="11:15">
      <c r="K2315" s="1473">
        <v>44372</v>
      </c>
      <c r="L2315" s="1474" t="s">
        <v>2123</v>
      </c>
      <c r="M2315" s="1475">
        <v>1.6136999999999999E-2</v>
      </c>
      <c r="N2315" s="1476">
        <v>1.6366503834953843</v>
      </c>
      <c r="O2315" s="1476"/>
    </row>
    <row r="2316" spans="11:15">
      <c r="K2316" s="1473">
        <v>44373</v>
      </c>
      <c r="L2316" s="1474"/>
      <c r="M2316" s="1475">
        <v>0</v>
      </c>
      <c r="N2316" s="1476">
        <v>1.6366503834953843</v>
      </c>
      <c r="O2316" s="1476"/>
    </row>
    <row r="2317" spans="11:15">
      <c r="K2317" s="1473">
        <v>44374</v>
      </c>
      <c r="L2317" s="1474"/>
      <c r="M2317" s="1475">
        <v>0</v>
      </c>
      <c r="N2317" s="1476">
        <v>1.6366503834953843</v>
      </c>
      <c r="O2317" s="1476"/>
    </row>
    <row r="2318" spans="11:15">
      <c r="K2318" s="1473">
        <v>44375</v>
      </c>
      <c r="L2318" s="1474" t="s">
        <v>2123</v>
      </c>
      <c r="M2318" s="1475">
        <v>1.6136999999999999E-2</v>
      </c>
      <c r="N2318" s="1476">
        <v>1.636914489767769</v>
      </c>
      <c r="O2318" s="1476"/>
    </row>
    <row r="2319" spans="11:15">
      <c r="K2319" s="1473">
        <v>44376</v>
      </c>
      <c r="L2319" s="1474" t="s">
        <v>2123</v>
      </c>
      <c r="M2319" s="1475">
        <v>1.6136999999999999E-2</v>
      </c>
      <c r="N2319" s="1476">
        <v>1.6371786386589828</v>
      </c>
      <c r="O2319" s="1476"/>
    </row>
    <row r="2320" spans="11:15">
      <c r="K2320" s="1473">
        <v>44377</v>
      </c>
      <c r="L2320" s="1474" t="s">
        <v>2123</v>
      </c>
      <c r="M2320" s="1475">
        <v>1.6136999999999999E-2</v>
      </c>
      <c r="N2320" s="1476">
        <v>1.6374428301759034</v>
      </c>
      <c r="O2320" s="1476"/>
    </row>
    <row r="2321" spans="11:15">
      <c r="K2321" s="1473">
        <v>44378</v>
      </c>
      <c r="L2321" s="1474" t="s">
        <v>2123</v>
      </c>
      <c r="M2321" s="1475">
        <v>1.6136999999999999E-2</v>
      </c>
      <c r="N2321" s="1476">
        <v>1.637707064325409</v>
      </c>
      <c r="O2321" s="1476"/>
    </row>
    <row r="2322" spans="11:15">
      <c r="K2322" s="1473">
        <v>44379</v>
      </c>
      <c r="L2322" s="1474" t="s">
        <v>2123</v>
      </c>
      <c r="M2322" s="1475">
        <v>1.6136999999999999E-2</v>
      </c>
      <c r="N2322" s="1476">
        <v>1.6379713411143793</v>
      </c>
      <c r="O2322" s="1476"/>
    </row>
    <row r="2323" spans="11:15">
      <c r="K2323" s="1473">
        <v>44380</v>
      </c>
      <c r="L2323" s="1474"/>
      <c r="M2323" s="1475">
        <v>0</v>
      </c>
      <c r="N2323" s="1476">
        <v>1.6379713411143793</v>
      </c>
      <c r="O2323" s="1476"/>
    </row>
    <row r="2324" spans="11:15">
      <c r="K2324" s="1473">
        <v>44381</v>
      </c>
      <c r="L2324" s="1474"/>
      <c r="M2324" s="1475">
        <v>0</v>
      </c>
      <c r="N2324" s="1476">
        <v>1.6379713411143793</v>
      </c>
      <c r="O2324" s="1476"/>
    </row>
    <row r="2325" spans="11:15">
      <c r="K2325" s="1473">
        <v>44382</v>
      </c>
      <c r="L2325" s="1474" t="s">
        <v>2123</v>
      </c>
      <c r="M2325" s="1475">
        <v>1.6136999999999999E-2</v>
      </c>
      <c r="N2325" s="1476">
        <v>1.638235660549695</v>
      </c>
      <c r="O2325" s="1476"/>
    </row>
    <row r="2326" spans="11:15">
      <c r="K2326" s="1473">
        <v>44383</v>
      </c>
      <c r="L2326" s="1474" t="s">
        <v>2123</v>
      </c>
      <c r="M2326" s="1475">
        <v>1.6136999999999999E-2</v>
      </c>
      <c r="N2326" s="1476">
        <v>1.638500022638238</v>
      </c>
      <c r="O2326" s="1476"/>
    </row>
    <row r="2327" spans="11:15">
      <c r="K2327" s="1473">
        <v>44384</v>
      </c>
      <c r="L2327" s="1474" t="s">
        <v>2123</v>
      </c>
      <c r="M2327" s="1475">
        <v>1.6136999999999999E-2</v>
      </c>
      <c r="N2327" s="1476">
        <v>1.6387644273868913</v>
      </c>
      <c r="O2327" s="1476"/>
    </row>
    <row r="2328" spans="11:15">
      <c r="K2328" s="1473">
        <v>44385</v>
      </c>
      <c r="L2328" s="1474" t="s">
        <v>2123</v>
      </c>
      <c r="M2328" s="1475">
        <v>1.6136999999999999E-2</v>
      </c>
      <c r="N2328" s="1476">
        <v>1.6390288748025388</v>
      </c>
      <c r="O2328" s="1476"/>
    </row>
    <row r="2329" spans="11:15">
      <c r="K2329" s="1473">
        <v>44386</v>
      </c>
      <c r="L2329" s="1474" t="s">
        <v>2123</v>
      </c>
      <c r="M2329" s="1475">
        <v>1.6136999999999999E-2</v>
      </c>
      <c r="N2329" s="1476">
        <v>1.6392933648920658</v>
      </c>
      <c r="O2329" s="1476"/>
    </row>
    <row r="2330" spans="11:15">
      <c r="K2330" s="1473">
        <v>44387</v>
      </c>
      <c r="L2330" s="1474"/>
      <c r="M2330" s="1475">
        <v>0</v>
      </c>
      <c r="N2330" s="1476">
        <v>1.6392933648920658</v>
      </c>
      <c r="O2330" s="1476"/>
    </row>
    <row r="2331" spans="11:15">
      <c r="K2331" s="1473">
        <v>44388</v>
      </c>
      <c r="L2331" s="1474"/>
      <c r="M2331" s="1475">
        <v>0</v>
      </c>
      <c r="N2331" s="1476">
        <v>1.6392933648920658</v>
      </c>
      <c r="O2331" s="1476"/>
    </row>
    <row r="2332" spans="11:15">
      <c r="K2332" s="1473">
        <v>44389</v>
      </c>
      <c r="L2332" s="1474" t="s">
        <v>2123</v>
      </c>
      <c r="M2332" s="1475">
        <v>1.6136999999999999E-2</v>
      </c>
      <c r="N2332" s="1476">
        <v>1.6395578976623586</v>
      </c>
      <c r="O2332" s="1476"/>
    </row>
    <row r="2333" spans="11:15">
      <c r="K2333" s="1473">
        <v>44390</v>
      </c>
      <c r="L2333" s="1474" t="s">
        <v>2123</v>
      </c>
      <c r="M2333" s="1475">
        <v>1.6136999999999999E-2</v>
      </c>
      <c r="N2333" s="1476">
        <v>1.6398224731203044</v>
      </c>
      <c r="O2333" s="1476"/>
    </row>
    <row r="2334" spans="11:15">
      <c r="K2334" s="1473">
        <v>44391</v>
      </c>
      <c r="L2334" s="1474" t="s">
        <v>2123</v>
      </c>
      <c r="M2334" s="1475">
        <v>1.6136999999999999E-2</v>
      </c>
      <c r="N2334" s="1476">
        <v>1.6400870912727918</v>
      </c>
      <c r="O2334" s="1476"/>
    </row>
    <row r="2335" spans="11:15">
      <c r="K2335" s="1473">
        <v>44392</v>
      </c>
      <c r="L2335" s="1474" t="s">
        <v>2123</v>
      </c>
      <c r="M2335" s="1475">
        <v>1.6136999999999999E-2</v>
      </c>
      <c r="N2335" s="1476">
        <v>1.6403517521267106</v>
      </c>
      <c r="O2335" s="1476"/>
    </row>
    <row r="2336" spans="11:15">
      <c r="K2336" s="1473">
        <v>44393</v>
      </c>
      <c r="L2336" s="1474" t="s">
        <v>2123</v>
      </c>
      <c r="M2336" s="1475">
        <v>1.6136999999999999E-2</v>
      </c>
      <c r="N2336" s="1476">
        <v>1.6406164556889513</v>
      </c>
      <c r="O2336" s="1476"/>
    </row>
    <row r="2337" spans="11:15">
      <c r="K2337" s="1473">
        <v>44394</v>
      </c>
      <c r="L2337" s="1474"/>
      <c r="M2337" s="1475">
        <v>0</v>
      </c>
      <c r="N2337" s="1476">
        <v>1.6406164556889513</v>
      </c>
      <c r="O2337" s="1476"/>
    </row>
    <row r="2338" spans="11:15">
      <c r="K2338" s="1473">
        <v>44395</v>
      </c>
      <c r="L2338" s="1474"/>
      <c r="M2338" s="1475">
        <v>0</v>
      </c>
      <c r="N2338" s="1476">
        <v>1.6406164556889513</v>
      </c>
      <c r="O2338" s="1476"/>
    </row>
    <row r="2339" spans="11:15">
      <c r="K2339" s="1473">
        <v>44396</v>
      </c>
      <c r="L2339" s="1474" t="s">
        <v>2123</v>
      </c>
      <c r="M2339" s="1475">
        <v>1.6136999999999999E-2</v>
      </c>
      <c r="N2339" s="1476">
        <v>1.6408812019664059</v>
      </c>
      <c r="O2339" s="1476"/>
    </row>
    <row r="2340" spans="11:15">
      <c r="K2340" s="1473">
        <v>44397</v>
      </c>
      <c r="L2340" s="1474" t="s">
        <v>2123</v>
      </c>
      <c r="M2340" s="1475">
        <v>1.6136999999999999E-2</v>
      </c>
      <c r="N2340" s="1476">
        <v>1.6411459909659674</v>
      </c>
      <c r="O2340" s="1476"/>
    </row>
    <row r="2341" spans="11:15">
      <c r="K2341" s="1473">
        <v>44398</v>
      </c>
      <c r="L2341" s="1474" t="s">
        <v>2123</v>
      </c>
      <c r="M2341" s="1475">
        <v>1.6136999999999999E-2</v>
      </c>
      <c r="N2341" s="1476">
        <v>1.6414108226945296</v>
      </c>
      <c r="O2341" s="1476"/>
    </row>
    <row r="2342" spans="11:15">
      <c r="K2342" s="1473">
        <v>44399</v>
      </c>
      <c r="L2342" s="1474" t="s">
        <v>2123</v>
      </c>
      <c r="M2342" s="1475">
        <v>1.6136999999999999E-2</v>
      </c>
      <c r="N2342" s="1476">
        <v>1.6416756971589879</v>
      </c>
      <c r="O2342" s="1476"/>
    </row>
    <row r="2343" spans="11:15">
      <c r="K2343" s="1473">
        <v>44400</v>
      </c>
      <c r="L2343" s="1474" t="s">
        <v>2123</v>
      </c>
      <c r="M2343" s="1475">
        <v>1.6136999999999999E-2</v>
      </c>
      <c r="N2343" s="1476">
        <v>1.6419406143662385</v>
      </c>
      <c r="O2343" s="1476"/>
    </row>
    <row r="2344" spans="11:15">
      <c r="K2344" s="1473">
        <v>44401</v>
      </c>
      <c r="L2344" s="1474"/>
      <c r="M2344" s="1475">
        <v>0</v>
      </c>
      <c r="N2344" s="1476">
        <v>1.6419406143662385</v>
      </c>
      <c r="O2344" s="1476"/>
    </row>
    <row r="2345" spans="11:15">
      <c r="K2345" s="1473">
        <v>44402</v>
      </c>
      <c r="L2345" s="1474"/>
      <c r="M2345" s="1475">
        <v>0</v>
      </c>
      <c r="N2345" s="1476">
        <v>1.6419406143662385</v>
      </c>
      <c r="O2345" s="1476"/>
    </row>
    <row r="2346" spans="11:15">
      <c r="K2346" s="1473">
        <v>44403</v>
      </c>
      <c r="L2346" s="1474" t="s">
        <v>2123</v>
      </c>
      <c r="M2346" s="1475">
        <v>1.6136999999999999E-2</v>
      </c>
      <c r="N2346" s="1476">
        <v>1.6422055743231789</v>
      </c>
      <c r="O2346" s="1476"/>
    </row>
    <row r="2347" spans="11:15">
      <c r="K2347" s="1473">
        <v>44404</v>
      </c>
      <c r="L2347" s="1474" t="s">
        <v>2123</v>
      </c>
      <c r="M2347" s="1475">
        <v>1.6136999999999999E-2</v>
      </c>
      <c r="N2347" s="1476">
        <v>1.6424705770367076</v>
      </c>
      <c r="O2347" s="1476"/>
    </row>
    <row r="2348" spans="11:15">
      <c r="K2348" s="1473">
        <v>44405</v>
      </c>
      <c r="L2348" s="1474" t="s">
        <v>2123</v>
      </c>
      <c r="M2348" s="1475">
        <v>1.6136999999999999E-2</v>
      </c>
      <c r="N2348" s="1476">
        <v>1.6427356225137242</v>
      </c>
      <c r="O2348" s="1476"/>
    </row>
    <row r="2349" spans="11:15">
      <c r="K2349" s="1473">
        <v>44406</v>
      </c>
      <c r="L2349" s="1474" t="s">
        <v>2123</v>
      </c>
      <c r="M2349" s="1475">
        <v>1.6136999999999999E-2</v>
      </c>
      <c r="N2349" s="1476">
        <v>1.6430007107611293</v>
      </c>
      <c r="O2349" s="1476"/>
    </row>
    <row r="2350" spans="11:15">
      <c r="K2350" s="1473">
        <v>44407</v>
      </c>
      <c r="L2350" s="1474" t="s">
        <v>2123</v>
      </c>
      <c r="M2350" s="1475">
        <v>1.6136999999999999E-2</v>
      </c>
      <c r="N2350" s="1476">
        <v>1.6432658417858248</v>
      </c>
      <c r="O2350" s="1476"/>
    </row>
    <row r="2351" spans="11:15">
      <c r="K2351" s="1473">
        <v>44408</v>
      </c>
      <c r="L2351" s="1474"/>
      <c r="M2351" s="1475">
        <v>0</v>
      </c>
      <c r="N2351" s="1476">
        <v>1.6432658417858248</v>
      </c>
      <c r="O2351" s="1476"/>
    </row>
    <row r="2352" spans="11:15">
      <c r="K2352" s="1473">
        <v>44409</v>
      </c>
      <c r="L2352" s="1474"/>
      <c r="M2352" s="1475">
        <v>0</v>
      </c>
      <c r="N2352" s="1476">
        <v>1.6432658417858248</v>
      </c>
      <c r="O2352" s="1476"/>
    </row>
    <row r="2353" spans="11:15">
      <c r="K2353" s="1473">
        <v>44410</v>
      </c>
      <c r="L2353" s="1474" t="s">
        <v>2123</v>
      </c>
      <c r="M2353" s="1475">
        <v>1.6136999999999999E-2</v>
      </c>
      <c r="N2353" s="1476">
        <v>1.6435310155947138</v>
      </c>
      <c r="O2353" s="1476"/>
    </row>
    <row r="2354" spans="11:15">
      <c r="K2354" s="1473">
        <v>44411</v>
      </c>
      <c r="L2354" s="1474" t="s">
        <v>2123</v>
      </c>
      <c r="M2354" s="1475">
        <v>1.6136999999999999E-2</v>
      </c>
      <c r="N2354" s="1476">
        <v>1.6437962321947004</v>
      </c>
      <c r="O2354" s="1476"/>
    </row>
    <row r="2355" spans="11:15">
      <c r="K2355" s="1473">
        <v>44412</v>
      </c>
      <c r="L2355" s="1474" t="s">
        <v>2123</v>
      </c>
      <c r="M2355" s="1475">
        <v>1.6136999999999999E-2</v>
      </c>
      <c r="N2355" s="1476">
        <v>1.6440614915926897</v>
      </c>
      <c r="O2355" s="1476"/>
    </row>
    <row r="2356" spans="11:15">
      <c r="K2356" s="1473">
        <v>44413</v>
      </c>
      <c r="L2356" s="1474" t="s">
        <v>2123</v>
      </c>
      <c r="M2356" s="1475">
        <v>1.993E-2</v>
      </c>
      <c r="N2356" s="1476">
        <v>1.6443891530479642</v>
      </c>
      <c r="O2356" s="1476"/>
    </row>
    <row r="2357" spans="11:15">
      <c r="K2357" s="1473">
        <v>44414</v>
      </c>
      <c r="L2357" s="1474" t="s">
        <v>2123</v>
      </c>
      <c r="M2357" s="1475">
        <v>1.993E-2</v>
      </c>
      <c r="N2357" s="1476">
        <v>1.6447168798061667</v>
      </c>
      <c r="O2357" s="1476"/>
    </row>
    <row r="2358" spans="11:15">
      <c r="K2358" s="1473">
        <v>44415</v>
      </c>
      <c r="L2358" s="1474"/>
      <c r="M2358" s="1475">
        <v>0</v>
      </c>
      <c r="N2358" s="1476">
        <v>1.6447168798061667</v>
      </c>
      <c r="O2358" s="1476"/>
    </row>
    <row r="2359" spans="11:15">
      <c r="K2359" s="1473">
        <v>44416</v>
      </c>
      <c r="L2359" s="1474"/>
      <c r="M2359" s="1475">
        <v>0</v>
      </c>
      <c r="N2359" s="1476">
        <v>1.6447168798061667</v>
      </c>
      <c r="O2359" s="1476"/>
    </row>
    <row r="2360" spans="11:15">
      <c r="K2360" s="1473">
        <v>44417</v>
      </c>
      <c r="L2360" s="1474" t="s">
        <v>2123</v>
      </c>
      <c r="M2360" s="1475">
        <v>1.993E-2</v>
      </c>
      <c r="N2360" s="1476">
        <v>1.645044671880312</v>
      </c>
      <c r="O2360" s="1476"/>
    </row>
    <row r="2361" spans="11:15">
      <c r="K2361" s="1473">
        <v>44418</v>
      </c>
      <c r="L2361" s="1474" t="s">
        <v>2123</v>
      </c>
      <c r="M2361" s="1475">
        <v>1.993E-2</v>
      </c>
      <c r="N2361" s="1476">
        <v>1.6453725292834178</v>
      </c>
      <c r="O2361" s="1476"/>
    </row>
    <row r="2362" spans="11:15">
      <c r="K2362" s="1473">
        <v>44419</v>
      </c>
      <c r="L2362" s="1474" t="s">
        <v>2123</v>
      </c>
      <c r="M2362" s="1475">
        <v>1.993E-2</v>
      </c>
      <c r="N2362" s="1476">
        <v>1.6457004520285041</v>
      </c>
      <c r="O2362" s="1476"/>
    </row>
    <row r="2363" spans="11:15">
      <c r="K2363" s="1473">
        <v>44420</v>
      </c>
      <c r="L2363" s="1474" t="s">
        <v>2123</v>
      </c>
      <c r="M2363" s="1475">
        <v>1.993E-2</v>
      </c>
      <c r="N2363" s="1476">
        <v>1.6460284401285934</v>
      </c>
      <c r="O2363" s="1476"/>
    </row>
    <row r="2364" spans="11:15">
      <c r="K2364" s="1473">
        <v>44421</v>
      </c>
      <c r="L2364" s="1474" t="s">
        <v>2123</v>
      </c>
      <c r="M2364" s="1475">
        <v>1.993E-2</v>
      </c>
      <c r="N2364" s="1476">
        <v>1.646356493596711</v>
      </c>
      <c r="O2364" s="1476"/>
    </row>
    <row r="2365" spans="11:15">
      <c r="K2365" s="1473">
        <v>44422</v>
      </c>
      <c r="L2365" s="1474"/>
      <c r="M2365" s="1475">
        <v>0</v>
      </c>
      <c r="N2365" s="1476">
        <v>1.646356493596711</v>
      </c>
      <c r="O2365" s="1476"/>
    </row>
    <row r="2366" spans="11:15">
      <c r="K2366" s="1473">
        <v>44423</v>
      </c>
      <c r="L2366" s="1474"/>
      <c r="M2366" s="1475">
        <v>0</v>
      </c>
      <c r="N2366" s="1476">
        <v>1.646356493596711</v>
      </c>
      <c r="O2366" s="1476"/>
    </row>
    <row r="2367" spans="11:15">
      <c r="K2367" s="1473">
        <v>44424</v>
      </c>
      <c r="L2367" s="1474" t="s">
        <v>2123</v>
      </c>
      <c r="M2367" s="1475">
        <v>1.993E-2</v>
      </c>
      <c r="N2367" s="1476">
        <v>1.6466846124458849</v>
      </c>
      <c r="O2367" s="1476"/>
    </row>
    <row r="2368" spans="11:15">
      <c r="K2368" s="1473">
        <v>44425</v>
      </c>
      <c r="L2368" s="1474" t="s">
        <v>2123</v>
      </c>
      <c r="M2368" s="1475">
        <v>1.993E-2</v>
      </c>
      <c r="N2368" s="1476">
        <v>1.6470127966891455</v>
      </c>
      <c r="O2368" s="1476"/>
    </row>
    <row r="2369" spans="11:15">
      <c r="K2369" s="1473">
        <v>44426</v>
      </c>
      <c r="L2369" s="1474" t="s">
        <v>2123</v>
      </c>
      <c r="M2369" s="1475">
        <v>1.993E-2</v>
      </c>
      <c r="N2369" s="1476">
        <v>1.6473410463395257</v>
      </c>
      <c r="O2369" s="1476"/>
    </row>
    <row r="2370" spans="11:15">
      <c r="K2370" s="1473">
        <v>44427</v>
      </c>
      <c r="L2370" s="1474" t="s">
        <v>2123</v>
      </c>
      <c r="M2370" s="1475">
        <v>1.993E-2</v>
      </c>
      <c r="N2370" s="1476">
        <v>1.6476693614100613</v>
      </c>
      <c r="O2370" s="1476"/>
    </row>
    <row r="2371" spans="11:15">
      <c r="K2371" s="1473">
        <v>44428</v>
      </c>
      <c r="L2371" s="1474" t="s">
        <v>2123</v>
      </c>
      <c r="M2371" s="1475">
        <v>1.993E-2</v>
      </c>
      <c r="N2371" s="1476">
        <v>1.6479977419137903</v>
      </c>
      <c r="O2371" s="1476"/>
    </row>
    <row r="2372" spans="11:15">
      <c r="K2372" s="1473">
        <v>44429</v>
      </c>
      <c r="L2372" s="1474"/>
      <c r="M2372" s="1475">
        <v>0</v>
      </c>
      <c r="N2372" s="1476">
        <v>1.6479977419137903</v>
      </c>
      <c r="O2372" s="1476"/>
    </row>
    <row r="2373" spans="11:15">
      <c r="K2373" s="1473">
        <v>44430</v>
      </c>
      <c r="L2373" s="1474"/>
      <c r="M2373" s="1475">
        <v>0</v>
      </c>
      <c r="N2373" s="1476">
        <v>1.6479977419137903</v>
      </c>
      <c r="O2373" s="1476"/>
    </row>
    <row r="2374" spans="11:15">
      <c r="K2374" s="1473">
        <v>44431</v>
      </c>
      <c r="L2374" s="1474" t="s">
        <v>2123</v>
      </c>
      <c r="M2374" s="1475">
        <v>1.993E-2</v>
      </c>
      <c r="N2374" s="1476">
        <v>1.6483261878637538</v>
      </c>
      <c r="O2374" s="1476"/>
    </row>
    <row r="2375" spans="11:15">
      <c r="K2375" s="1473">
        <v>44432</v>
      </c>
      <c r="L2375" s="1474" t="s">
        <v>2123</v>
      </c>
      <c r="M2375" s="1475">
        <v>1.993E-2</v>
      </c>
      <c r="N2375" s="1476">
        <v>1.6486546992729951</v>
      </c>
      <c r="O2375" s="1476"/>
    </row>
    <row r="2376" spans="11:15">
      <c r="K2376" s="1473">
        <v>44433</v>
      </c>
      <c r="L2376" s="1474" t="s">
        <v>2123</v>
      </c>
      <c r="M2376" s="1475">
        <v>1.993E-2</v>
      </c>
      <c r="N2376" s="1476">
        <v>1.6489832761545602</v>
      </c>
      <c r="O2376" s="1476"/>
    </row>
    <row r="2377" spans="11:15">
      <c r="K2377" s="1473">
        <v>44434</v>
      </c>
      <c r="L2377" s="1474" t="s">
        <v>2123</v>
      </c>
      <c r="M2377" s="1475">
        <v>1.993E-2</v>
      </c>
      <c r="N2377" s="1476">
        <v>1.6493119185214977</v>
      </c>
      <c r="O2377" s="1476"/>
    </row>
    <row r="2378" spans="11:15">
      <c r="K2378" s="1473">
        <v>44435</v>
      </c>
      <c r="L2378" s="1474" t="s">
        <v>2123</v>
      </c>
      <c r="M2378" s="1475">
        <v>1.993E-2</v>
      </c>
      <c r="N2378" s="1476">
        <v>1.649640626386859</v>
      </c>
      <c r="O2378" s="1476"/>
    </row>
    <row r="2379" spans="11:15">
      <c r="K2379" s="1473">
        <v>44436</v>
      </c>
      <c r="L2379" s="1474"/>
      <c r="M2379" s="1475">
        <v>0</v>
      </c>
      <c r="N2379" s="1476">
        <v>1.649640626386859</v>
      </c>
      <c r="O2379" s="1476"/>
    </row>
    <row r="2380" spans="11:15">
      <c r="K2380" s="1473">
        <v>44437</v>
      </c>
      <c r="L2380" s="1474"/>
      <c r="M2380" s="1475">
        <v>0</v>
      </c>
      <c r="N2380" s="1476">
        <v>1.649640626386859</v>
      </c>
      <c r="O2380" s="1476"/>
    </row>
    <row r="2381" spans="11:15">
      <c r="K2381" s="1473">
        <v>44438</v>
      </c>
      <c r="L2381" s="1474" t="s">
        <v>2123</v>
      </c>
      <c r="M2381" s="1475">
        <v>1.993E-2</v>
      </c>
      <c r="N2381" s="1476">
        <v>1.6499693997636979</v>
      </c>
      <c r="O2381" s="1476"/>
    </row>
    <row r="2382" spans="11:15">
      <c r="K2382" s="1473">
        <v>44439</v>
      </c>
      <c r="L2382" s="1474" t="s">
        <v>2123</v>
      </c>
      <c r="M2382" s="1475">
        <v>1.993E-2</v>
      </c>
      <c r="N2382" s="1476">
        <v>1.6502982386650709</v>
      </c>
      <c r="O2382" s="1476"/>
    </row>
    <row r="2383" spans="11:15">
      <c r="K2383" s="1473">
        <v>44440</v>
      </c>
      <c r="L2383" s="1474" t="s">
        <v>2123</v>
      </c>
      <c r="M2383" s="1475">
        <v>1.993E-2</v>
      </c>
      <c r="N2383" s="1476">
        <v>1.6506271431040369</v>
      </c>
      <c r="O2383" s="1476"/>
    </row>
    <row r="2384" spans="11:15">
      <c r="K2384" s="1473">
        <v>44441</v>
      </c>
      <c r="L2384" s="1474" t="s">
        <v>2123</v>
      </c>
      <c r="M2384" s="1475">
        <v>1.993E-2</v>
      </c>
      <c r="N2384" s="1476">
        <v>1.6509561130936576</v>
      </c>
      <c r="O2384" s="1476"/>
    </row>
    <row r="2385" spans="11:15">
      <c r="K2385" s="1473">
        <v>44442</v>
      </c>
      <c r="L2385" s="1474" t="s">
        <v>2123</v>
      </c>
      <c r="M2385" s="1475">
        <v>1.993E-2</v>
      </c>
      <c r="N2385" s="1476">
        <v>1.6512851486469973</v>
      </c>
      <c r="O2385" s="1476"/>
    </row>
    <row r="2386" spans="11:15">
      <c r="K2386" s="1473">
        <v>44443</v>
      </c>
      <c r="L2386" s="1474"/>
      <c r="M2386" s="1475">
        <v>0</v>
      </c>
      <c r="N2386" s="1476">
        <v>1.6512851486469973</v>
      </c>
      <c r="O2386" s="1476"/>
    </row>
    <row r="2387" spans="11:15">
      <c r="K2387" s="1473">
        <v>44444</v>
      </c>
      <c r="L2387" s="1474"/>
      <c r="M2387" s="1475">
        <v>0</v>
      </c>
      <c r="N2387" s="1476">
        <v>1.6512851486469973</v>
      </c>
      <c r="O2387" s="1476"/>
    </row>
    <row r="2388" spans="11:15">
      <c r="K2388" s="1473">
        <v>44445</v>
      </c>
      <c r="L2388" s="1474" t="s">
        <v>2123</v>
      </c>
      <c r="M2388" s="1475">
        <v>1.993E-2</v>
      </c>
      <c r="N2388" s="1476">
        <v>1.6516142497771227</v>
      </c>
      <c r="O2388" s="1476"/>
    </row>
    <row r="2389" spans="11:15">
      <c r="K2389" s="1473">
        <v>44446</v>
      </c>
      <c r="L2389" s="1474"/>
      <c r="M2389" s="1475">
        <v>0</v>
      </c>
      <c r="N2389" s="1476">
        <v>1.6516142497771227</v>
      </c>
      <c r="O2389" s="1476"/>
    </row>
    <row r="2390" spans="11:15">
      <c r="K2390" s="1473">
        <v>44447</v>
      </c>
      <c r="L2390" s="1474" t="s">
        <v>2123</v>
      </c>
      <c r="M2390" s="1475">
        <v>1.993E-2</v>
      </c>
      <c r="N2390" s="1476">
        <v>1.6519434164971032</v>
      </c>
      <c r="O2390" s="1476"/>
    </row>
    <row r="2391" spans="11:15">
      <c r="K2391" s="1473">
        <v>44448</v>
      </c>
      <c r="L2391" s="1474" t="s">
        <v>2123</v>
      </c>
      <c r="M2391" s="1475">
        <v>1.993E-2</v>
      </c>
      <c r="N2391" s="1476">
        <v>1.652272648820011</v>
      </c>
      <c r="O2391" s="1476"/>
    </row>
    <row r="2392" spans="11:15">
      <c r="K2392" s="1473">
        <v>44449</v>
      </c>
      <c r="L2392" s="1474" t="s">
        <v>2123</v>
      </c>
      <c r="M2392" s="1475">
        <v>1.993E-2</v>
      </c>
      <c r="N2392" s="1476">
        <v>1.6526019467589208</v>
      </c>
      <c r="O2392" s="1476"/>
    </row>
    <row r="2393" spans="11:15">
      <c r="K2393" s="1473">
        <v>44450</v>
      </c>
      <c r="L2393" s="1474"/>
      <c r="M2393" s="1475">
        <v>0</v>
      </c>
      <c r="N2393" s="1476">
        <v>1.6526019467589208</v>
      </c>
      <c r="O2393" s="1476"/>
    </row>
    <row r="2394" spans="11:15">
      <c r="K2394" s="1473">
        <v>44451</v>
      </c>
      <c r="L2394" s="1474"/>
      <c r="M2394" s="1475">
        <v>0</v>
      </c>
      <c r="N2394" s="1476">
        <v>1.6526019467589208</v>
      </c>
      <c r="O2394" s="1476"/>
    </row>
    <row r="2395" spans="11:15">
      <c r="K2395" s="1473">
        <v>44452</v>
      </c>
      <c r="L2395" s="1474" t="s">
        <v>2123</v>
      </c>
      <c r="M2395" s="1475">
        <v>1.993E-2</v>
      </c>
      <c r="N2395" s="1476">
        <v>1.6529313103269099</v>
      </c>
      <c r="O2395" s="1476"/>
    </row>
    <row r="2396" spans="11:15">
      <c r="K2396" s="1473">
        <v>44453</v>
      </c>
      <c r="L2396" s="1474" t="s">
        <v>2123</v>
      </c>
      <c r="M2396" s="1475">
        <v>1.993E-2</v>
      </c>
      <c r="N2396" s="1476">
        <v>1.653260739537058</v>
      </c>
      <c r="O2396" s="1476"/>
    </row>
    <row r="2397" spans="11:15">
      <c r="K2397" s="1473">
        <v>44454</v>
      </c>
      <c r="L2397" s="1474" t="s">
        <v>2123</v>
      </c>
      <c r="M2397" s="1475">
        <v>1.993E-2</v>
      </c>
      <c r="N2397" s="1476">
        <v>1.6535902344024478</v>
      </c>
      <c r="O2397" s="1476"/>
    </row>
    <row r="2398" spans="11:15">
      <c r="K2398" s="1473">
        <v>44455</v>
      </c>
      <c r="L2398" s="1474" t="s">
        <v>2123</v>
      </c>
      <c r="M2398" s="1475">
        <v>1.993E-2</v>
      </c>
      <c r="N2398" s="1476">
        <v>1.6539197949361641</v>
      </c>
      <c r="O2398" s="1476"/>
    </row>
    <row r="2399" spans="11:15">
      <c r="K2399" s="1473">
        <v>44456</v>
      </c>
      <c r="L2399" s="1474" t="s">
        <v>2123</v>
      </c>
      <c r="M2399" s="1475">
        <v>1.993E-2</v>
      </c>
      <c r="N2399" s="1476">
        <v>1.654249421151295</v>
      </c>
      <c r="O2399" s="1476"/>
    </row>
    <row r="2400" spans="11:15">
      <c r="K2400" s="1473">
        <v>44457</v>
      </c>
      <c r="L2400" s="1474"/>
      <c r="M2400" s="1475">
        <v>0</v>
      </c>
      <c r="N2400" s="1476">
        <v>1.654249421151295</v>
      </c>
      <c r="O2400" s="1476"/>
    </row>
    <row r="2401" spans="11:15">
      <c r="K2401" s="1473">
        <v>44458</v>
      </c>
      <c r="L2401" s="1474"/>
      <c r="M2401" s="1475">
        <v>0</v>
      </c>
      <c r="N2401" s="1476">
        <v>1.654249421151295</v>
      </c>
      <c r="O2401" s="1476"/>
    </row>
    <row r="2402" spans="11:15">
      <c r="K2402" s="1473">
        <v>44459</v>
      </c>
      <c r="L2402" s="1474" t="s">
        <v>2123</v>
      </c>
      <c r="M2402" s="1475">
        <v>1.993E-2</v>
      </c>
      <c r="N2402" s="1476">
        <v>1.6545791130609304</v>
      </c>
      <c r="O2402" s="1476"/>
    </row>
    <row r="2403" spans="11:15">
      <c r="K2403" s="1473">
        <v>44460</v>
      </c>
      <c r="L2403" s="1474" t="s">
        <v>2123</v>
      </c>
      <c r="M2403" s="1475">
        <v>1.993E-2</v>
      </c>
      <c r="N2403" s="1476">
        <v>1.6549088706781634</v>
      </c>
      <c r="O2403" s="1476"/>
    </row>
    <row r="2404" spans="11:15">
      <c r="K2404" s="1473">
        <v>44461</v>
      </c>
      <c r="L2404" s="1474" t="s">
        <v>2123</v>
      </c>
      <c r="M2404" s="1475">
        <v>1.993E-2</v>
      </c>
      <c r="N2404" s="1476">
        <v>1.6552386940160895</v>
      </c>
      <c r="O2404" s="1476"/>
    </row>
    <row r="2405" spans="11:15">
      <c r="K2405" s="1473">
        <v>44462</v>
      </c>
      <c r="L2405" s="1474" t="s">
        <v>2123</v>
      </c>
      <c r="M2405" s="1475">
        <v>2.3687E-2</v>
      </c>
      <c r="N2405" s="1476">
        <v>1.6556307704055411</v>
      </c>
      <c r="O2405" s="1476"/>
    </row>
    <row r="2406" spans="11:15">
      <c r="K2406" s="1473">
        <v>44463</v>
      </c>
      <c r="L2406" s="1474" t="s">
        <v>2123</v>
      </c>
      <c r="M2406" s="1475">
        <v>2.3687E-2</v>
      </c>
      <c r="N2406" s="1476">
        <v>1.656022939666127</v>
      </c>
      <c r="O2406" s="1476"/>
    </row>
    <row r="2407" spans="11:15">
      <c r="K2407" s="1473">
        <v>44464</v>
      </c>
      <c r="L2407" s="1474"/>
      <c r="M2407" s="1475">
        <v>0</v>
      </c>
      <c r="N2407" s="1476">
        <v>1.656022939666127</v>
      </c>
      <c r="O2407" s="1476"/>
    </row>
    <row r="2408" spans="11:15">
      <c r="K2408" s="1473">
        <v>44465</v>
      </c>
      <c r="L2408" s="1474"/>
      <c r="M2408" s="1475">
        <v>0</v>
      </c>
      <c r="N2408" s="1476">
        <v>1.656022939666127</v>
      </c>
      <c r="O2408" s="1476"/>
    </row>
    <row r="2409" spans="11:15">
      <c r="K2409" s="1473">
        <v>44466</v>
      </c>
      <c r="L2409" s="1474" t="s">
        <v>2123</v>
      </c>
      <c r="M2409" s="1475">
        <v>2.3687E-2</v>
      </c>
      <c r="N2409" s="1476">
        <v>1.6564152018198457</v>
      </c>
      <c r="O2409" s="1476"/>
    </row>
    <row r="2410" spans="11:15">
      <c r="K2410" s="1473">
        <v>44467</v>
      </c>
      <c r="L2410" s="1474" t="s">
        <v>2123</v>
      </c>
      <c r="M2410" s="1475">
        <v>2.3687E-2</v>
      </c>
      <c r="N2410" s="1476">
        <v>1.6568075568887006</v>
      </c>
      <c r="O2410" s="1476"/>
    </row>
    <row r="2411" spans="11:15">
      <c r="K2411" s="1473">
        <v>44468</v>
      </c>
      <c r="L2411" s="1474" t="s">
        <v>2123</v>
      </c>
      <c r="M2411" s="1475">
        <v>2.3687E-2</v>
      </c>
      <c r="N2411" s="1476">
        <v>1.6572000048947009</v>
      </c>
      <c r="O2411" s="1476"/>
    </row>
    <row r="2412" spans="11:15">
      <c r="K2412" s="1473">
        <v>44469</v>
      </c>
      <c r="L2412" s="1474" t="s">
        <v>2123</v>
      </c>
      <c r="M2412" s="1475">
        <v>2.3687E-2</v>
      </c>
      <c r="N2412" s="1476">
        <v>1.6575925458598602</v>
      </c>
      <c r="O2412" s="1476"/>
    </row>
    <row r="2413" spans="11:15">
      <c r="K2413" s="1473">
        <v>44470</v>
      </c>
      <c r="L2413" s="1474" t="s">
        <v>2123</v>
      </c>
      <c r="M2413" s="1475">
        <v>2.3687E-2</v>
      </c>
      <c r="N2413" s="1476">
        <v>1.657985179806198</v>
      </c>
      <c r="O2413" s="1476"/>
    </row>
    <row r="2414" spans="11:15">
      <c r="K2414" s="1473">
        <v>44471</v>
      </c>
      <c r="L2414" s="1474"/>
      <c r="M2414" s="1475">
        <v>0</v>
      </c>
      <c r="N2414" s="1476">
        <v>1.657985179806198</v>
      </c>
      <c r="O2414" s="1476"/>
    </row>
    <row r="2415" spans="11:15">
      <c r="K2415" s="1473">
        <v>44472</v>
      </c>
      <c r="L2415" s="1474"/>
      <c r="M2415" s="1475">
        <v>0</v>
      </c>
      <c r="N2415" s="1476">
        <v>1.657985179806198</v>
      </c>
      <c r="O2415" s="1476"/>
    </row>
    <row r="2416" spans="11:15">
      <c r="K2416" s="1473">
        <v>44473</v>
      </c>
      <c r="L2416" s="1474" t="s">
        <v>2123</v>
      </c>
      <c r="M2416" s="1475">
        <v>2.3687E-2</v>
      </c>
      <c r="N2416" s="1476">
        <v>1.6583779067557385</v>
      </c>
      <c r="O2416" s="1476"/>
    </row>
    <row r="2417" spans="11:15">
      <c r="K2417" s="1473">
        <v>44474</v>
      </c>
      <c r="L2417" s="1474" t="s">
        <v>2123</v>
      </c>
      <c r="M2417" s="1475">
        <v>2.3687E-2</v>
      </c>
      <c r="N2417" s="1476">
        <v>1.6587707267305116</v>
      </c>
      <c r="O2417" s="1476"/>
    </row>
    <row r="2418" spans="11:15">
      <c r="K2418" s="1473">
        <v>44475</v>
      </c>
      <c r="L2418" s="1474" t="s">
        <v>2123</v>
      </c>
      <c r="M2418" s="1475">
        <v>2.3687E-2</v>
      </c>
      <c r="N2418" s="1476">
        <v>1.6591636397525522</v>
      </c>
      <c r="O2418" s="1476"/>
    </row>
    <row r="2419" spans="11:15">
      <c r="K2419" s="1473">
        <v>44476</v>
      </c>
      <c r="L2419" s="1474" t="s">
        <v>2123</v>
      </c>
      <c r="M2419" s="1475">
        <v>2.3687E-2</v>
      </c>
      <c r="N2419" s="1476">
        <v>1.6595566458439004</v>
      </c>
      <c r="O2419" s="1476"/>
    </row>
    <row r="2420" spans="11:15">
      <c r="K2420" s="1473">
        <v>44477</v>
      </c>
      <c r="L2420" s="1474" t="s">
        <v>2123</v>
      </c>
      <c r="M2420" s="1475">
        <v>2.3687E-2</v>
      </c>
      <c r="N2420" s="1476">
        <v>1.6599497450266014</v>
      </c>
      <c r="O2420" s="1476"/>
    </row>
    <row r="2421" spans="11:15">
      <c r="K2421" s="1473">
        <v>44478</v>
      </c>
      <c r="L2421" s="1474"/>
      <c r="M2421" s="1475">
        <v>0</v>
      </c>
      <c r="N2421" s="1476">
        <v>1.6599497450266014</v>
      </c>
      <c r="O2421" s="1476"/>
    </row>
    <row r="2422" spans="11:15">
      <c r="K2422" s="1473">
        <v>44479</v>
      </c>
      <c r="L2422" s="1474"/>
      <c r="M2422" s="1475">
        <v>0</v>
      </c>
      <c r="N2422" s="1476">
        <v>1.6599497450266014</v>
      </c>
      <c r="O2422" s="1476"/>
    </row>
    <row r="2423" spans="11:15">
      <c r="K2423" s="1473">
        <v>44480</v>
      </c>
      <c r="L2423" s="1474" t="s">
        <v>2123</v>
      </c>
      <c r="M2423" s="1475">
        <v>2.3687E-2</v>
      </c>
      <c r="N2423" s="1476">
        <v>1.6603429373227059</v>
      </c>
      <c r="O2423" s="1476"/>
    </row>
    <row r="2424" spans="11:15">
      <c r="K2424" s="1473">
        <v>44481</v>
      </c>
      <c r="L2424" s="1474"/>
      <c r="M2424" s="1475">
        <v>0</v>
      </c>
      <c r="N2424" s="1476">
        <v>1.6603429373227059</v>
      </c>
      <c r="O2424" s="1476"/>
    </row>
    <row r="2425" spans="11:15">
      <c r="K2425" s="1473">
        <v>44482</v>
      </c>
      <c r="L2425" s="1474" t="s">
        <v>2123</v>
      </c>
      <c r="M2425" s="1475">
        <v>2.3687E-2</v>
      </c>
      <c r="N2425" s="1476">
        <v>1.6607362227542695</v>
      </c>
      <c r="O2425" s="1476"/>
    </row>
    <row r="2426" spans="11:15">
      <c r="K2426" s="1473">
        <v>44483</v>
      </c>
      <c r="L2426" s="1474" t="s">
        <v>2123</v>
      </c>
      <c r="M2426" s="1475">
        <v>2.3687E-2</v>
      </c>
      <c r="N2426" s="1476">
        <v>1.6611296013433532</v>
      </c>
      <c r="O2426" s="1476"/>
    </row>
    <row r="2427" spans="11:15">
      <c r="K2427" s="1473">
        <v>44484</v>
      </c>
      <c r="L2427" s="1474" t="s">
        <v>2123</v>
      </c>
      <c r="M2427" s="1475">
        <v>2.3687E-2</v>
      </c>
      <c r="N2427" s="1476">
        <v>1.6615230731120234</v>
      </c>
      <c r="O2427" s="1476"/>
    </row>
    <row r="2428" spans="11:15">
      <c r="K2428" s="1473">
        <v>44485</v>
      </c>
      <c r="L2428" s="1474"/>
      <c r="M2428" s="1475">
        <v>0</v>
      </c>
      <c r="N2428" s="1476">
        <v>1.6615230731120234</v>
      </c>
      <c r="O2428" s="1476"/>
    </row>
    <row r="2429" spans="11:15">
      <c r="K2429" s="1473">
        <v>44486</v>
      </c>
      <c r="L2429" s="1474"/>
      <c r="M2429" s="1475">
        <v>0</v>
      </c>
      <c r="N2429" s="1476">
        <v>1.6615230731120234</v>
      </c>
      <c r="O2429" s="1476"/>
    </row>
    <row r="2430" spans="11:15">
      <c r="K2430" s="1473">
        <v>44487</v>
      </c>
      <c r="L2430" s="1474" t="s">
        <v>2123</v>
      </c>
      <c r="M2430" s="1475">
        <v>2.3687E-2</v>
      </c>
      <c r="N2430" s="1476">
        <v>1.6619166380823513</v>
      </c>
      <c r="O2430" s="1476"/>
    </row>
    <row r="2431" spans="11:15">
      <c r="K2431" s="1473">
        <v>44488</v>
      </c>
      <c r="L2431" s="1474" t="s">
        <v>2123</v>
      </c>
      <c r="M2431" s="1475">
        <v>2.3687E-2</v>
      </c>
      <c r="N2431" s="1476">
        <v>1.6623102962764138</v>
      </c>
      <c r="O2431" s="1476"/>
    </row>
    <row r="2432" spans="11:15">
      <c r="K2432" s="1473">
        <v>44489</v>
      </c>
      <c r="L2432" s="1474" t="s">
        <v>2123</v>
      </c>
      <c r="M2432" s="1475">
        <v>2.3687E-2</v>
      </c>
      <c r="N2432" s="1476">
        <v>1.6627040477162927</v>
      </c>
      <c r="O2432" s="1476"/>
    </row>
    <row r="2433" spans="11:15">
      <c r="K2433" s="1473">
        <v>44490</v>
      </c>
      <c r="L2433" s="1474" t="s">
        <v>2123</v>
      </c>
      <c r="M2433" s="1475">
        <v>2.3687E-2</v>
      </c>
      <c r="N2433" s="1476">
        <v>1.6630978924240751</v>
      </c>
      <c r="O2433" s="1476"/>
    </row>
    <row r="2434" spans="11:15">
      <c r="K2434" s="1473">
        <v>44491</v>
      </c>
      <c r="L2434" s="1474" t="s">
        <v>2123</v>
      </c>
      <c r="M2434" s="1475">
        <v>2.3687E-2</v>
      </c>
      <c r="N2434" s="1476">
        <v>1.6634918304218536</v>
      </c>
      <c r="O2434" s="1476"/>
    </row>
    <row r="2435" spans="11:15">
      <c r="K2435" s="1473">
        <v>44492</v>
      </c>
      <c r="L2435" s="1474"/>
      <c r="M2435" s="1475">
        <v>0</v>
      </c>
      <c r="N2435" s="1476">
        <v>1.6634918304218536</v>
      </c>
      <c r="O2435" s="1476"/>
    </row>
    <row r="2436" spans="11:15">
      <c r="K2436" s="1473">
        <v>44493</v>
      </c>
      <c r="L2436" s="1474"/>
      <c r="M2436" s="1475">
        <v>0</v>
      </c>
      <c r="N2436" s="1476">
        <v>1.6634918304218536</v>
      </c>
      <c r="O2436" s="1476"/>
    </row>
    <row r="2437" spans="11:15">
      <c r="K2437" s="1473">
        <v>44494</v>
      </c>
      <c r="L2437" s="1474" t="s">
        <v>2123</v>
      </c>
      <c r="M2437" s="1475">
        <v>2.3687E-2</v>
      </c>
      <c r="N2437" s="1476">
        <v>1.6638858617317256</v>
      </c>
      <c r="O2437" s="1476"/>
    </row>
    <row r="2438" spans="11:15">
      <c r="K2438" s="1473">
        <v>44495</v>
      </c>
      <c r="L2438" s="1474" t="s">
        <v>2123</v>
      </c>
      <c r="M2438" s="1475">
        <v>2.3687E-2</v>
      </c>
      <c r="N2438" s="1476">
        <v>1.664279986375794</v>
      </c>
      <c r="O2438" s="1476"/>
    </row>
    <row r="2439" spans="11:15">
      <c r="K2439" s="1473">
        <v>44496</v>
      </c>
      <c r="L2439" s="1474" t="s">
        <v>2123</v>
      </c>
      <c r="M2439" s="1475">
        <v>2.3687E-2</v>
      </c>
      <c r="N2439" s="1476">
        <v>1.6646742043761666</v>
      </c>
      <c r="O2439" s="1476"/>
    </row>
    <row r="2440" spans="11:15">
      <c r="K2440" s="1473">
        <v>44497</v>
      </c>
      <c r="L2440" s="1474" t="s">
        <v>2123</v>
      </c>
      <c r="M2440" s="1475">
        <v>2.9256000000000001E-2</v>
      </c>
      <c r="N2440" s="1476">
        <v>1.6651612214613991</v>
      </c>
      <c r="O2440" s="1476"/>
    </row>
    <row r="2441" spans="11:15">
      <c r="K2441" s="1473">
        <v>44498</v>
      </c>
      <c r="L2441" s="1474" t="s">
        <v>2123</v>
      </c>
      <c r="M2441" s="1475">
        <v>2.9256000000000001E-2</v>
      </c>
      <c r="N2441" s="1476">
        <v>1.66564838102835</v>
      </c>
      <c r="O2441" s="1476"/>
    </row>
    <row r="2442" spans="11:15">
      <c r="K2442" s="1473">
        <v>44499</v>
      </c>
      <c r="L2442" s="1474"/>
      <c r="M2442" s="1475">
        <v>0</v>
      </c>
      <c r="N2442" s="1476">
        <v>1.66564838102835</v>
      </c>
      <c r="O2442" s="1476"/>
    </row>
    <row r="2443" spans="11:15">
      <c r="K2443" s="1473">
        <v>44500</v>
      </c>
      <c r="L2443" s="1474"/>
      <c r="M2443" s="1475">
        <v>0</v>
      </c>
      <c r="N2443" s="1476">
        <v>1.66564838102835</v>
      </c>
      <c r="O2443" s="1476"/>
    </row>
    <row r="2444" spans="11:15">
      <c r="K2444" s="1473">
        <v>44501</v>
      </c>
      <c r="L2444" s="1474" t="s">
        <v>2123</v>
      </c>
      <c r="M2444" s="1475">
        <v>2.9256000000000001E-2</v>
      </c>
      <c r="N2444" s="1476">
        <v>1.6661356831187037</v>
      </c>
      <c r="O2444" s="1476"/>
    </row>
    <row r="2445" spans="11:15">
      <c r="K2445" s="1473">
        <v>44502</v>
      </c>
      <c r="L2445" s="1474"/>
      <c r="M2445" s="1475">
        <v>0</v>
      </c>
      <c r="N2445" s="1476">
        <v>1.6661356831187037</v>
      </c>
      <c r="O2445" s="1476"/>
    </row>
    <row r="2446" spans="11:15">
      <c r="K2446" s="1473">
        <v>44503</v>
      </c>
      <c r="L2446" s="1474" t="s">
        <v>2123</v>
      </c>
      <c r="M2446" s="1475">
        <v>2.9256000000000001E-2</v>
      </c>
      <c r="N2446" s="1476">
        <v>1.6666231277741572</v>
      </c>
      <c r="O2446" s="1476"/>
    </row>
    <row r="2447" spans="11:15">
      <c r="K2447" s="1473">
        <v>44504</v>
      </c>
      <c r="L2447" s="1474" t="s">
        <v>2123</v>
      </c>
      <c r="M2447" s="1475">
        <v>2.9256000000000001E-2</v>
      </c>
      <c r="N2447" s="1476">
        <v>1.6671107150364191</v>
      </c>
      <c r="O2447" s="1476"/>
    </row>
    <row r="2448" spans="11:15">
      <c r="K2448" s="1473">
        <v>44505</v>
      </c>
      <c r="L2448" s="1474" t="s">
        <v>2123</v>
      </c>
      <c r="M2448" s="1475">
        <v>2.9256000000000001E-2</v>
      </c>
      <c r="N2448" s="1476">
        <v>1.6675984449472103</v>
      </c>
      <c r="O2448" s="1476"/>
    </row>
    <row r="2449" spans="11:15">
      <c r="K2449" s="1473">
        <v>44506</v>
      </c>
      <c r="L2449" s="1474"/>
      <c r="M2449" s="1475">
        <v>0</v>
      </c>
      <c r="N2449" s="1476">
        <v>1.6675984449472103</v>
      </c>
      <c r="O2449" s="1476"/>
    </row>
    <row r="2450" spans="11:15">
      <c r="K2450" s="1473">
        <v>44507</v>
      </c>
      <c r="L2450" s="1474"/>
      <c r="M2450" s="1475">
        <v>0</v>
      </c>
      <c r="N2450" s="1476">
        <v>1.6675984449472103</v>
      </c>
      <c r="O2450" s="1476"/>
    </row>
    <row r="2451" spans="11:15">
      <c r="K2451" s="1473">
        <v>44508</v>
      </c>
      <c r="L2451" s="1474" t="s">
        <v>2123</v>
      </c>
      <c r="M2451" s="1475">
        <v>2.9256000000000001E-2</v>
      </c>
      <c r="N2451" s="1476">
        <v>1.6680863175482643</v>
      </c>
      <c r="O2451" s="1476"/>
    </row>
    <row r="2452" spans="11:15">
      <c r="K2452" s="1473">
        <v>44509</v>
      </c>
      <c r="L2452" s="1474" t="s">
        <v>2123</v>
      </c>
      <c r="M2452" s="1475">
        <v>2.9256000000000001E-2</v>
      </c>
      <c r="N2452" s="1476">
        <v>1.6685743328813265</v>
      </c>
      <c r="O2452" s="1476"/>
    </row>
    <row r="2453" spans="11:15">
      <c r="K2453" s="1473">
        <v>44510</v>
      </c>
      <c r="L2453" s="1474" t="s">
        <v>2123</v>
      </c>
      <c r="M2453" s="1475">
        <v>2.9256000000000001E-2</v>
      </c>
      <c r="N2453" s="1476">
        <v>1.6690624909881544</v>
      </c>
      <c r="O2453" s="1476"/>
    </row>
    <row r="2454" spans="11:15">
      <c r="K2454" s="1473">
        <v>44511</v>
      </c>
      <c r="L2454" s="1474" t="s">
        <v>2123</v>
      </c>
      <c r="M2454" s="1475">
        <v>2.9256000000000001E-2</v>
      </c>
      <c r="N2454" s="1476">
        <v>1.6695507919105181</v>
      </c>
      <c r="O2454" s="1476"/>
    </row>
    <row r="2455" spans="11:15">
      <c r="K2455" s="1473">
        <v>44512</v>
      </c>
      <c r="L2455" s="1474" t="s">
        <v>2123</v>
      </c>
      <c r="M2455" s="1475">
        <v>2.9256000000000001E-2</v>
      </c>
      <c r="N2455" s="1476">
        <v>1.6700392356901996</v>
      </c>
      <c r="O2455" s="1476"/>
    </row>
    <row r="2456" spans="11:15">
      <c r="K2456" s="1473">
        <v>44513</v>
      </c>
      <c r="L2456" s="1474"/>
      <c r="M2456" s="1475">
        <v>0</v>
      </c>
      <c r="N2456" s="1476">
        <v>1.6700392356901996</v>
      </c>
      <c r="O2456" s="1476"/>
    </row>
    <row r="2457" spans="11:15">
      <c r="K2457" s="1473">
        <v>44514</v>
      </c>
      <c r="L2457" s="1474"/>
      <c r="M2457" s="1475">
        <v>0</v>
      </c>
      <c r="N2457" s="1476">
        <v>1.6700392356901996</v>
      </c>
      <c r="O2457" s="1476"/>
    </row>
    <row r="2458" spans="11:15">
      <c r="K2458" s="1473">
        <v>44515</v>
      </c>
      <c r="L2458" s="1474"/>
      <c r="M2458" s="1475">
        <v>0</v>
      </c>
      <c r="N2458" s="1476">
        <v>1.6700392356901996</v>
      </c>
      <c r="O2458" s="1476"/>
    </row>
    <row r="2459" spans="11:15">
      <c r="K2459" s="1473">
        <v>44516</v>
      </c>
      <c r="L2459" s="1474" t="s">
        <v>2123</v>
      </c>
      <c r="M2459" s="1475">
        <v>2.9256000000000001E-2</v>
      </c>
      <c r="N2459" s="1476">
        <v>1.6705278223689934</v>
      </c>
      <c r="O2459" s="1476"/>
    </row>
    <row r="2460" spans="11:15">
      <c r="K2460" s="1473">
        <v>44517</v>
      </c>
      <c r="L2460" s="1474" t="s">
        <v>2123</v>
      </c>
      <c r="M2460" s="1475">
        <v>2.9256000000000001E-2</v>
      </c>
      <c r="N2460" s="1476">
        <v>1.6710165519887059</v>
      </c>
      <c r="O2460" s="1476"/>
    </row>
    <row r="2461" spans="11:15">
      <c r="K2461" s="1473">
        <v>44518</v>
      </c>
      <c r="L2461" s="1474" t="s">
        <v>2123</v>
      </c>
      <c r="M2461" s="1475">
        <v>2.9256000000000001E-2</v>
      </c>
      <c r="N2461" s="1476">
        <v>1.6715054245911558</v>
      </c>
      <c r="O2461" s="1476"/>
    </row>
    <row r="2462" spans="11:15">
      <c r="K2462" s="1473">
        <v>44519</v>
      </c>
      <c r="L2462" s="1474" t="s">
        <v>2123</v>
      </c>
      <c r="M2462" s="1475">
        <v>2.9256000000000001E-2</v>
      </c>
      <c r="N2462" s="1476">
        <v>1.6719944402181743</v>
      </c>
      <c r="O2462" s="1476"/>
    </row>
    <row r="2463" spans="11:15">
      <c r="K2463" s="1473">
        <v>44520</v>
      </c>
      <c r="L2463" s="1474"/>
      <c r="M2463" s="1475">
        <v>0</v>
      </c>
      <c r="N2463" s="1476">
        <v>1.6719944402181743</v>
      </c>
      <c r="O2463" s="1476"/>
    </row>
    <row r="2464" spans="11:15">
      <c r="K2464" s="1473">
        <v>44521</v>
      </c>
      <c r="L2464" s="1474"/>
      <c r="M2464" s="1475">
        <v>0</v>
      </c>
      <c r="N2464" s="1476">
        <v>1.6719944402181743</v>
      </c>
      <c r="O2464" s="1476"/>
    </row>
    <row r="2465" spans="11:15">
      <c r="K2465" s="1473">
        <v>44522</v>
      </c>
      <c r="L2465" s="1474" t="s">
        <v>2123</v>
      </c>
      <c r="M2465" s="1475">
        <v>2.9256000000000001E-2</v>
      </c>
      <c r="N2465" s="1476">
        <v>1.6724835989116047</v>
      </c>
      <c r="O2465" s="1476"/>
    </row>
    <row r="2466" spans="11:15">
      <c r="K2466" s="1473">
        <v>44523</v>
      </c>
      <c r="L2466" s="1474" t="s">
        <v>2123</v>
      </c>
      <c r="M2466" s="1475">
        <v>2.9256000000000001E-2</v>
      </c>
      <c r="N2466" s="1476">
        <v>1.6729729007133025</v>
      </c>
      <c r="O2466" s="1476"/>
    </row>
    <row r="2467" spans="11:15">
      <c r="K2467" s="1473">
        <v>44524</v>
      </c>
      <c r="L2467" s="1474" t="s">
        <v>2123</v>
      </c>
      <c r="M2467" s="1475">
        <v>2.9256000000000001E-2</v>
      </c>
      <c r="N2467" s="1476">
        <v>1.6734623456651354</v>
      </c>
      <c r="O2467" s="1476"/>
    </row>
    <row r="2468" spans="11:15">
      <c r="K2468" s="1473">
        <v>44525</v>
      </c>
      <c r="L2468" s="1474" t="s">
        <v>2123</v>
      </c>
      <c r="M2468" s="1475">
        <v>2.9256000000000001E-2</v>
      </c>
      <c r="N2468" s="1476">
        <v>1.6739519338089834</v>
      </c>
      <c r="O2468" s="1476"/>
    </row>
    <row r="2469" spans="11:15">
      <c r="K2469" s="1473">
        <v>44526</v>
      </c>
      <c r="L2469" s="1474" t="s">
        <v>2123</v>
      </c>
      <c r="M2469" s="1475">
        <v>2.9256000000000001E-2</v>
      </c>
      <c r="N2469" s="1476">
        <v>1.6744416651867389</v>
      </c>
      <c r="O2469" s="1476"/>
    </row>
    <row r="2470" spans="11:15">
      <c r="K2470" s="1473">
        <v>44527</v>
      </c>
      <c r="L2470" s="1474"/>
      <c r="M2470" s="1475">
        <v>0</v>
      </c>
      <c r="N2470" s="1476">
        <v>1.6744416651867389</v>
      </c>
      <c r="O2470" s="1476"/>
    </row>
    <row r="2471" spans="11:15">
      <c r="K2471" s="1473">
        <v>44528</v>
      </c>
      <c r="L2471" s="1474"/>
      <c r="M2471" s="1475">
        <v>0</v>
      </c>
      <c r="N2471" s="1476">
        <v>1.6744416651867389</v>
      </c>
      <c r="O2471" s="1476"/>
    </row>
    <row r="2472" spans="11:15">
      <c r="K2472" s="1473">
        <v>44529</v>
      </c>
      <c r="L2472" s="1474" t="s">
        <v>2123</v>
      </c>
      <c r="M2472" s="1475">
        <v>2.9256000000000001E-2</v>
      </c>
      <c r="N2472" s="1476">
        <v>1.6749315398403062</v>
      </c>
      <c r="O2472" s="1476"/>
    </row>
    <row r="2473" spans="11:15">
      <c r="K2473" s="1473">
        <v>44530</v>
      </c>
      <c r="L2473" s="1474" t="s">
        <v>2123</v>
      </c>
      <c r="M2473" s="1475">
        <v>2.9256000000000001E-2</v>
      </c>
      <c r="N2473" s="1476">
        <v>1.6754215578116021</v>
      </c>
      <c r="O2473" s="1476"/>
    </row>
    <row r="2474" spans="11:15">
      <c r="K2474" s="1473">
        <v>44531</v>
      </c>
      <c r="L2474" s="1474" t="s">
        <v>2123</v>
      </c>
      <c r="M2474" s="1475">
        <v>2.9256000000000001E-2</v>
      </c>
      <c r="N2474" s="1476">
        <v>1.6759117191425557</v>
      </c>
      <c r="O2474" s="1476"/>
    </row>
    <row r="2475" spans="11:15">
      <c r="K2475" s="1473">
        <v>44532</v>
      </c>
      <c r="L2475" s="1474" t="s">
        <v>2123</v>
      </c>
      <c r="M2475" s="1475">
        <v>2.9256000000000001E-2</v>
      </c>
      <c r="N2475" s="1476">
        <v>1.6764020238751083</v>
      </c>
      <c r="O2475" s="1476"/>
    </row>
    <row r="2476" spans="11:15">
      <c r="K2476" s="1473">
        <v>44533</v>
      </c>
      <c r="L2476" s="1474" t="s">
        <v>2123</v>
      </c>
      <c r="M2476" s="1475">
        <v>2.9256000000000001E-2</v>
      </c>
      <c r="N2476" s="1476">
        <v>1.6768924720512133</v>
      </c>
      <c r="O2476" s="1476"/>
    </row>
    <row r="2477" spans="11:15">
      <c r="K2477" s="1473">
        <v>44534</v>
      </c>
      <c r="L2477" s="1474"/>
      <c r="M2477" s="1475">
        <v>0</v>
      </c>
      <c r="N2477" s="1476">
        <v>1.6768924720512133</v>
      </c>
      <c r="O2477" s="1476"/>
    </row>
    <row r="2478" spans="11:15">
      <c r="K2478" s="1473">
        <v>44535</v>
      </c>
      <c r="L2478" s="1474"/>
      <c r="M2478" s="1475">
        <v>0</v>
      </c>
      <c r="N2478" s="1476">
        <v>1.6768924720512133</v>
      </c>
      <c r="O2478" s="1476"/>
    </row>
    <row r="2479" spans="11:15">
      <c r="K2479" s="1473">
        <v>44536</v>
      </c>
      <c r="L2479" s="1474" t="s">
        <v>2123</v>
      </c>
      <c r="M2479" s="1475">
        <v>2.9256000000000001E-2</v>
      </c>
      <c r="N2479" s="1476">
        <v>1.6773830637128369</v>
      </c>
      <c r="O2479" s="1476"/>
    </row>
    <row r="2480" spans="11:15">
      <c r="K2480" s="1473">
        <v>44537</v>
      </c>
      <c r="L2480" s="1474" t="s">
        <v>2123</v>
      </c>
      <c r="M2480" s="1475">
        <v>2.9256000000000001E-2</v>
      </c>
      <c r="N2480" s="1476">
        <v>1.6778737989019568</v>
      </c>
      <c r="O2480" s="1476"/>
    </row>
    <row r="2481" spans="11:15">
      <c r="K2481" s="1473">
        <v>44538</v>
      </c>
      <c r="L2481" s="1474" t="s">
        <v>2123</v>
      </c>
      <c r="M2481" s="1475">
        <v>2.9256000000000001E-2</v>
      </c>
      <c r="N2481" s="1476">
        <v>1.6783646776605636</v>
      </c>
      <c r="O2481" s="1476"/>
    </row>
    <row r="2482" spans="11:15">
      <c r="K2482" s="1473">
        <v>44539</v>
      </c>
      <c r="L2482" s="1474" t="s">
        <v>2123</v>
      </c>
      <c r="M2482" s="1475">
        <v>3.4749000000000002E-2</v>
      </c>
      <c r="N2482" s="1476">
        <v>1.678947892602404</v>
      </c>
      <c r="O2482" s="1476"/>
    </row>
    <row r="2483" spans="11:15">
      <c r="K2483" s="1473">
        <v>44540</v>
      </c>
      <c r="L2483" s="1474" t="s">
        <v>2123</v>
      </c>
      <c r="M2483" s="1475">
        <v>3.4749000000000002E-2</v>
      </c>
      <c r="N2483" s="1476">
        <v>1.6795313102056044</v>
      </c>
      <c r="O2483" s="1476"/>
    </row>
    <row r="2484" spans="11:15">
      <c r="K2484" s="1473">
        <v>44541</v>
      </c>
      <c r="L2484" s="1474"/>
      <c r="M2484" s="1475">
        <v>0</v>
      </c>
      <c r="N2484" s="1476">
        <v>1.6795313102056044</v>
      </c>
      <c r="O2484" s="1476"/>
    </row>
    <row r="2485" spans="11:15">
      <c r="K2485" s="1473">
        <v>44542</v>
      </c>
      <c r="L2485" s="1474"/>
      <c r="M2485" s="1475">
        <v>0</v>
      </c>
      <c r="N2485" s="1476">
        <v>1.6795313102056044</v>
      </c>
      <c r="O2485" s="1476"/>
    </row>
    <row r="2486" spans="11:15">
      <c r="K2486" s="1473">
        <v>44543</v>
      </c>
      <c r="L2486" s="1474" t="s">
        <v>2123</v>
      </c>
      <c r="M2486" s="1475">
        <v>3.4749000000000002E-2</v>
      </c>
      <c r="N2486" s="1476">
        <v>1.6801149305405878</v>
      </c>
      <c r="O2486" s="1476"/>
    </row>
    <row r="2487" spans="11:15">
      <c r="K2487" s="1473">
        <v>44544</v>
      </c>
      <c r="L2487" s="1474" t="s">
        <v>2123</v>
      </c>
      <c r="M2487" s="1475">
        <v>3.4749000000000002E-2</v>
      </c>
      <c r="N2487" s="1476">
        <v>1.6806987536778013</v>
      </c>
      <c r="O2487" s="1476"/>
    </row>
    <row r="2488" spans="11:15">
      <c r="K2488" s="1473">
        <v>44545</v>
      </c>
      <c r="L2488" s="1474" t="s">
        <v>2123</v>
      </c>
      <c r="M2488" s="1475">
        <v>3.4749000000000002E-2</v>
      </c>
      <c r="N2488" s="1476">
        <v>1.6812827796877168</v>
      </c>
      <c r="O2488" s="1476"/>
    </row>
    <row r="2489" spans="11:15">
      <c r="K2489" s="1473">
        <v>44546</v>
      </c>
      <c r="L2489" s="1474" t="s">
        <v>2123</v>
      </c>
      <c r="M2489" s="1475">
        <v>3.4749000000000002E-2</v>
      </c>
      <c r="N2489" s="1476">
        <v>1.6818670086408305</v>
      </c>
      <c r="O2489" s="1476"/>
    </row>
    <row r="2490" spans="11:15">
      <c r="K2490" s="1473">
        <v>44547</v>
      </c>
      <c r="L2490" s="1474" t="s">
        <v>2123</v>
      </c>
      <c r="M2490" s="1475">
        <v>3.4749000000000002E-2</v>
      </c>
      <c r="N2490" s="1476">
        <v>1.6824514406076632</v>
      </c>
      <c r="O2490" s="1476"/>
    </row>
    <row r="2491" spans="11:15">
      <c r="K2491" s="1473">
        <v>44548</v>
      </c>
      <c r="L2491" s="1474"/>
      <c r="M2491" s="1475">
        <v>0</v>
      </c>
      <c r="N2491" s="1476">
        <v>1.6824514406076632</v>
      </c>
      <c r="O2491" s="1476"/>
    </row>
    <row r="2492" spans="11:15">
      <c r="K2492" s="1473">
        <v>44549</v>
      </c>
      <c r="L2492" s="1474"/>
      <c r="M2492" s="1475">
        <v>0</v>
      </c>
      <c r="N2492" s="1476">
        <v>1.6824514406076632</v>
      </c>
      <c r="O2492" s="1476"/>
    </row>
    <row r="2493" spans="11:15">
      <c r="K2493" s="1473">
        <v>44550</v>
      </c>
      <c r="L2493" s="1474" t="s">
        <v>2123</v>
      </c>
      <c r="M2493" s="1475">
        <v>3.4749000000000002E-2</v>
      </c>
      <c r="N2493" s="1476">
        <v>1.6830360756587599</v>
      </c>
      <c r="O2493" s="1476"/>
    </row>
    <row r="2494" spans="11:15">
      <c r="K2494" s="1473">
        <v>44551</v>
      </c>
      <c r="L2494" s="1474" t="s">
        <v>2123</v>
      </c>
      <c r="M2494" s="1475">
        <v>3.4749000000000002E-2</v>
      </c>
      <c r="N2494" s="1476">
        <v>1.6836209138646905</v>
      </c>
      <c r="O2494" s="1476"/>
    </row>
    <row r="2495" spans="11:15">
      <c r="K2495" s="1473">
        <v>44552</v>
      </c>
      <c r="L2495" s="1474" t="s">
        <v>2123</v>
      </c>
      <c r="M2495" s="1475">
        <v>3.4749000000000002E-2</v>
      </c>
      <c r="N2495" s="1476">
        <v>1.6842059552960493</v>
      </c>
      <c r="O2495" s="1476"/>
    </row>
    <row r="2496" spans="11:15">
      <c r="K2496" s="1473">
        <v>44553</v>
      </c>
      <c r="L2496" s="1474" t="s">
        <v>2123</v>
      </c>
      <c r="M2496" s="1475">
        <v>3.4749000000000002E-2</v>
      </c>
      <c r="N2496" s="1476">
        <v>1.6847912000234551</v>
      </c>
      <c r="O2496" s="1476"/>
    </row>
    <row r="2497" spans="11:15">
      <c r="K2497" s="1473">
        <v>44554</v>
      </c>
      <c r="L2497" s="1474" t="s">
        <v>2123</v>
      </c>
      <c r="M2497" s="1475">
        <v>3.4749000000000002E-2</v>
      </c>
      <c r="N2497" s="1476">
        <v>1.6853766481175512</v>
      </c>
      <c r="O2497" s="1476"/>
    </row>
    <row r="2498" spans="11:15">
      <c r="K2498" s="1473">
        <v>44555</v>
      </c>
      <c r="L2498" s="1474"/>
      <c r="M2498" s="1475">
        <v>0</v>
      </c>
      <c r="N2498" s="1476">
        <v>1.6853766481175512</v>
      </c>
      <c r="O2498" s="1476"/>
    </row>
    <row r="2499" spans="11:15">
      <c r="K2499" s="1473">
        <v>44556</v>
      </c>
      <c r="L2499" s="1474"/>
      <c r="M2499" s="1475">
        <v>0</v>
      </c>
      <c r="N2499" s="1476">
        <v>1.6853766481175512</v>
      </c>
      <c r="O2499" s="1476"/>
    </row>
    <row r="2500" spans="11:15">
      <c r="K2500" s="1473">
        <v>44557</v>
      </c>
      <c r="L2500" s="1474" t="s">
        <v>2123</v>
      </c>
      <c r="M2500" s="1475">
        <v>3.4749000000000002E-2</v>
      </c>
      <c r="N2500" s="1476">
        <v>1.6859622996490056</v>
      </c>
      <c r="O2500" s="1476"/>
    </row>
    <row r="2501" spans="11:15">
      <c r="K2501" s="1473">
        <v>44558</v>
      </c>
      <c r="L2501" s="1474" t="s">
        <v>2123</v>
      </c>
      <c r="M2501" s="1475">
        <v>3.4749000000000002E-2</v>
      </c>
      <c r="N2501" s="1476">
        <v>1.6865481546885106</v>
      </c>
      <c r="O2501" s="1476"/>
    </row>
    <row r="2502" spans="11:15">
      <c r="K2502" s="1473">
        <v>44559</v>
      </c>
      <c r="L2502" s="1474" t="s">
        <v>2123</v>
      </c>
      <c r="M2502" s="1475">
        <v>3.4749000000000002E-2</v>
      </c>
      <c r="N2502" s="1476">
        <v>1.6871342133067833</v>
      </c>
      <c r="O2502" s="1476"/>
    </row>
    <row r="2503" spans="11:15">
      <c r="K2503" s="1473">
        <v>44560</v>
      </c>
      <c r="L2503" s="1474" t="s">
        <v>2123</v>
      </c>
      <c r="M2503" s="1475">
        <v>3.4749000000000002E-2</v>
      </c>
      <c r="N2503" s="1476">
        <v>1.6877204755745652</v>
      </c>
      <c r="O2503" s="1476"/>
    </row>
    <row r="2504" spans="11:15">
      <c r="K2504" s="1473">
        <v>44561</v>
      </c>
      <c r="L2504" s="1474" t="s">
        <v>2123</v>
      </c>
      <c r="M2504" s="1475">
        <v>3.4749000000000002E-2</v>
      </c>
      <c r="N2504" s="1476">
        <v>1.6883069415626226</v>
      </c>
      <c r="O2504" s="1476"/>
    </row>
    <row r="2505" spans="11:15">
      <c r="K2505" s="1473">
        <v>44562</v>
      </c>
      <c r="L2505" s="1474"/>
      <c r="M2505" s="1475">
        <v>0</v>
      </c>
      <c r="N2505" s="1476">
        <v>1.6883069415626226</v>
      </c>
      <c r="O2505" s="1476"/>
    </row>
    <row r="2506" spans="11:15">
      <c r="K2506" s="1473">
        <v>44563</v>
      </c>
      <c r="L2506" s="1474"/>
      <c r="M2506" s="1475">
        <v>0</v>
      </c>
      <c r="N2506" s="1476">
        <v>1.6883069415626226</v>
      </c>
      <c r="O2506" s="1476"/>
    </row>
    <row r="2507" spans="11:15">
      <c r="K2507" s="1473">
        <v>44564</v>
      </c>
      <c r="L2507" s="1474" t="s">
        <v>2123</v>
      </c>
      <c r="M2507" s="1475">
        <v>3.4749000000000002E-2</v>
      </c>
      <c r="N2507" s="1476">
        <v>1.6888936113417463</v>
      </c>
      <c r="O2507" s="1476"/>
    </row>
    <row r="2508" spans="11:15">
      <c r="K2508" s="1473">
        <v>44565</v>
      </c>
      <c r="L2508" s="1474" t="s">
        <v>2123</v>
      </c>
      <c r="M2508" s="1475">
        <v>3.4749000000000002E-2</v>
      </c>
      <c r="N2508" s="1476">
        <v>1.6894804849827514</v>
      </c>
      <c r="O2508" s="1476"/>
    </row>
    <row r="2509" spans="11:15">
      <c r="K2509" s="1473">
        <v>44566</v>
      </c>
      <c r="L2509" s="1474" t="s">
        <v>2123</v>
      </c>
      <c r="M2509" s="1475">
        <v>3.4749000000000002E-2</v>
      </c>
      <c r="N2509" s="1476">
        <v>1.6900675625564781</v>
      </c>
      <c r="O2509" s="1476"/>
    </row>
    <row r="2510" spans="11:15">
      <c r="K2510" s="1473">
        <v>44567</v>
      </c>
      <c r="L2510" s="1474" t="s">
        <v>2123</v>
      </c>
      <c r="M2510" s="1475">
        <v>3.4749000000000002E-2</v>
      </c>
      <c r="N2510" s="1476">
        <v>1.6906548441337907</v>
      </c>
      <c r="O2510" s="1476"/>
    </row>
    <row r="2511" spans="11:15">
      <c r="K2511" s="1473">
        <v>44568</v>
      </c>
      <c r="L2511" s="1474" t="s">
        <v>2123</v>
      </c>
      <c r="M2511" s="1475">
        <v>3.4749000000000002E-2</v>
      </c>
      <c r="N2511" s="1476">
        <v>1.6912423297855788</v>
      </c>
      <c r="O2511" s="1476"/>
    </row>
    <row r="2512" spans="11:15">
      <c r="K2512" s="1473">
        <v>44569</v>
      </c>
      <c r="L2512" s="1474"/>
      <c r="M2512" s="1475">
        <v>0</v>
      </c>
      <c r="N2512" s="1476">
        <v>1.6912423297855788</v>
      </c>
      <c r="O2512" s="1476"/>
    </row>
    <row r="2513" spans="11:15">
      <c r="K2513" s="1473">
        <v>44570</v>
      </c>
      <c r="L2513" s="1474"/>
      <c r="M2513" s="1475">
        <v>0</v>
      </c>
      <c r="N2513" s="1476">
        <v>1.6912423297855788</v>
      </c>
      <c r="O2513" s="1476"/>
    </row>
    <row r="2514" spans="11:15">
      <c r="K2514" s="1473">
        <v>44571</v>
      </c>
      <c r="L2514" s="1474" t="s">
        <v>2123</v>
      </c>
      <c r="M2514" s="1475">
        <v>3.4749000000000002E-2</v>
      </c>
      <c r="N2514" s="1476">
        <v>1.691830019582756</v>
      </c>
      <c r="O2514" s="1476"/>
    </row>
    <row r="2515" spans="11:15">
      <c r="K2515" s="1473">
        <v>44572</v>
      </c>
      <c r="L2515" s="1474" t="s">
        <v>2123</v>
      </c>
      <c r="M2515" s="1475">
        <v>3.4749000000000002E-2</v>
      </c>
      <c r="N2515" s="1476">
        <v>1.6924179135962609</v>
      </c>
      <c r="O2515" s="1476"/>
    </row>
    <row r="2516" spans="11:15">
      <c r="K2516" s="1473">
        <v>44573</v>
      </c>
      <c r="L2516" s="1474" t="s">
        <v>2123</v>
      </c>
      <c r="M2516" s="1475">
        <v>3.4749000000000002E-2</v>
      </c>
      <c r="N2516" s="1476">
        <v>1.6930060118970565</v>
      </c>
      <c r="O2516" s="1476"/>
    </row>
    <row r="2517" spans="11:15">
      <c r="K2517" s="1473">
        <v>44574</v>
      </c>
      <c r="L2517" s="1474" t="s">
        <v>2123</v>
      </c>
      <c r="M2517" s="1475">
        <v>3.4749000000000002E-2</v>
      </c>
      <c r="N2517" s="1476">
        <v>1.6935943145561305</v>
      </c>
      <c r="O2517" s="1476"/>
    </row>
    <row r="2518" spans="11:15">
      <c r="K2518" s="1473">
        <v>44575</v>
      </c>
      <c r="L2518" s="1474" t="s">
        <v>2123</v>
      </c>
      <c r="M2518" s="1475">
        <v>3.4749000000000002E-2</v>
      </c>
      <c r="N2518" s="1476">
        <v>1.6941828216444956</v>
      </c>
      <c r="O2518" s="1476"/>
    </row>
    <row r="2519" spans="11:15">
      <c r="K2519" s="1473">
        <v>44576</v>
      </c>
      <c r="L2519" s="1474"/>
      <c r="M2519" s="1475">
        <v>0</v>
      </c>
      <c r="N2519" s="1476">
        <v>1.6941828216444956</v>
      </c>
      <c r="O2519" s="1476"/>
    </row>
    <row r="2520" spans="11:15">
      <c r="K2520" s="1473">
        <v>44577</v>
      </c>
      <c r="L2520" s="1474"/>
      <c r="M2520" s="1475">
        <v>0</v>
      </c>
      <c r="N2520" s="1476">
        <v>1.6941828216444956</v>
      </c>
      <c r="O2520" s="1476"/>
    </row>
    <row r="2521" spans="11:15">
      <c r="K2521" s="1473">
        <v>44578</v>
      </c>
      <c r="L2521" s="1474" t="s">
        <v>2123</v>
      </c>
      <c r="M2521" s="1475">
        <v>3.4749000000000002E-2</v>
      </c>
      <c r="N2521" s="1476">
        <v>1.694771533233189</v>
      </c>
      <c r="O2521" s="1476"/>
    </row>
    <row r="2522" spans="11:15">
      <c r="K2522" s="1473">
        <v>44579</v>
      </c>
      <c r="L2522" s="1474" t="s">
        <v>2123</v>
      </c>
      <c r="M2522" s="1475">
        <v>3.4749000000000002E-2</v>
      </c>
      <c r="N2522" s="1476">
        <v>1.6953604493932721</v>
      </c>
      <c r="O2522" s="1476"/>
    </row>
    <row r="2523" spans="11:15">
      <c r="K2523" s="1473">
        <v>44580</v>
      </c>
      <c r="L2523" s="1474" t="s">
        <v>2123</v>
      </c>
      <c r="M2523" s="1475">
        <v>3.4749000000000002E-2</v>
      </c>
      <c r="N2523" s="1476">
        <v>1.6959495701958318</v>
      </c>
      <c r="O2523" s="1476"/>
    </row>
    <row r="2524" spans="11:15">
      <c r="K2524" s="1473">
        <v>44581</v>
      </c>
      <c r="L2524" s="1474" t="s">
        <v>2123</v>
      </c>
      <c r="M2524" s="1475">
        <v>3.4749000000000002E-2</v>
      </c>
      <c r="N2524" s="1476">
        <v>1.6965388957119791</v>
      </c>
      <c r="O2524" s="1476"/>
    </row>
    <row r="2525" spans="11:15">
      <c r="K2525" s="1473">
        <v>44582</v>
      </c>
      <c r="L2525" s="1474" t="s">
        <v>2123</v>
      </c>
      <c r="M2525" s="1475">
        <v>3.4749000000000002E-2</v>
      </c>
      <c r="N2525" s="1476">
        <v>1.6971284260128501</v>
      </c>
      <c r="O2525" s="1476"/>
    </row>
    <row r="2526" spans="11:15">
      <c r="K2526" s="1473">
        <v>44583</v>
      </c>
      <c r="L2526" s="1474"/>
      <c r="M2526" s="1475">
        <v>0</v>
      </c>
      <c r="N2526" s="1476">
        <v>1.6971284260128501</v>
      </c>
      <c r="O2526" s="1476"/>
    </row>
    <row r="2527" spans="11:15">
      <c r="K2527" s="1473">
        <v>44584</v>
      </c>
      <c r="L2527" s="1474"/>
      <c r="M2527" s="1475">
        <v>0</v>
      </c>
      <c r="N2527" s="1476">
        <v>1.6971284260128501</v>
      </c>
      <c r="O2527" s="1476"/>
    </row>
    <row r="2528" spans="11:15">
      <c r="K2528" s="1473">
        <v>44585</v>
      </c>
      <c r="L2528" s="1474" t="s">
        <v>2123</v>
      </c>
      <c r="M2528" s="1475">
        <v>3.4749000000000002E-2</v>
      </c>
      <c r="N2528" s="1476">
        <v>1.6977181611696053</v>
      </c>
      <c r="O2528" s="1476"/>
    </row>
    <row r="2529" spans="11:15">
      <c r="K2529" s="1473">
        <v>44586</v>
      </c>
      <c r="L2529" s="1474" t="s">
        <v>2123</v>
      </c>
      <c r="M2529" s="1475">
        <v>3.4749000000000002E-2</v>
      </c>
      <c r="N2529" s="1476">
        <v>1.69830810125343</v>
      </c>
      <c r="O2529" s="1476"/>
    </row>
    <row r="2530" spans="11:15">
      <c r="K2530" s="1473">
        <v>44587</v>
      </c>
      <c r="L2530" s="1474" t="s">
        <v>2123</v>
      </c>
      <c r="M2530" s="1475">
        <v>3.4749000000000002E-2</v>
      </c>
      <c r="N2530" s="1476">
        <v>1.6988982463355347</v>
      </c>
      <c r="O2530" s="1476"/>
    </row>
    <row r="2531" spans="11:15">
      <c r="K2531" s="1473">
        <v>44588</v>
      </c>
      <c r="L2531" s="1474" t="s">
        <v>2123</v>
      </c>
      <c r="M2531" s="1475">
        <v>3.4749000000000002E-2</v>
      </c>
      <c r="N2531" s="1476">
        <v>1.6994885964871538</v>
      </c>
      <c r="O2531" s="1476"/>
    </row>
    <row r="2532" spans="11:15">
      <c r="K2532" s="1473">
        <v>44589</v>
      </c>
      <c r="L2532" s="1474" t="s">
        <v>2123</v>
      </c>
      <c r="M2532" s="1475">
        <v>3.4749000000000002E-2</v>
      </c>
      <c r="N2532" s="1476">
        <v>1.700079151779547</v>
      </c>
      <c r="O2532" s="1476"/>
    </row>
    <row r="2533" spans="11:15">
      <c r="K2533" s="1473">
        <v>44590</v>
      </c>
      <c r="L2533" s="1474"/>
      <c r="M2533" s="1475">
        <v>0</v>
      </c>
      <c r="N2533" s="1476">
        <v>1.700079151779547</v>
      </c>
      <c r="O2533" s="1476"/>
    </row>
    <row r="2534" spans="11:15">
      <c r="K2534" s="1473">
        <v>44591</v>
      </c>
      <c r="L2534" s="1474"/>
      <c r="M2534" s="1475">
        <v>0</v>
      </c>
      <c r="N2534" s="1476">
        <v>1.700079151779547</v>
      </c>
      <c r="O2534" s="1476"/>
    </row>
    <row r="2535" spans="11:15">
      <c r="K2535" s="1473">
        <v>44592</v>
      </c>
      <c r="L2535" s="1474" t="s">
        <v>2123</v>
      </c>
      <c r="M2535" s="1475">
        <v>3.4749000000000002E-2</v>
      </c>
      <c r="N2535" s="1476">
        <v>1.700669912283999</v>
      </c>
      <c r="O2535" s="1476"/>
    </row>
    <row r="2536" spans="11:15">
      <c r="K2536" s="1473">
        <v>44593</v>
      </c>
      <c r="L2536" s="1474" t="s">
        <v>2123</v>
      </c>
      <c r="M2536" s="1475">
        <v>3.4749000000000002E-2</v>
      </c>
      <c r="N2536" s="1476">
        <v>1.7012608780718186</v>
      </c>
      <c r="O2536" s="1476"/>
    </row>
    <row r="2537" spans="11:15">
      <c r="K2537" s="1473">
        <v>44594</v>
      </c>
      <c r="L2537" s="1474" t="s">
        <v>2123</v>
      </c>
      <c r="M2537" s="1475">
        <v>3.4749000000000002E-2</v>
      </c>
      <c r="N2537" s="1476">
        <v>1.7018520492143399</v>
      </c>
      <c r="O2537" s="1476"/>
    </row>
    <row r="2538" spans="11:15">
      <c r="K2538" s="1473">
        <v>44595</v>
      </c>
      <c r="L2538" s="1474" t="s">
        <v>2123</v>
      </c>
      <c r="M2538" s="1475">
        <v>4.0168000000000002E-2</v>
      </c>
      <c r="N2538" s="1476">
        <v>1.7025356491454682</v>
      </c>
      <c r="O2538" s="1476"/>
    </row>
    <row r="2539" spans="11:15">
      <c r="K2539" s="1473">
        <v>44596</v>
      </c>
      <c r="L2539" s="1474" t="s">
        <v>2123</v>
      </c>
      <c r="M2539" s="1475">
        <v>4.0168000000000002E-2</v>
      </c>
      <c r="N2539" s="1476">
        <v>1.7032195236650169</v>
      </c>
      <c r="O2539" s="1476"/>
    </row>
    <row r="2540" spans="11:15">
      <c r="K2540" s="1473">
        <v>44597</v>
      </c>
      <c r="L2540" s="1474"/>
      <c r="M2540" s="1475">
        <v>0</v>
      </c>
      <c r="N2540" s="1476">
        <v>1.7032195236650169</v>
      </c>
      <c r="O2540" s="1476"/>
    </row>
    <row r="2541" spans="11:15">
      <c r="K2541" s="1473">
        <v>44598</v>
      </c>
      <c r="L2541" s="1474"/>
      <c r="M2541" s="1475">
        <v>0</v>
      </c>
      <c r="N2541" s="1476">
        <v>1.7032195236650169</v>
      </c>
      <c r="O2541" s="1476"/>
    </row>
    <row r="2542" spans="11:15">
      <c r="K2542" s="1473">
        <v>44599</v>
      </c>
      <c r="L2542" s="1474" t="s">
        <v>2123</v>
      </c>
      <c r="M2542" s="1475">
        <v>4.0168000000000002E-2</v>
      </c>
      <c r="N2542" s="1476">
        <v>1.7039036728832826</v>
      </c>
      <c r="O2542" s="1476"/>
    </row>
    <row r="2543" spans="11:15">
      <c r="K2543" s="1473">
        <v>44600</v>
      </c>
      <c r="L2543" s="1474" t="s">
        <v>2123</v>
      </c>
      <c r="M2543" s="1475">
        <v>4.0168000000000002E-2</v>
      </c>
      <c r="N2543" s="1476">
        <v>1.7045880969106062</v>
      </c>
      <c r="O2543" s="1476"/>
    </row>
    <row r="2544" spans="11:15">
      <c r="K2544" s="1473">
        <v>44601</v>
      </c>
      <c r="L2544" s="1474" t="s">
        <v>2123</v>
      </c>
      <c r="M2544" s="1475">
        <v>4.0168000000000002E-2</v>
      </c>
      <c r="N2544" s="1476">
        <v>1.7052727958573732</v>
      </c>
      <c r="O2544" s="1476"/>
    </row>
    <row r="2545" spans="11:15">
      <c r="K2545" s="1473">
        <v>44602</v>
      </c>
      <c r="L2545" s="1474" t="s">
        <v>2123</v>
      </c>
      <c r="M2545" s="1475">
        <v>4.0168000000000002E-2</v>
      </c>
      <c r="N2545" s="1476">
        <v>1.7059577698340131</v>
      </c>
      <c r="O2545" s="1476"/>
    </row>
    <row r="2546" spans="11:15">
      <c r="K2546" s="1473">
        <v>44603</v>
      </c>
      <c r="L2546" s="1474" t="s">
        <v>2123</v>
      </c>
      <c r="M2546" s="1475">
        <v>4.0168000000000002E-2</v>
      </c>
      <c r="N2546" s="1476">
        <v>1.706643018951</v>
      </c>
      <c r="O2546" s="1476"/>
    </row>
    <row r="2547" spans="11:15">
      <c r="K2547" s="1473">
        <v>44604</v>
      </c>
      <c r="L2547" s="1474"/>
      <c r="M2547" s="1475">
        <v>0</v>
      </c>
      <c r="N2547" s="1476">
        <v>1.706643018951</v>
      </c>
      <c r="O2547" s="1476"/>
    </row>
    <row r="2548" spans="11:15">
      <c r="K2548" s="1473">
        <v>44605</v>
      </c>
      <c r="L2548" s="1474"/>
      <c r="M2548" s="1475">
        <v>0</v>
      </c>
      <c r="N2548" s="1476">
        <v>1.706643018951</v>
      </c>
      <c r="O2548" s="1476"/>
    </row>
    <row r="2549" spans="11:15">
      <c r="K2549" s="1473">
        <v>44606</v>
      </c>
      <c r="L2549" s="1474" t="s">
        <v>2123</v>
      </c>
      <c r="M2549" s="1475">
        <v>4.0168000000000002E-2</v>
      </c>
      <c r="N2549" s="1476">
        <v>1.7073285433188521</v>
      </c>
      <c r="O2549" s="1476"/>
    </row>
    <row r="2550" spans="11:15">
      <c r="K2550" s="1473">
        <v>44607</v>
      </c>
      <c r="L2550" s="1474" t="s">
        <v>2123</v>
      </c>
      <c r="M2550" s="1475">
        <v>4.0168000000000002E-2</v>
      </c>
      <c r="N2550" s="1476">
        <v>1.7080143430481323</v>
      </c>
      <c r="O2550" s="1476"/>
    </row>
    <row r="2551" spans="11:15">
      <c r="K2551" s="1473">
        <v>44608</v>
      </c>
      <c r="L2551" s="1474" t="s">
        <v>2123</v>
      </c>
      <c r="M2551" s="1475">
        <v>4.0168000000000002E-2</v>
      </c>
      <c r="N2551" s="1476">
        <v>1.7087004182494478</v>
      </c>
      <c r="O2551" s="1476"/>
    </row>
    <row r="2552" spans="11:15">
      <c r="K2552" s="1473">
        <v>44609</v>
      </c>
      <c r="L2552" s="1474" t="s">
        <v>2123</v>
      </c>
      <c r="M2552" s="1475">
        <v>4.0168000000000002E-2</v>
      </c>
      <c r="N2552" s="1476">
        <v>1.7093867690334503</v>
      </c>
      <c r="O2552" s="1476"/>
    </row>
    <row r="2553" spans="11:15">
      <c r="K2553" s="1473">
        <v>44610</v>
      </c>
      <c r="L2553" s="1474" t="s">
        <v>2123</v>
      </c>
      <c r="M2553" s="1475">
        <v>4.0168000000000002E-2</v>
      </c>
      <c r="N2553" s="1476">
        <v>1.7100733955108356</v>
      </c>
      <c r="O2553" s="1476"/>
    </row>
    <row r="2554" spans="11:15">
      <c r="K2554" s="1473">
        <v>44611</v>
      </c>
      <c r="L2554" s="1474"/>
      <c r="M2554" s="1475">
        <v>0</v>
      </c>
      <c r="N2554" s="1476">
        <v>1.7100733955108356</v>
      </c>
      <c r="O2554" s="1476"/>
    </row>
    <row r="2555" spans="11:15">
      <c r="K2555" s="1473">
        <v>44612</v>
      </c>
      <c r="L2555" s="1474"/>
      <c r="M2555" s="1475">
        <v>0</v>
      </c>
      <c r="N2555" s="1476">
        <v>1.7100733955108356</v>
      </c>
      <c r="O2555" s="1476"/>
    </row>
    <row r="2556" spans="11:15">
      <c r="K2556" s="1473">
        <v>44613</v>
      </c>
      <c r="L2556" s="1474" t="s">
        <v>2123</v>
      </c>
      <c r="M2556" s="1475">
        <v>4.0168000000000002E-2</v>
      </c>
      <c r="N2556" s="1476">
        <v>1.7107602977923444</v>
      </c>
      <c r="O2556" s="1476"/>
    </row>
    <row r="2557" spans="11:15">
      <c r="K2557" s="1473">
        <v>44614</v>
      </c>
      <c r="L2557" s="1474" t="s">
        <v>2123</v>
      </c>
      <c r="M2557" s="1475">
        <v>4.0168000000000002E-2</v>
      </c>
      <c r="N2557" s="1476">
        <v>1.7114474759887615</v>
      </c>
      <c r="O2557" s="1476"/>
    </row>
    <row r="2558" spans="11:15">
      <c r="K2558" s="1473">
        <v>44615</v>
      </c>
      <c r="L2558" s="1474" t="s">
        <v>2123</v>
      </c>
      <c r="M2558" s="1475">
        <v>4.0168000000000002E-2</v>
      </c>
      <c r="N2558" s="1476">
        <v>1.7121349302109166</v>
      </c>
      <c r="O2558" s="1476"/>
    </row>
    <row r="2559" spans="11:15">
      <c r="K2559" s="1473">
        <v>44616</v>
      </c>
      <c r="L2559" s="1474" t="s">
        <v>2123</v>
      </c>
      <c r="M2559" s="1475">
        <v>4.0168000000000002E-2</v>
      </c>
      <c r="N2559" s="1476">
        <v>1.7128226605696837</v>
      </c>
      <c r="O2559" s="1476"/>
    </row>
    <row r="2560" spans="11:15">
      <c r="K2560" s="1473">
        <v>44617</v>
      </c>
      <c r="L2560" s="1474" t="s">
        <v>2123</v>
      </c>
      <c r="M2560" s="1475">
        <v>4.0168000000000002E-2</v>
      </c>
      <c r="N2560" s="1476">
        <v>1.7135106671759812</v>
      </c>
      <c r="O2560" s="1476"/>
    </row>
    <row r="2561" spans="11:15">
      <c r="K2561" s="1473">
        <v>44618</v>
      </c>
      <c r="L2561" s="1474"/>
      <c r="M2561" s="1475">
        <v>0</v>
      </c>
      <c r="N2561" s="1476">
        <v>1.7135106671759812</v>
      </c>
      <c r="O2561" s="1476"/>
    </row>
    <row r="2562" spans="11:15">
      <c r="K2562" s="1473">
        <v>44619</v>
      </c>
      <c r="L2562" s="1474"/>
      <c r="M2562" s="1475">
        <v>0</v>
      </c>
      <c r="N2562" s="1476">
        <v>1.7135106671759812</v>
      </c>
      <c r="O2562" s="1476"/>
    </row>
    <row r="2563" spans="11:15">
      <c r="K2563" s="1473">
        <v>44620</v>
      </c>
      <c r="L2563" s="1474"/>
      <c r="M2563" s="1475">
        <v>0</v>
      </c>
      <c r="N2563" s="1476">
        <v>1.7135106671759812</v>
      </c>
      <c r="O2563" s="1476"/>
    </row>
    <row r="2564" spans="11:15">
      <c r="K2564" s="1473">
        <v>44621</v>
      </c>
      <c r="L2564" s="1474"/>
      <c r="M2564" s="1475">
        <v>0</v>
      </c>
      <c r="N2564" s="1476">
        <v>1.7135106671759812</v>
      </c>
      <c r="O2564" s="1476"/>
    </row>
    <row r="2565" spans="11:15">
      <c r="K2565" s="1473">
        <v>44622</v>
      </c>
      <c r="L2565" s="1474" t="s">
        <v>2123</v>
      </c>
      <c r="M2565" s="1475">
        <v>4.0168000000000002E-2</v>
      </c>
      <c r="N2565" s="1476">
        <v>1.7141989501407724</v>
      </c>
      <c r="O2565" s="1476"/>
    </row>
    <row r="2566" spans="11:15">
      <c r="K2566" s="1473">
        <v>44623</v>
      </c>
      <c r="L2566" s="1474" t="s">
        <v>2123</v>
      </c>
      <c r="M2566" s="1475">
        <v>4.0168000000000002E-2</v>
      </c>
      <c r="N2566" s="1476">
        <v>1.7148875095750649</v>
      </c>
      <c r="O2566" s="1476"/>
    </row>
    <row r="2567" spans="11:15">
      <c r="K2567" s="1473">
        <v>44624</v>
      </c>
      <c r="L2567" s="1474" t="s">
        <v>2123</v>
      </c>
      <c r="M2567" s="1475">
        <v>4.0168000000000002E-2</v>
      </c>
      <c r="N2567" s="1476">
        <v>1.7155763455899109</v>
      </c>
      <c r="O2567" s="1476"/>
    </row>
    <row r="2568" spans="11:15">
      <c r="K2568" s="1473">
        <v>44625</v>
      </c>
      <c r="L2568" s="1474"/>
      <c r="M2568" s="1475">
        <v>0</v>
      </c>
      <c r="N2568" s="1476">
        <v>1.7155763455899109</v>
      </c>
      <c r="O2568" s="1476"/>
    </row>
    <row r="2569" spans="11:15">
      <c r="K2569" s="1473">
        <v>44626</v>
      </c>
      <c r="L2569" s="1474"/>
      <c r="M2569" s="1475">
        <v>0</v>
      </c>
      <c r="N2569" s="1476">
        <v>1.7155763455899109</v>
      </c>
      <c r="O2569" s="1476"/>
    </row>
    <row r="2570" spans="11:15">
      <c r="K2570" s="1473">
        <v>44627</v>
      </c>
      <c r="L2570" s="1474" t="s">
        <v>2123</v>
      </c>
      <c r="M2570" s="1475">
        <v>4.0168000000000002E-2</v>
      </c>
      <c r="N2570" s="1476">
        <v>1.7162654582964074</v>
      </c>
      <c r="O2570" s="1476"/>
    </row>
    <row r="2571" spans="11:15">
      <c r="K2571" s="1473">
        <v>44628</v>
      </c>
      <c r="L2571" s="1474" t="s">
        <v>2123</v>
      </c>
      <c r="M2571" s="1475">
        <v>4.0168000000000002E-2</v>
      </c>
      <c r="N2571" s="1476">
        <v>1.716954847805696</v>
      </c>
      <c r="O2571" s="1476"/>
    </row>
    <row r="2572" spans="11:15">
      <c r="K2572" s="1473">
        <v>44629</v>
      </c>
      <c r="L2572" s="1474" t="s">
        <v>2123</v>
      </c>
      <c r="M2572" s="1475">
        <v>4.0168000000000002E-2</v>
      </c>
      <c r="N2572" s="1476">
        <v>1.7176445142289625</v>
      </c>
      <c r="O2572" s="1476"/>
    </row>
    <row r="2573" spans="11:15">
      <c r="K2573" s="1473">
        <v>44630</v>
      </c>
      <c r="L2573" s="1474" t="s">
        <v>2123</v>
      </c>
      <c r="M2573" s="1475">
        <v>4.0168000000000002E-2</v>
      </c>
      <c r="N2573" s="1476">
        <v>1.718334457677438</v>
      </c>
      <c r="O2573" s="1476"/>
    </row>
    <row r="2574" spans="11:15">
      <c r="K2574" s="1473">
        <v>44631</v>
      </c>
      <c r="L2574" s="1474" t="s">
        <v>2123</v>
      </c>
      <c r="M2574" s="1475">
        <v>4.0168000000000002E-2</v>
      </c>
      <c r="N2574" s="1476">
        <v>1.7190246782623977</v>
      </c>
      <c r="O2574" s="1476"/>
    </row>
    <row r="2575" spans="11:15">
      <c r="K2575" s="1473">
        <v>44632</v>
      </c>
      <c r="L2575" s="1474"/>
      <c r="M2575" s="1475">
        <v>0</v>
      </c>
      <c r="N2575" s="1476">
        <v>1.7190246782623977</v>
      </c>
      <c r="O2575" s="1476"/>
    </row>
    <row r="2576" spans="11:15">
      <c r="K2576" s="1473">
        <v>44633</v>
      </c>
      <c r="L2576" s="1474"/>
      <c r="M2576" s="1475">
        <v>0</v>
      </c>
      <c r="N2576" s="1476">
        <v>1.7190246782623977</v>
      </c>
      <c r="O2576" s="1476"/>
    </row>
    <row r="2577" spans="11:15">
      <c r="K2577" s="1473">
        <v>44634</v>
      </c>
      <c r="L2577" s="1474" t="s">
        <v>2123</v>
      </c>
      <c r="M2577" s="1475">
        <v>4.0168000000000002E-2</v>
      </c>
      <c r="N2577" s="1476">
        <v>1.7197151760951621</v>
      </c>
      <c r="O2577" s="1476"/>
    </row>
    <row r="2578" spans="11:15">
      <c r="K2578" s="1473">
        <v>44635</v>
      </c>
      <c r="L2578" s="1474" t="s">
        <v>2123</v>
      </c>
      <c r="M2578" s="1475">
        <v>4.0168000000000002E-2</v>
      </c>
      <c r="N2578" s="1476">
        <v>1.7204059512870959</v>
      </c>
      <c r="O2578" s="1476"/>
    </row>
    <row r="2579" spans="11:15">
      <c r="K2579" s="1473">
        <v>44636</v>
      </c>
      <c r="L2579" s="1474" t="s">
        <v>2123</v>
      </c>
      <c r="M2579" s="1475">
        <v>4.0168000000000002E-2</v>
      </c>
      <c r="N2579" s="1476">
        <v>1.721097003949609</v>
      </c>
      <c r="O2579" s="1476"/>
    </row>
    <row r="2580" spans="11:15">
      <c r="K2580" s="1473">
        <v>44637</v>
      </c>
      <c r="L2580" s="1474" t="s">
        <v>2123</v>
      </c>
      <c r="M2580" s="1475">
        <v>4.3739E-2</v>
      </c>
      <c r="N2580" s="1476">
        <v>1.7218497945681666</v>
      </c>
      <c r="O2580" s="1476"/>
    </row>
    <row r="2581" spans="11:15">
      <c r="K2581" s="1473">
        <v>44638</v>
      </c>
      <c r="L2581" s="1474" t="s">
        <v>2123</v>
      </c>
      <c r="M2581" s="1475">
        <v>4.3739E-2</v>
      </c>
      <c r="N2581" s="1476">
        <v>1.7226029144498129</v>
      </c>
      <c r="O2581" s="1476"/>
    </row>
    <row r="2582" spans="11:15">
      <c r="K2582" s="1473">
        <v>44639</v>
      </c>
      <c r="L2582" s="1474"/>
      <c r="M2582" s="1475">
        <v>0</v>
      </c>
      <c r="N2582" s="1476">
        <v>1.7226029144498129</v>
      </c>
      <c r="O2582" s="1476"/>
    </row>
    <row r="2583" spans="11:15">
      <c r="K2583" s="1473">
        <v>44640</v>
      </c>
      <c r="L2583" s="1474"/>
      <c r="M2583" s="1475">
        <v>0</v>
      </c>
      <c r="N2583" s="1476">
        <v>1.7226029144498129</v>
      </c>
      <c r="O2583" s="1476"/>
    </row>
    <row r="2584" spans="11:15">
      <c r="K2584" s="1473">
        <v>44641</v>
      </c>
      <c r="L2584" s="1474" t="s">
        <v>2123</v>
      </c>
      <c r="M2584" s="1475">
        <v>4.3739E-2</v>
      </c>
      <c r="N2584" s="1476">
        <v>1.7233563637385643</v>
      </c>
      <c r="O2584" s="1476"/>
    </row>
    <row r="2585" spans="11:15">
      <c r="K2585" s="1473">
        <v>44642</v>
      </c>
      <c r="L2585" s="1474" t="s">
        <v>2123</v>
      </c>
      <c r="M2585" s="1475">
        <v>4.3739E-2</v>
      </c>
      <c r="N2585" s="1476">
        <v>1.7241101425785001</v>
      </c>
      <c r="O2585" s="1476"/>
    </row>
    <row r="2586" spans="11:15">
      <c r="K2586" s="1473">
        <v>44643</v>
      </c>
      <c r="L2586" s="1474" t="s">
        <v>2123</v>
      </c>
      <c r="M2586" s="1475">
        <v>4.3739E-2</v>
      </c>
      <c r="N2586" s="1476">
        <v>1.7248642511137626</v>
      </c>
      <c r="O2586" s="1476"/>
    </row>
    <row r="2587" spans="11:15">
      <c r="K2587" s="1473">
        <v>44644</v>
      </c>
      <c r="L2587" s="1474" t="s">
        <v>2123</v>
      </c>
      <c r="M2587" s="1475">
        <v>4.3739E-2</v>
      </c>
      <c r="N2587" s="1476">
        <v>1.7256186894885575</v>
      </c>
      <c r="O2587" s="1476"/>
    </row>
    <row r="2588" spans="11:15">
      <c r="K2588" s="1473">
        <v>44645</v>
      </c>
      <c r="L2588" s="1474" t="s">
        <v>2123</v>
      </c>
      <c r="M2588" s="1475">
        <v>4.3739E-2</v>
      </c>
      <c r="N2588" s="1476">
        <v>1.726373457847153</v>
      </c>
      <c r="O2588" s="1476"/>
    </row>
    <row r="2589" spans="11:15">
      <c r="K2589" s="1473">
        <v>44646</v>
      </c>
      <c r="L2589" s="1474"/>
      <c r="M2589" s="1475">
        <v>0</v>
      </c>
      <c r="N2589" s="1476">
        <v>1.726373457847153</v>
      </c>
      <c r="O2589" s="1476"/>
    </row>
    <row r="2590" spans="11:15">
      <c r="K2590" s="1473">
        <v>44647</v>
      </c>
      <c r="L2590" s="1474"/>
      <c r="M2590" s="1475">
        <v>0</v>
      </c>
      <c r="N2590" s="1476">
        <v>1.726373457847153</v>
      </c>
      <c r="O2590" s="1476"/>
    </row>
    <row r="2591" spans="11:15">
      <c r="K2591" s="1473">
        <v>44648</v>
      </c>
      <c r="L2591" s="1474" t="s">
        <v>2123</v>
      </c>
      <c r="M2591" s="1475">
        <v>4.3739E-2</v>
      </c>
      <c r="N2591" s="1476">
        <v>1.727128556333881</v>
      </c>
      <c r="O2591" s="1476"/>
    </row>
    <row r="2592" spans="11:15">
      <c r="K2592" s="1473">
        <v>44649</v>
      </c>
      <c r="L2592" s="1474" t="s">
        <v>2123</v>
      </c>
      <c r="M2592" s="1475">
        <v>4.3739E-2</v>
      </c>
      <c r="N2592" s="1476">
        <v>1.727883985093136</v>
      </c>
      <c r="O2592" s="1476"/>
    </row>
    <row r="2593" spans="11:15">
      <c r="K2593" s="1473">
        <v>44650</v>
      </c>
      <c r="L2593" s="1474" t="s">
        <v>2123</v>
      </c>
      <c r="M2593" s="1475">
        <v>4.3739E-2</v>
      </c>
      <c r="N2593" s="1476">
        <v>1.7286397442693762</v>
      </c>
      <c r="O2593" s="1476"/>
    </row>
    <row r="2594" spans="11:15">
      <c r="K2594" s="1473">
        <v>44651</v>
      </c>
      <c r="L2594" s="1474" t="s">
        <v>2123</v>
      </c>
      <c r="M2594" s="1475">
        <v>4.3739E-2</v>
      </c>
      <c r="N2594" s="1476">
        <v>1.7293958340071223</v>
      </c>
      <c r="O2594" s="1476"/>
    </row>
    <row r="2595" spans="11:15">
      <c r="K2595" s="1473">
        <v>44652</v>
      </c>
      <c r="L2595" s="1474" t="s">
        <v>2123</v>
      </c>
      <c r="M2595" s="1475">
        <v>4.3739E-2</v>
      </c>
      <c r="N2595" s="1476">
        <v>1.7301522544509589</v>
      </c>
      <c r="O2595" s="1476"/>
    </row>
    <row r="2596" spans="11:15">
      <c r="K2596" s="1473">
        <v>44653</v>
      </c>
      <c r="L2596" s="1474"/>
      <c r="M2596" s="1475">
        <v>0</v>
      </c>
      <c r="N2596" s="1476">
        <v>1.7301522544509589</v>
      </c>
      <c r="O2596" s="1476"/>
    </row>
    <row r="2597" spans="11:15">
      <c r="K2597" s="1473">
        <v>44654</v>
      </c>
      <c r="L2597" s="1474"/>
      <c r="M2597" s="1475">
        <v>0</v>
      </c>
      <c r="N2597" s="1476">
        <v>1.7301522544509589</v>
      </c>
      <c r="O2597" s="1476"/>
    </row>
    <row r="2598" spans="11:15">
      <c r="K2598" s="1473">
        <v>44655</v>
      </c>
      <c r="L2598" s="1474" t="s">
        <v>2123</v>
      </c>
      <c r="M2598" s="1475">
        <v>4.3739E-2</v>
      </c>
      <c r="N2598" s="1476">
        <v>1.7309090057455334</v>
      </c>
      <c r="O2598" s="1476"/>
    </row>
    <row r="2599" spans="11:15">
      <c r="K2599" s="1473">
        <v>44656</v>
      </c>
      <c r="L2599" s="1474" t="s">
        <v>2123</v>
      </c>
      <c r="M2599" s="1475">
        <v>4.3739E-2</v>
      </c>
      <c r="N2599" s="1476">
        <v>1.7316660880355565</v>
      </c>
      <c r="O2599" s="1476"/>
    </row>
    <row r="2600" spans="11:15">
      <c r="K2600" s="1473">
        <v>44657</v>
      </c>
      <c r="L2600" s="1474" t="s">
        <v>2123</v>
      </c>
      <c r="M2600" s="1475">
        <v>4.3739E-2</v>
      </c>
      <c r="N2600" s="1476">
        <v>1.7324235014658025</v>
      </c>
      <c r="O2600" s="1476"/>
    </row>
    <row r="2601" spans="11:15">
      <c r="K2601" s="1473">
        <v>44658</v>
      </c>
      <c r="L2601" s="1474" t="s">
        <v>2123</v>
      </c>
      <c r="M2601" s="1475">
        <v>4.3739E-2</v>
      </c>
      <c r="N2601" s="1476">
        <v>1.7331812461811087</v>
      </c>
      <c r="O2601" s="1476"/>
    </row>
    <row r="2602" spans="11:15">
      <c r="K2602" s="1473">
        <v>44659</v>
      </c>
      <c r="L2602" s="1474" t="s">
        <v>2123</v>
      </c>
      <c r="M2602" s="1475">
        <v>4.3739E-2</v>
      </c>
      <c r="N2602" s="1476">
        <v>1.7339393223263759</v>
      </c>
      <c r="O2602" s="1476"/>
    </row>
    <row r="2603" spans="11:15">
      <c r="K2603" s="1473">
        <v>44660</v>
      </c>
      <c r="L2603" s="1474"/>
      <c r="M2603" s="1475">
        <v>0</v>
      </c>
      <c r="N2603" s="1476">
        <v>1.7339393223263759</v>
      </c>
      <c r="O2603" s="1476"/>
    </row>
    <row r="2604" spans="11:15">
      <c r="K2604" s="1473">
        <v>44661</v>
      </c>
      <c r="L2604" s="1474"/>
      <c r="M2604" s="1475">
        <v>0</v>
      </c>
      <c r="N2604" s="1476">
        <v>1.7339393223263759</v>
      </c>
      <c r="O2604" s="1476"/>
    </row>
    <row r="2605" spans="11:15">
      <c r="K2605" s="1473">
        <v>44662</v>
      </c>
      <c r="L2605" s="1474" t="s">
        <v>2123</v>
      </c>
      <c r="M2605" s="1475">
        <v>4.3739E-2</v>
      </c>
      <c r="N2605" s="1476">
        <v>1.7346977300465685</v>
      </c>
      <c r="O2605" s="1476"/>
    </row>
    <row r="2606" spans="11:15">
      <c r="K2606" s="1473">
        <v>44663</v>
      </c>
      <c r="L2606" s="1474" t="s">
        <v>2123</v>
      </c>
      <c r="M2606" s="1475">
        <v>4.3739E-2</v>
      </c>
      <c r="N2606" s="1476">
        <v>1.7354564694867136</v>
      </c>
      <c r="O2606" s="1476"/>
    </row>
    <row r="2607" spans="11:15">
      <c r="K2607" s="1473">
        <v>44664</v>
      </c>
      <c r="L2607" s="1474" t="s">
        <v>2123</v>
      </c>
      <c r="M2607" s="1475">
        <v>4.3739E-2</v>
      </c>
      <c r="N2607" s="1476">
        <v>1.7362155407919027</v>
      </c>
      <c r="O2607" s="1476"/>
    </row>
    <row r="2608" spans="11:15">
      <c r="K2608" s="1473">
        <v>44665</v>
      </c>
      <c r="L2608" s="1474" t="s">
        <v>2123</v>
      </c>
      <c r="M2608" s="1475">
        <v>4.3739E-2</v>
      </c>
      <c r="N2608" s="1476">
        <v>1.7369749441072897</v>
      </c>
      <c r="O2608" s="1476"/>
    </row>
    <row r="2609" spans="11:15">
      <c r="K2609" s="1473">
        <v>44666</v>
      </c>
      <c r="L2609" s="1474"/>
      <c r="M2609" s="1475">
        <v>0</v>
      </c>
      <c r="N2609" s="1476">
        <v>1.7369749441072897</v>
      </c>
      <c r="O2609" s="1476"/>
    </row>
    <row r="2610" spans="11:15">
      <c r="K2610" s="1473">
        <v>44667</v>
      </c>
      <c r="L2610" s="1474"/>
      <c r="M2610" s="1475">
        <v>0</v>
      </c>
      <c r="N2610" s="1476">
        <v>1.7369749441072897</v>
      </c>
      <c r="O2610" s="1476"/>
    </row>
    <row r="2611" spans="11:15">
      <c r="K2611" s="1473">
        <v>44668</v>
      </c>
      <c r="L2611" s="1474"/>
      <c r="M2611" s="1475">
        <v>0</v>
      </c>
      <c r="N2611" s="1476">
        <v>1.7369749441072897</v>
      </c>
      <c r="O2611" s="1476"/>
    </row>
    <row r="2612" spans="11:15">
      <c r="K2612" s="1473">
        <v>44669</v>
      </c>
      <c r="L2612" s="1474" t="s">
        <v>2123</v>
      </c>
      <c r="M2612" s="1475">
        <v>4.3739E-2</v>
      </c>
      <c r="N2612" s="1476">
        <v>1.737734679578093</v>
      </c>
      <c r="O2612" s="1476"/>
    </row>
    <row r="2613" spans="11:15">
      <c r="K2613" s="1473">
        <v>44670</v>
      </c>
      <c r="L2613" s="1474" t="s">
        <v>2123</v>
      </c>
      <c r="M2613" s="1475">
        <v>4.3739E-2</v>
      </c>
      <c r="N2613" s="1476">
        <v>1.7384947473495937</v>
      </c>
      <c r="O2613" s="1476"/>
    </row>
    <row r="2614" spans="11:15">
      <c r="K2614" s="1473">
        <v>44671</v>
      </c>
      <c r="L2614" s="1474" t="s">
        <v>2123</v>
      </c>
      <c r="M2614" s="1475">
        <v>4.3739E-2</v>
      </c>
      <c r="N2614" s="1476">
        <v>1.7392551475671372</v>
      </c>
      <c r="O2614" s="1476"/>
    </row>
    <row r="2615" spans="11:15">
      <c r="K2615" s="1473">
        <v>44672</v>
      </c>
      <c r="L2615" s="1474"/>
      <c r="M2615" s="1475">
        <v>0</v>
      </c>
      <c r="N2615" s="1476">
        <v>1.7392551475671372</v>
      </c>
      <c r="O2615" s="1476"/>
    </row>
    <row r="2616" spans="11:15">
      <c r="K2616" s="1473">
        <v>44673</v>
      </c>
      <c r="L2616" s="1474" t="s">
        <v>2123</v>
      </c>
      <c r="M2616" s="1475">
        <v>4.3739E-2</v>
      </c>
      <c r="N2616" s="1476">
        <v>1.7400158803761316</v>
      </c>
      <c r="O2616" s="1476"/>
    </row>
    <row r="2617" spans="11:15">
      <c r="K2617" s="1473">
        <v>44674</v>
      </c>
      <c r="L2617" s="1474"/>
      <c r="M2617" s="1475">
        <v>0</v>
      </c>
      <c r="N2617" s="1476">
        <v>1.7400158803761316</v>
      </c>
      <c r="O2617" s="1476"/>
    </row>
    <row r="2618" spans="11:15">
      <c r="K2618" s="1473">
        <v>44675</v>
      </c>
      <c r="L2618" s="1474"/>
      <c r="M2618" s="1475">
        <v>0</v>
      </c>
      <c r="N2618" s="1476">
        <v>1.7400158803761316</v>
      </c>
      <c r="O2618" s="1476"/>
    </row>
    <row r="2619" spans="11:15">
      <c r="K2619" s="1473">
        <v>44676</v>
      </c>
      <c r="L2619" s="1474" t="s">
        <v>2123</v>
      </c>
      <c r="M2619" s="1475">
        <v>4.3739E-2</v>
      </c>
      <c r="N2619" s="1476">
        <v>1.7407769459220495</v>
      </c>
      <c r="O2619" s="1476"/>
    </row>
    <row r="2620" spans="11:15">
      <c r="K2620" s="1473">
        <v>44677</v>
      </c>
      <c r="L2620" s="1474" t="s">
        <v>2123</v>
      </c>
      <c r="M2620" s="1475">
        <v>4.3739E-2</v>
      </c>
      <c r="N2620" s="1476">
        <v>1.7415383443504264</v>
      </c>
      <c r="O2620" s="1476"/>
    </row>
    <row r="2621" spans="11:15">
      <c r="K2621" s="1473">
        <v>44678</v>
      </c>
      <c r="L2621" s="1474" t="s">
        <v>2123</v>
      </c>
      <c r="M2621" s="1475">
        <v>4.3739E-2</v>
      </c>
      <c r="N2621" s="1476">
        <v>1.7423000758068621</v>
      </c>
      <c r="O2621" s="1476"/>
    </row>
    <row r="2622" spans="11:15">
      <c r="K2622" s="1473">
        <v>44679</v>
      </c>
      <c r="L2622" s="1474" t="s">
        <v>2123</v>
      </c>
      <c r="M2622" s="1475">
        <v>4.3739E-2</v>
      </c>
      <c r="N2622" s="1476">
        <v>1.7430621404370195</v>
      </c>
      <c r="O2622" s="1476"/>
    </row>
    <row r="2623" spans="11:15">
      <c r="K2623" s="1473">
        <v>44680</v>
      </c>
      <c r="L2623" s="1474" t="s">
        <v>2123</v>
      </c>
      <c r="M2623" s="1475">
        <v>4.3739E-2</v>
      </c>
      <c r="N2623" s="1476">
        <v>1.7438245383866253</v>
      </c>
      <c r="O2623" s="1476"/>
    </row>
    <row r="2624" spans="11:15">
      <c r="K2624" s="1473">
        <v>44681</v>
      </c>
      <c r="L2624" s="1474"/>
      <c r="M2624" s="1475">
        <v>0</v>
      </c>
      <c r="N2624" s="1476">
        <v>1.7438245383866253</v>
      </c>
      <c r="O2624" s="1476"/>
    </row>
    <row r="2625" spans="11:15">
      <c r="K2625" s="1473">
        <v>44682</v>
      </c>
      <c r="L2625" s="1474"/>
      <c r="M2625" s="1475">
        <v>0</v>
      </c>
      <c r="N2625" s="1476">
        <v>1.7438245383866253</v>
      </c>
      <c r="O2625" s="1476"/>
    </row>
    <row r="2626" spans="11:15">
      <c r="K2626" s="1473">
        <v>44683</v>
      </c>
      <c r="L2626" s="1474" t="s">
        <v>2123</v>
      </c>
      <c r="M2626" s="1475">
        <v>4.3739E-2</v>
      </c>
      <c r="N2626" s="1476">
        <v>1.7445872698014704</v>
      </c>
      <c r="O2626" s="1476"/>
    </row>
    <row r="2627" spans="11:15">
      <c r="K2627" s="1473">
        <v>44684</v>
      </c>
      <c r="L2627" s="1474" t="s">
        <v>2123</v>
      </c>
      <c r="M2627" s="1475">
        <v>4.3739E-2</v>
      </c>
      <c r="N2627" s="1476">
        <v>1.7453503348274091</v>
      </c>
      <c r="O2627" s="1476"/>
    </row>
    <row r="2628" spans="11:15">
      <c r="K2628" s="1473">
        <v>44685</v>
      </c>
      <c r="L2628" s="1474" t="s">
        <v>2123</v>
      </c>
      <c r="M2628" s="1475">
        <v>4.3739E-2</v>
      </c>
      <c r="N2628" s="1476">
        <v>1.7461137336103594</v>
      </c>
      <c r="O2628" s="1476"/>
    </row>
    <row r="2629" spans="11:15">
      <c r="K2629" s="1473">
        <v>44686</v>
      </c>
      <c r="L2629" s="1474" t="s">
        <v>2123</v>
      </c>
      <c r="M2629" s="1475">
        <v>4.7279000000000002E-2</v>
      </c>
      <c r="N2629" s="1476">
        <v>1.7469392787224729</v>
      </c>
      <c r="O2629" s="1476"/>
    </row>
    <row r="2630" spans="11:15">
      <c r="K2630" s="1473">
        <v>44687</v>
      </c>
      <c r="L2630" s="1474" t="s">
        <v>2123</v>
      </c>
      <c r="M2630" s="1475">
        <v>4.7279000000000002E-2</v>
      </c>
      <c r="N2630" s="1476">
        <v>1.7477652141440598</v>
      </c>
      <c r="O2630" s="1476"/>
    </row>
    <row r="2631" spans="11:15">
      <c r="K2631" s="1473">
        <v>44688</v>
      </c>
      <c r="L2631" s="1474"/>
      <c r="M2631" s="1475">
        <v>0</v>
      </c>
      <c r="N2631" s="1476">
        <v>1.7477652141440598</v>
      </c>
      <c r="O2631" s="1476"/>
    </row>
    <row r="2632" spans="11:15">
      <c r="K2632" s="1473">
        <v>44689</v>
      </c>
      <c r="L2632" s="1474"/>
      <c r="M2632" s="1475">
        <v>0</v>
      </c>
      <c r="N2632" s="1476">
        <v>1.7477652141440598</v>
      </c>
      <c r="O2632" s="1476"/>
    </row>
    <row r="2633" spans="11:15">
      <c r="K2633" s="1473">
        <v>44690</v>
      </c>
      <c r="L2633" s="1474" t="s">
        <v>2123</v>
      </c>
      <c r="M2633" s="1475">
        <v>4.7279000000000002E-2</v>
      </c>
      <c r="N2633" s="1476">
        <v>1.7485915400596548</v>
      </c>
      <c r="O2633" s="1476"/>
    </row>
    <row r="2634" spans="11:15">
      <c r="K2634" s="1473">
        <v>44691</v>
      </c>
      <c r="L2634" s="1474" t="s">
        <v>2123</v>
      </c>
      <c r="M2634" s="1475">
        <v>4.7279000000000002E-2</v>
      </c>
      <c r="N2634" s="1476">
        <v>1.7494182566538794</v>
      </c>
      <c r="O2634" s="1476"/>
    </row>
    <row r="2635" spans="11:15">
      <c r="K2635" s="1473">
        <v>44692</v>
      </c>
      <c r="L2635" s="1474" t="s">
        <v>2123</v>
      </c>
      <c r="M2635" s="1475">
        <v>4.7279000000000002E-2</v>
      </c>
      <c r="N2635" s="1476">
        <v>1.7502453641114426</v>
      </c>
      <c r="O2635" s="1476"/>
    </row>
    <row r="2636" spans="11:15">
      <c r="K2636" s="1473">
        <v>44693</v>
      </c>
      <c r="L2636" s="1474" t="s">
        <v>2123</v>
      </c>
      <c r="M2636" s="1475">
        <v>4.7279000000000002E-2</v>
      </c>
      <c r="N2636" s="1476">
        <v>1.7510728626171406</v>
      </c>
      <c r="O2636" s="1476"/>
    </row>
    <row r="2637" spans="11:15">
      <c r="K2637" s="1473">
        <v>44694</v>
      </c>
      <c r="L2637" s="1474" t="s">
        <v>2123</v>
      </c>
      <c r="M2637" s="1475">
        <v>4.7279000000000002E-2</v>
      </c>
      <c r="N2637" s="1476">
        <v>1.7519007523558572</v>
      </c>
      <c r="O2637" s="1476"/>
    </row>
    <row r="2638" spans="11:15">
      <c r="K2638" s="1473">
        <v>44695</v>
      </c>
      <c r="L2638" s="1474"/>
      <c r="M2638" s="1475">
        <v>0</v>
      </c>
      <c r="N2638" s="1476">
        <v>1.7519007523558572</v>
      </c>
      <c r="O2638" s="1476"/>
    </row>
    <row r="2639" spans="11:15">
      <c r="K2639" s="1473">
        <v>44696</v>
      </c>
      <c r="L2639" s="1474"/>
      <c r="M2639" s="1475">
        <v>0</v>
      </c>
      <c r="N2639" s="1476">
        <v>1.7519007523558572</v>
      </c>
      <c r="O2639" s="1476"/>
    </row>
    <row r="2640" spans="11:15">
      <c r="K2640" s="1473">
        <v>44697</v>
      </c>
      <c r="L2640" s="1474" t="s">
        <v>2123</v>
      </c>
      <c r="M2640" s="1475">
        <v>4.7279000000000002E-2</v>
      </c>
      <c r="N2640" s="1476">
        <v>1.7527290335125634</v>
      </c>
      <c r="O2640" s="1476"/>
    </row>
    <row r="2641" spans="11:15">
      <c r="K2641" s="1473">
        <v>44698</v>
      </c>
      <c r="L2641" s="1474" t="s">
        <v>2123</v>
      </c>
      <c r="M2641" s="1475">
        <v>4.7279000000000002E-2</v>
      </c>
      <c r="N2641" s="1476">
        <v>1.7535577062723176</v>
      </c>
      <c r="O2641" s="1476"/>
    </row>
    <row r="2642" spans="11:15">
      <c r="K2642" s="1473">
        <v>44699</v>
      </c>
      <c r="L2642" s="1474" t="s">
        <v>2123</v>
      </c>
      <c r="M2642" s="1475">
        <v>4.7279000000000002E-2</v>
      </c>
      <c r="N2642" s="1476">
        <v>1.7543867708202658</v>
      </c>
      <c r="O2642" s="1476"/>
    </row>
    <row r="2643" spans="11:15">
      <c r="K2643" s="1473">
        <v>44700</v>
      </c>
      <c r="L2643" s="1474" t="s">
        <v>2123</v>
      </c>
      <c r="M2643" s="1475">
        <v>4.7279000000000002E-2</v>
      </c>
      <c r="N2643" s="1476">
        <v>1.7552162273416418</v>
      </c>
      <c r="O2643" s="1476"/>
    </row>
    <row r="2644" spans="11:15">
      <c r="K2644" s="1473">
        <v>44701</v>
      </c>
      <c r="L2644" s="1474" t="s">
        <v>2123</v>
      </c>
      <c r="M2644" s="1475">
        <v>4.7279000000000002E-2</v>
      </c>
      <c r="N2644" s="1476">
        <v>1.7560460760217664</v>
      </c>
      <c r="O2644" s="1476"/>
    </row>
    <row r="2645" spans="11:15">
      <c r="K2645" s="1473">
        <v>44702</v>
      </c>
      <c r="L2645" s="1474"/>
      <c r="M2645" s="1475">
        <v>0</v>
      </c>
      <c r="N2645" s="1476">
        <v>1.7560460760217664</v>
      </c>
      <c r="O2645" s="1476"/>
    </row>
    <row r="2646" spans="11:15">
      <c r="K2646" s="1473">
        <v>44703</v>
      </c>
      <c r="L2646" s="1474"/>
      <c r="M2646" s="1475">
        <v>0</v>
      </c>
      <c r="N2646" s="1476">
        <v>1.7560460760217664</v>
      </c>
      <c r="O2646" s="1476"/>
    </row>
    <row r="2647" spans="11:15">
      <c r="K2647" s="1473">
        <v>44704</v>
      </c>
      <c r="L2647" s="1474" t="s">
        <v>2123</v>
      </c>
      <c r="M2647" s="1475">
        <v>4.7279000000000002E-2</v>
      </c>
      <c r="N2647" s="1476">
        <v>1.7568763170460486</v>
      </c>
      <c r="O2647" s="1476"/>
    </row>
    <row r="2648" spans="11:15">
      <c r="K2648" s="1473">
        <v>44705</v>
      </c>
      <c r="L2648" s="1474" t="s">
        <v>2123</v>
      </c>
      <c r="M2648" s="1475">
        <v>4.7279000000000002E-2</v>
      </c>
      <c r="N2648" s="1476">
        <v>1.7577069505999847</v>
      </c>
      <c r="O2648" s="1476"/>
    </row>
    <row r="2649" spans="11:15">
      <c r="K2649" s="1473">
        <v>44706</v>
      </c>
      <c r="L2649" s="1474" t="s">
        <v>2123</v>
      </c>
      <c r="M2649" s="1475">
        <v>4.7279000000000002E-2</v>
      </c>
      <c r="N2649" s="1476">
        <v>1.7585379768691587</v>
      </c>
      <c r="O2649" s="1476"/>
    </row>
    <row r="2650" spans="11:15">
      <c r="K2650" s="1473">
        <v>44707</v>
      </c>
      <c r="L2650" s="1474" t="s">
        <v>2123</v>
      </c>
      <c r="M2650" s="1475">
        <v>4.7279000000000002E-2</v>
      </c>
      <c r="N2650" s="1476">
        <v>1.7593693960392425</v>
      </c>
      <c r="O2650" s="1476"/>
    </row>
    <row r="2651" spans="11:15">
      <c r="K2651" s="1473">
        <v>44708</v>
      </c>
      <c r="L2651" s="1474" t="s">
        <v>2123</v>
      </c>
      <c r="M2651" s="1475">
        <v>4.7279000000000002E-2</v>
      </c>
      <c r="N2651" s="1476">
        <v>1.7602012082959957</v>
      </c>
      <c r="O2651" s="1476"/>
    </row>
    <row r="2652" spans="11:15">
      <c r="K2652" s="1473">
        <v>44709</v>
      </c>
      <c r="L2652" s="1474"/>
      <c r="M2652" s="1475">
        <v>0</v>
      </c>
      <c r="N2652" s="1476">
        <v>1.7602012082959957</v>
      </c>
      <c r="O2652" s="1476"/>
    </row>
    <row r="2653" spans="11:15">
      <c r="K2653" s="1473">
        <v>44710</v>
      </c>
      <c r="L2653" s="1474"/>
      <c r="M2653" s="1475">
        <v>0</v>
      </c>
      <c r="N2653" s="1476">
        <v>1.7602012082959957</v>
      </c>
      <c r="O2653" s="1476"/>
    </row>
    <row r="2654" spans="11:15">
      <c r="K2654" s="1473">
        <v>44711</v>
      </c>
      <c r="L2654" s="1474" t="s">
        <v>2123</v>
      </c>
      <c r="M2654" s="1475">
        <v>4.7279000000000002E-2</v>
      </c>
      <c r="N2654" s="1476">
        <v>1.7610334138252657</v>
      </c>
      <c r="O2654" s="1476"/>
    </row>
    <row r="2655" spans="11:15">
      <c r="K2655" s="1473">
        <v>44712</v>
      </c>
      <c r="L2655" s="1474" t="s">
        <v>2123</v>
      </c>
      <c r="M2655" s="1475">
        <v>4.7279000000000002E-2</v>
      </c>
      <c r="N2655" s="1476">
        <v>1.7618660128129879</v>
      </c>
      <c r="O2655" s="1476"/>
    </row>
    <row r="2656" spans="11:15">
      <c r="K2656" s="1473">
        <v>44713</v>
      </c>
      <c r="L2656" s="1474" t="s">
        <v>2123</v>
      </c>
      <c r="M2656" s="1475">
        <v>4.7279000000000002E-2</v>
      </c>
      <c r="N2656" s="1476">
        <v>1.7626990054451857</v>
      </c>
      <c r="O2656" s="1476"/>
    </row>
    <row r="2657" spans="11:15">
      <c r="K2657" s="1473">
        <v>44714</v>
      </c>
      <c r="L2657" s="1474" t="s">
        <v>2123</v>
      </c>
      <c r="M2657" s="1475">
        <v>4.7279000000000002E-2</v>
      </c>
      <c r="N2657" s="1476">
        <v>1.76353239190797</v>
      </c>
      <c r="O2657" s="1476"/>
    </row>
    <row r="2658" spans="11:15">
      <c r="K2658" s="1473">
        <v>44715</v>
      </c>
      <c r="L2658" s="1474" t="s">
        <v>2123</v>
      </c>
      <c r="M2658" s="1475">
        <v>4.7279000000000002E-2</v>
      </c>
      <c r="N2658" s="1476">
        <v>1.7643661723875399</v>
      </c>
      <c r="O2658" s="1476"/>
    </row>
    <row r="2659" spans="11:15">
      <c r="K2659" s="1473">
        <v>44716</v>
      </c>
      <c r="L2659" s="1474"/>
      <c r="M2659" s="1475">
        <v>0</v>
      </c>
      <c r="N2659" s="1476">
        <v>1.7643661723875399</v>
      </c>
      <c r="O2659" s="1476"/>
    </row>
    <row r="2660" spans="11:15">
      <c r="K2660" s="1473">
        <v>44717</v>
      </c>
      <c r="L2660" s="1474"/>
      <c r="M2660" s="1475">
        <v>0</v>
      </c>
      <c r="N2660" s="1476">
        <v>1.7643661723875399</v>
      </c>
      <c r="O2660" s="1476"/>
    </row>
    <row r="2661" spans="11:15">
      <c r="K2661" s="1473">
        <v>44718</v>
      </c>
      <c r="L2661" s="1474" t="s">
        <v>2123</v>
      </c>
      <c r="M2661" s="1475">
        <v>4.7279000000000002E-2</v>
      </c>
      <c r="N2661" s="1476">
        <v>1.7652003470701829</v>
      </c>
      <c r="O2661" s="1476"/>
    </row>
    <row r="2662" spans="11:15">
      <c r="K2662" s="1473">
        <v>44719</v>
      </c>
      <c r="L2662" s="1474" t="s">
        <v>2123</v>
      </c>
      <c r="M2662" s="1475">
        <v>4.7279000000000002E-2</v>
      </c>
      <c r="N2662" s="1476">
        <v>1.7660349161422739</v>
      </c>
      <c r="O2662" s="1476"/>
    </row>
    <row r="2663" spans="11:15">
      <c r="K2663" s="1473">
        <v>44720</v>
      </c>
      <c r="L2663" s="1474" t="s">
        <v>2123</v>
      </c>
      <c r="M2663" s="1475">
        <v>4.7279000000000002E-2</v>
      </c>
      <c r="N2663" s="1476">
        <v>1.7668698797902767</v>
      </c>
      <c r="O2663" s="1476"/>
    </row>
    <row r="2664" spans="11:15">
      <c r="K2664" s="1473">
        <v>44721</v>
      </c>
      <c r="L2664" s="1474" t="s">
        <v>2123</v>
      </c>
      <c r="M2664" s="1475">
        <v>4.7279000000000002E-2</v>
      </c>
      <c r="N2664" s="1476">
        <v>1.7677052382007425</v>
      </c>
      <c r="O2664" s="1476"/>
    </row>
    <row r="2665" spans="11:15">
      <c r="K2665" s="1473">
        <v>44722</v>
      </c>
      <c r="L2665" s="1474" t="s">
        <v>2123</v>
      </c>
      <c r="M2665" s="1475">
        <v>4.7279000000000002E-2</v>
      </c>
      <c r="N2665" s="1476">
        <v>1.7685409915603112</v>
      </c>
      <c r="O2665" s="1476"/>
    </row>
    <row r="2666" spans="11:15">
      <c r="K2666" s="1473">
        <v>44723</v>
      </c>
      <c r="L2666" s="1474"/>
      <c r="M2666" s="1475">
        <v>0</v>
      </c>
      <c r="N2666" s="1476">
        <v>1.7685409915603112</v>
      </c>
      <c r="O2666" s="1476"/>
    </row>
    <row r="2667" spans="11:15">
      <c r="K2667" s="1473">
        <v>44724</v>
      </c>
      <c r="L2667" s="1474"/>
      <c r="M2667" s="1475">
        <v>0</v>
      </c>
      <c r="N2667" s="1476">
        <v>1.7685409915603112</v>
      </c>
      <c r="O2667" s="1476"/>
    </row>
    <row r="2668" spans="11:15">
      <c r="K2668" s="1473">
        <v>44725</v>
      </c>
      <c r="L2668" s="1474" t="s">
        <v>2123</v>
      </c>
      <c r="M2668" s="1475">
        <v>4.7279000000000002E-2</v>
      </c>
      <c r="N2668" s="1476">
        <v>1.7693771400557108</v>
      </c>
      <c r="O2668" s="1476"/>
    </row>
    <row r="2669" spans="11:15">
      <c r="K2669" s="1473">
        <v>44726</v>
      </c>
      <c r="L2669" s="1474" t="s">
        <v>2123</v>
      </c>
      <c r="M2669" s="1475">
        <v>4.7279000000000002E-2</v>
      </c>
      <c r="N2669" s="1476">
        <v>1.7702136838737574</v>
      </c>
      <c r="O2669" s="1476"/>
    </row>
    <row r="2670" spans="11:15">
      <c r="K2670" s="1473">
        <v>44727</v>
      </c>
      <c r="L2670" s="1474" t="s">
        <v>2123</v>
      </c>
      <c r="M2670" s="1475">
        <v>4.7279000000000002E-2</v>
      </c>
      <c r="N2670" s="1476">
        <v>1.7710506232013559</v>
      </c>
      <c r="O2670" s="1476"/>
    </row>
    <row r="2671" spans="11:15">
      <c r="K2671" s="1473">
        <v>44728</v>
      </c>
      <c r="L2671" s="1474"/>
      <c r="M2671" s="1475">
        <v>0</v>
      </c>
      <c r="N2671" s="1476">
        <v>1.7710506232013559</v>
      </c>
      <c r="O2671" s="1476"/>
    </row>
    <row r="2672" spans="11:15">
      <c r="K2672" s="1473">
        <v>44729</v>
      </c>
      <c r="L2672" s="1474" t="s">
        <v>2123</v>
      </c>
      <c r="M2672" s="1475">
        <v>4.9036999999999997E-2</v>
      </c>
      <c r="N2672" s="1476">
        <v>1.7719190932954552</v>
      </c>
      <c r="O2672" s="1476"/>
    </row>
    <row r="2673" spans="11:15">
      <c r="K2673" s="1473">
        <v>44730</v>
      </c>
      <c r="L2673" s="1474"/>
      <c r="M2673" s="1475">
        <v>0</v>
      </c>
      <c r="N2673" s="1476">
        <v>1.7719190932954552</v>
      </c>
      <c r="O2673" s="1476"/>
    </row>
    <row r="2674" spans="11:15">
      <c r="K2674" s="1473">
        <v>44731</v>
      </c>
      <c r="L2674" s="1474"/>
      <c r="M2674" s="1475">
        <v>0</v>
      </c>
      <c r="N2674" s="1476">
        <v>1.7719190932954552</v>
      </c>
      <c r="O2674" s="1476"/>
    </row>
    <row r="2675" spans="11:15">
      <c r="K2675" s="1473">
        <v>44732</v>
      </c>
      <c r="L2675" s="1474" t="s">
        <v>2123</v>
      </c>
      <c r="M2675" s="1475">
        <v>4.9036999999999997E-2</v>
      </c>
      <c r="N2675" s="1476">
        <v>1.7727879892612346</v>
      </c>
      <c r="O2675" s="1476"/>
    </row>
    <row r="2676" spans="11:15">
      <c r="K2676" s="1473">
        <v>44733</v>
      </c>
      <c r="L2676" s="1474" t="s">
        <v>2123</v>
      </c>
      <c r="M2676" s="1475">
        <v>4.9036999999999997E-2</v>
      </c>
      <c r="N2676" s="1476">
        <v>1.7736573113075287</v>
      </c>
      <c r="O2676" s="1476"/>
    </row>
    <row r="2677" spans="11:15">
      <c r="K2677" s="1473">
        <v>44734</v>
      </c>
      <c r="L2677" s="1474" t="s">
        <v>2123</v>
      </c>
      <c r="M2677" s="1475">
        <v>4.9036999999999997E-2</v>
      </c>
      <c r="N2677" s="1476">
        <v>1.7745270596432747</v>
      </c>
      <c r="O2677" s="1476"/>
    </row>
    <row r="2678" spans="11:15">
      <c r="K2678" s="1473">
        <v>44735</v>
      </c>
      <c r="L2678" s="1474" t="s">
        <v>2123</v>
      </c>
      <c r="M2678" s="1475">
        <v>4.9036999999999997E-2</v>
      </c>
      <c r="N2678" s="1476">
        <v>1.7753972344775122</v>
      </c>
      <c r="O2678" s="1476"/>
    </row>
    <row r="2679" spans="11:15">
      <c r="K2679" s="1473">
        <v>44736</v>
      </c>
      <c r="L2679" s="1474" t="s">
        <v>2123</v>
      </c>
      <c r="M2679" s="1475">
        <v>4.9036999999999997E-2</v>
      </c>
      <c r="N2679" s="1476">
        <v>1.7762678360193831</v>
      </c>
      <c r="O2679" s="1476"/>
    </row>
    <row r="2680" spans="11:15">
      <c r="K2680" s="1473">
        <v>44737</v>
      </c>
      <c r="L2680" s="1474"/>
      <c r="M2680" s="1475">
        <v>0</v>
      </c>
      <c r="N2680" s="1476">
        <v>1.7762678360193831</v>
      </c>
      <c r="O2680" s="1476"/>
    </row>
    <row r="2681" spans="11:15">
      <c r="K2681" s="1473">
        <v>44738</v>
      </c>
      <c r="L2681" s="1474"/>
      <c r="M2681" s="1475">
        <v>0</v>
      </c>
      <c r="N2681" s="1476">
        <v>1.7762678360193831</v>
      </c>
      <c r="O2681" s="1476"/>
    </row>
    <row r="2682" spans="11:15">
      <c r="K2682" s="1473">
        <v>44739</v>
      </c>
      <c r="L2682" s="1474" t="s">
        <v>2123</v>
      </c>
      <c r="M2682" s="1475">
        <v>4.9036999999999997E-2</v>
      </c>
      <c r="N2682" s="1476">
        <v>1.7771388644781321</v>
      </c>
      <c r="O2682" s="1476"/>
    </row>
    <row r="2683" spans="11:15">
      <c r="K2683" s="1473">
        <v>44740</v>
      </c>
      <c r="L2683" s="1474" t="s">
        <v>2123</v>
      </c>
      <c r="M2683" s="1475">
        <v>4.9036999999999997E-2</v>
      </c>
      <c r="N2683" s="1476">
        <v>1.7780103200631063</v>
      </c>
      <c r="O2683" s="1476"/>
    </row>
    <row r="2684" spans="11:15">
      <c r="K2684" s="1473">
        <v>44741</v>
      </c>
      <c r="L2684" s="1474" t="s">
        <v>2123</v>
      </c>
      <c r="M2684" s="1475">
        <v>4.9036999999999997E-2</v>
      </c>
      <c r="N2684" s="1476">
        <v>1.7788822029837559</v>
      </c>
      <c r="O2684" s="1476"/>
    </row>
    <row r="2685" spans="11:15">
      <c r="K2685" s="1473">
        <v>44742</v>
      </c>
      <c r="L2685" s="1474" t="s">
        <v>2123</v>
      </c>
      <c r="M2685" s="1475">
        <v>4.9036999999999997E-2</v>
      </c>
      <c r="N2685" s="1476">
        <v>1.7797545134496331</v>
      </c>
      <c r="O2685" s="1476"/>
    </row>
    <row r="2686" spans="11:15">
      <c r="K2686" s="1473">
        <v>44743</v>
      </c>
      <c r="L2686" s="1474" t="s">
        <v>2123</v>
      </c>
      <c r="M2686" s="1475">
        <v>4.9036999999999997E-2</v>
      </c>
      <c r="N2686" s="1476">
        <v>1.7806272516703936</v>
      </c>
      <c r="O2686" s="1476"/>
    </row>
    <row r="2687" spans="11:15">
      <c r="K2687" s="1473">
        <v>44744</v>
      </c>
      <c r="L2687" s="1474"/>
      <c r="M2687" s="1475">
        <v>0</v>
      </c>
      <c r="N2687" s="1476">
        <v>1.7806272516703936</v>
      </c>
      <c r="O2687" s="1476"/>
    </row>
    <row r="2688" spans="11:15">
      <c r="K2688" s="1473">
        <v>44745</v>
      </c>
      <c r="L2688" s="1474"/>
      <c r="M2688" s="1475">
        <v>0</v>
      </c>
      <c r="N2688" s="1476">
        <v>1.7806272516703936</v>
      </c>
      <c r="O2688" s="1476"/>
    </row>
    <row r="2689" spans="11:15">
      <c r="K2689" s="1473">
        <v>44746</v>
      </c>
      <c r="L2689" s="1474" t="s">
        <v>2123</v>
      </c>
      <c r="M2689" s="1475">
        <v>4.9036999999999997E-2</v>
      </c>
      <c r="N2689" s="1476">
        <v>1.7815004178557954</v>
      </c>
      <c r="O2689" s="1476"/>
    </row>
    <row r="2690" spans="11:15">
      <c r="K2690" s="1473">
        <v>44747</v>
      </c>
      <c r="L2690" s="1474" t="s">
        <v>2123</v>
      </c>
      <c r="M2690" s="1475">
        <v>4.9036999999999997E-2</v>
      </c>
      <c r="N2690" s="1476">
        <v>1.7823740122156995</v>
      </c>
      <c r="O2690" s="1476"/>
    </row>
    <row r="2691" spans="11:15">
      <c r="K2691" s="1473">
        <v>44748</v>
      </c>
      <c r="L2691" s="1474" t="s">
        <v>2123</v>
      </c>
      <c r="M2691" s="1475">
        <v>4.9036999999999997E-2</v>
      </c>
      <c r="N2691" s="1476">
        <v>1.7832480349600699</v>
      </c>
      <c r="O2691" s="1476"/>
    </row>
    <row r="2692" spans="11:15">
      <c r="K2692" s="1473">
        <v>44749</v>
      </c>
      <c r="L2692" s="1474" t="s">
        <v>2123</v>
      </c>
      <c r="M2692" s="1475">
        <v>4.9036999999999997E-2</v>
      </c>
      <c r="N2692" s="1476">
        <v>1.7841224862989733</v>
      </c>
      <c r="O2692" s="1476"/>
    </row>
    <row r="2693" spans="11:15">
      <c r="K2693" s="1473">
        <v>44750</v>
      </c>
      <c r="L2693" s="1474" t="s">
        <v>2123</v>
      </c>
      <c r="M2693" s="1475">
        <v>4.9036999999999997E-2</v>
      </c>
      <c r="N2693" s="1476">
        <v>1.7849973664425798</v>
      </c>
      <c r="O2693" s="1476"/>
    </row>
    <row r="2694" spans="11:15">
      <c r="K2694" s="1473">
        <v>44751</v>
      </c>
      <c r="L2694" s="1474"/>
      <c r="M2694" s="1475">
        <v>0</v>
      </c>
      <c r="N2694" s="1476">
        <v>1.7849973664425798</v>
      </c>
      <c r="O2694" s="1476"/>
    </row>
    <row r="2695" spans="11:15">
      <c r="K2695" s="1473">
        <v>44752</v>
      </c>
      <c r="L2695" s="1474"/>
      <c r="M2695" s="1475">
        <v>0</v>
      </c>
      <c r="N2695" s="1476">
        <v>1.7849973664425798</v>
      </c>
      <c r="O2695" s="1476"/>
    </row>
    <row r="2696" spans="11:15">
      <c r="K2696" s="1473">
        <v>44753</v>
      </c>
      <c r="L2696" s="1474" t="s">
        <v>2123</v>
      </c>
      <c r="M2696" s="1475">
        <v>4.9036999999999997E-2</v>
      </c>
      <c r="N2696" s="1476">
        <v>1.7858726756011623</v>
      </c>
      <c r="O2696" s="1476"/>
    </row>
    <row r="2697" spans="11:15">
      <c r="K2697" s="1473">
        <v>44754</v>
      </c>
      <c r="L2697" s="1474" t="s">
        <v>2123</v>
      </c>
      <c r="M2697" s="1475">
        <v>4.9036999999999997E-2</v>
      </c>
      <c r="N2697" s="1476">
        <v>1.7867484139850969</v>
      </c>
      <c r="O2697" s="1476"/>
    </row>
    <row r="2698" spans="11:15">
      <c r="K2698" s="1473">
        <v>44755</v>
      </c>
      <c r="L2698" s="1474" t="s">
        <v>2123</v>
      </c>
      <c r="M2698" s="1475">
        <v>4.9036999999999997E-2</v>
      </c>
      <c r="N2698" s="1476">
        <v>1.7876245818048628</v>
      </c>
      <c r="O2698" s="1476"/>
    </row>
    <row r="2699" spans="11:15">
      <c r="K2699" s="1473">
        <v>44756</v>
      </c>
      <c r="L2699" s="1474" t="s">
        <v>2123</v>
      </c>
      <c r="M2699" s="1475">
        <v>4.9036999999999997E-2</v>
      </c>
      <c r="N2699" s="1476">
        <v>1.7885011792710426</v>
      </c>
      <c r="O2699" s="1476"/>
    </row>
    <row r="2700" spans="11:15">
      <c r="K2700" s="1473">
        <v>44757</v>
      </c>
      <c r="L2700" s="1474" t="s">
        <v>2123</v>
      </c>
      <c r="M2700" s="1475">
        <v>4.9036999999999997E-2</v>
      </c>
      <c r="N2700" s="1476">
        <v>1.7893782065943218</v>
      </c>
      <c r="O2700" s="1476"/>
    </row>
    <row r="2701" spans="11:15">
      <c r="K2701" s="1473">
        <v>44758</v>
      </c>
      <c r="L2701" s="1474"/>
      <c r="M2701" s="1475">
        <v>0</v>
      </c>
      <c r="N2701" s="1476">
        <v>1.7893782065943218</v>
      </c>
      <c r="O2701" s="1476"/>
    </row>
    <row r="2702" spans="11:15">
      <c r="K2702" s="1473">
        <v>44759</v>
      </c>
      <c r="L2702" s="1474"/>
      <c r="M2702" s="1475">
        <v>0</v>
      </c>
      <c r="N2702" s="1476">
        <v>1.7893782065943218</v>
      </c>
      <c r="O2702" s="1476"/>
    </row>
    <row r="2703" spans="11:15">
      <c r="K2703" s="1473">
        <v>44760</v>
      </c>
      <c r="L2703" s="1474" t="s">
        <v>2123</v>
      </c>
      <c r="M2703" s="1475">
        <v>4.9036999999999997E-2</v>
      </c>
      <c r="N2703" s="1476">
        <v>1.7902556639854896</v>
      </c>
      <c r="O2703" s="1476"/>
    </row>
    <row r="2704" spans="11:15">
      <c r="K2704" s="1473">
        <v>44761</v>
      </c>
      <c r="L2704" s="1474" t="s">
        <v>2123</v>
      </c>
      <c r="M2704" s="1475">
        <v>4.9036999999999997E-2</v>
      </c>
      <c r="N2704" s="1476">
        <v>1.7911335516554383</v>
      </c>
      <c r="O2704" s="1476"/>
    </row>
    <row r="2705" spans="11:15">
      <c r="K2705" s="1473">
        <v>44762</v>
      </c>
      <c r="L2705" s="1474" t="s">
        <v>2123</v>
      </c>
      <c r="M2705" s="1475">
        <v>4.9036999999999997E-2</v>
      </c>
      <c r="N2705" s="1476">
        <v>1.7920118698151637</v>
      </c>
      <c r="O2705" s="1476"/>
    </row>
    <row r="2706" spans="11:15">
      <c r="K2706" s="1473">
        <v>44763</v>
      </c>
      <c r="L2706" s="1474" t="s">
        <v>2123</v>
      </c>
      <c r="M2706" s="1475">
        <v>4.9036999999999997E-2</v>
      </c>
      <c r="N2706" s="1476">
        <v>1.7928906186757652</v>
      </c>
      <c r="O2706" s="1476"/>
    </row>
    <row r="2707" spans="11:15">
      <c r="K2707" s="1473">
        <v>44764</v>
      </c>
      <c r="L2707" s="1474" t="s">
        <v>2123</v>
      </c>
      <c r="M2707" s="1475">
        <v>4.9036999999999997E-2</v>
      </c>
      <c r="N2707" s="1476">
        <v>1.7937697984484453</v>
      </c>
      <c r="O2707" s="1476"/>
    </row>
    <row r="2708" spans="11:15">
      <c r="K2708" s="1473">
        <v>44765</v>
      </c>
      <c r="L2708" s="1474"/>
      <c r="M2708" s="1475">
        <v>0</v>
      </c>
      <c r="N2708" s="1476">
        <v>1.7937697984484453</v>
      </c>
      <c r="O2708" s="1476"/>
    </row>
    <row r="2709" spans="11:15">
      <c r="K2709" s="1473">
        <v>44766</v>
      </c>
      <c r="L2709" s="1474"/>
      <c r="M2709" s="1475">
        <v>0</v>
      </c>
      <c r="N2709" s="1476">
        <v>1.7937697984484453</v>
      </c>
      <c r="O2709" s="1476"/>
    </row>
    <row r="2710" spans="11:15">
      <c r="K2710" s="1473">
        <v>44767</v>
      </c>
      <c r="L2710" s="1474" t="s">
        <v>2123</v>
      </c>
      <c r="M2710" s="1475">
        <v>4.9036999999999997E-2</v>
      </c>
      <c r="N2710" s="1476">
        <v>1.7946494093445107</v>
      </c>
      <c r="O2710" s="1476"/>
    </row>
    <row r="2711" spans="11:15">
      <c r="K2711" s="1473">
        <v>44768</v>
      </c>
      <c r="L2711" s="1474" t="s">
        <v>2123</v>
      </c>
      <c r="M2711" s="1475">
        <v>4.9036999999999997E-2</v>
      </c>
      <c r="N2711" s="1476">
        <v>1.795529451575371</v>
      </c>
      <c r="O2711" s="1476"/>
    </row>
    <row r="2712" spans="11:15">
      <c r="K2712" s="1473">
        <v>44769</v>
      </c>
      <c r="L2712" s="1474" t="s">
        <v>2123</v>
      </c>
      <c r="M2712" s="1475">
        <v>4.9036999999999997E-2</v>
      </c>
      <c r="N2712" s="1476">
        <v>1.7964099253525401</v>
      </c>
      <c r="O2712" s="1476"/>
    </row>
    <row r="2713" spans="11:15">
      <c r="K2713" s="1473">
        <v>44770</v>
      </c>
      <c r="L2713" s="1474" t="s">
        <v>2123</v>
      </c>
      <c r="M2713" s="1475">
        <v>4.9036999999999997E-2</v>
      </c>
      <c r="N2713" s="1476">
        <v>1.7972908308876354</v>
      </c>
      <c r="O2713" s="1476"/>
    </row>
    <row r="2714" spans="11:15">
      <c r="K2714" s="1473">
        <v>44771</v>
      </c>
      <c r="L2714" s="1474" t="s">
        <v>2123</v>
      </c>
      <c r="M2714" s="1475">
        <v>4.9036999999999997E-2</v>
      </c>
      <c r="N2714" s="1476">
        <v>1.7981721683923779</v>
      </c>
      <c r="O2714" s="1476"/>
    </row>
    <row r="2715" spans="11:15">
      <c r="K2715" s="1473">
        <v>44772</v>
      </c>
      <c r="L2715" s="1474"/>
      <c r="M2715" s="1475">
        <v>0</v>
      </c>
      <c r="N2715" s="1476">
        <v>1.7981721683923779</v>
      </c>
      <c r="O2715" s="1476"/>
    </row>
    <row r="2716" spans="11:15">
      <c r="K2716" s="1473">
        <v>44773</v>
      </c>
      <c r="L2716" s="1474"/>
      <c r="M2716" s="1475">
        <v>0</v>
      </c>
      <c r="N2716" s="1476">
        <v>1.7981721683923779</v>
      </c>
      <c r="O2716" s="1476"/>
    </row>
    <row r="2717" spans="11:15">
      <c r="K2717" s="1473">
        <v>44774</v>
      </c>
      <c r="L2717" s="1474" t="s">
        <v>2123</v>
      </c>
      <c r="M2717" s="1475">
        <v>4.9036999999999997E-2</v>
      </c>
      <c r="N2717" s="1476">
        <v>1.7990539380785926</v>
      </c>
      <c r="O2717" s="1476"/>
    </row>
    <row r="2718" spans="11:15">
      <c r="K2718" s="1473">
        <v>44775</v>
      </c>
      <c r="L2718" s="1474" t="s">
        <v>2123</v>
      </c>
      <c r="M2718" s="1475">
        <v>4.9036999999999997E-2</v>
      </c>
      <c r="N2718" s="1476">
        <v>1.7999361401582084</v>
      </c>
      <c r="O2718" s="1476"/>
    </row>
    <row r="2719" spans="11:15">
      <c r="K2719" s="1473">
        <v>44776</v>
      </c>
      <c r="L2719" s="1474" t="s">
        <v>2123</v>
      </c>
      <c r="M2719" s="1475">
        <v>4.9036999999999997E-2</v>
      </c>
      <c r="N2719" s="1476">
        <v>1.8008187748432578</v>
      </c>
      <c r="O2719" s="1476"/>
    </row>
    <row r="2720" spans="11:15">
      <c r="K2720" s="1473">
        <v>44777</v>
      </c>
      <c r="L2720" s="1474" t="s">
        <v>2123</v>
      </c>
      <c r="M2720" s="1475">
        <v>5.0788E-2</v>
      </c>
      <c r="N2720" s="1476">
        <v>1.8017333746826252</v>
      </c>
      <c r="O2720" s="1476"/>
    </row>
    <row r="2721" spans="11:15">
      <c r="K2721" s="1473">
        <v>44778</v>
      </c>
      <c r="L2721" s="1474" t="s">
        <v>2123</v>
      </c>
      <c r="M2721" s="1475">
        <v>5.0788E-2</v>
      </c>
      <c r="N2721" s="1476">
        <v>1.802648439028959</v>
      </c>
      <c r="O2721" s="1476"/>
    </row>
    <row r="2722" spans="11:15">
      <c r="K2722" s="1473">
        <v>44779</v>
      </c>
      <c r="L2722" s="1474"/>
      <c r="M2722" s="1475">
        <v>0</v>
      </c>
      <c r="N2722" s="1476">
        <v>1.802648439028959</v>
      </c>
      <c r="O2722" s="1476"/>
    </row>
    <row r="2723" spans="11:15">
      <c r="K2723" s="1473">
        <v>44780</v>
      </c>
      <c r="L2723" s="1474"/>
      <c r="M2723" s="1475">
        <v>0</v>
      </c>
      <c r="N2723" s="1476">
        <v>1.802648439028959</v>
      </c>
      <c r="O2723" s="1476"/>
    </row>
    <row r="2724" spans="11:15">
      <c r="K2724" s="1473">
        <v>44781</v>
      </c>
      <c r="L2724" s="1474" t="s">
        <v>2123</v>
      </c>
      <c r="M2724" s="1475">
        <v>5.0788E-2</v>
      </c>
      <c r="N2724" s="1476">
        <v>1.803563968118173</v>
      </c>
      <c r="O2724" s="1476"/>
    </row>
    <row r="2725" spans="11:15">
      <c r="K2725" s="1473">
        <v>44782</v>
      </c>
      <c r="L2725" s="1474" t="s">
        <v>2123</v>
      </c>
      <c r="M2725" s="1475">
        <v>5.0788E-2</v>
      </c>
      <c r="N2725" s="1476">
        <v>1.8044799621863008</v>
      </c>
      <c r="O2725" s="1476"/>
    </row>
    <row r="2726" spans="11:15">
      <c r="K2726" s="1473">
        <v>44783</v>
      </c>
      <c r="L2726" s="1474" t="s">
        <v>2123</v>
      </c>
      <c r="M2726" s="1475">
        <v>5.0788E-2</v>
      </c>
      <c r="N2726" s="1476">
        <v>1.805396421469496</v>
      </c>
      <c r="O2726" s="1476"/>
    </row>
    <row r="2727" spans="11:15">
      <c r="K2727" s="1473">
        <v>44784</v>
      </c>
      <c r="L2727" s="1474" t="s">
        <v>2123</v>
      </c>
      <c r="M2727" s="1475">
        <v>5.0788E-2</v>
      </c>
      <c r="N2727" s="1476">
        <v>1.8063133462040319</v>
      </c>
      <c r="O2727" s="1476"/>
    </row>
    <row r="2728" spans="11:15">
      <c r="K2728" s="1473">
        <v>44785</v>
      </c>
      <c r="L2728" s="1474" t="s">
        <v>2123</v>
      </c>
      <c r="M2728" s="1475">
        <v>5.0788E-2</v>
      </c>
      <c r="N2728" s="1476">
        <v>1.8072307366263021</v>
      </c>
      <c r="O2728" s="1476"/>
    </row>
    <row r="2729" spans="11:15">
      <c r="K2729" s="1473">
        <v>44786</v>
      </c>
      <c r="L2729" s="1474"/>
      <c r="M2729" s="1475">
        <v>0</v>
      </c>
      <c r="N2729" s="1476">
        <v>1.8072307366263021</v>
      </c>
      <c r="O2729" s="1476"/>
    </row>
    <row r="2730" spans="11:15">
      <c r="K2730" s="1473">
        <v>44787</v>
      </c>
      <c r="L2730" s="1474"/>
      <c r="M2730" s="1475">
        <v>0</v>
      </c>
      <c r="N2730" s="1476">
        <v>1.8072307366263021</v>
      </c>
      <c r="O2730" s="1476"/>
    </row>
    <row r="2731" spans="11:15">
      <c r="K2731" s="1473">
        <v>44788</v>
      </c>
      <c r="L2731" s="1474" t="s">
        <v>2123</v>
      </c>
      <c r="M2731" s="1475">
        <v>5.0788E-2</v>
      </c>
      <c r="N2731" s="1476">
        <v>1.8081485929728198</v>
      </c>
      <c r="O2731" s="1476"/>
    </row>
    <row r="2732" spans="11:15">
      <c r="K2732" s="1473">
        <v>44789</v>
      </c>
      <c r="L2732" s="1474" t="s">
        <v>2123</v>
      </c>
      <c r="M2732" s="1475">
        <v>5.0788E-2</v>
      </c>
      <c r="N2732" s="1476">
        <v>1.8090669154802188</v>
      </c>
      <c r="O2732" s="1476"/>
    </row>
    <row r="2733" spans="11:15">
      <c r="K2733" s="1473">
        <v>44790</v>
      </c>
      <c r="L2733" s="1474" t="s">
        <v>2123</v>
      </c>
      <c r="M2733" s="1475">
        <v>5.0788E-2</v>
      </c>
      <c r="N2733" s="1476">
        <v>1.809985704385253</v>
      </c>
      <c r="O2733" s="1476"/>
    </row>
    <row r="2734" spans="11:15">
      <c r="K2734" s="1473">
        <v>44791</v>
      </c>
      <c r="L2734" s="1474" t="s">
        <v>2123</v>
      </c>
      <c r="M2734" s="1475">
        <v>5.0788E-2</v>
      </c>
      <c r="N2734" s="1476">
        <v>1.8109049599247962</v>
      </c>
      <c r="O2734" s="1476"/>
    </row>
    <row r="2735" spans="11:15">
      <c r="K2735" s="1473">
        <v>44792</v>
      </c>
      <c r="L2735" s="1474" t="s">
        <v>2123</v>
      </c>
      <c r="M2735" s="1475">
        <v>5.0788E-2</v>
      </c>
      <c r="N2735" s="1476">
        <v>1.8118246823358428</v>
      </c>
      <c r="O2735" s="1476"/>
    </row>
    <row r="2736" spans="11:15">
      <c r="K2736" s="1473">
        <v>44793</v>
      </c>
      <c r="L2736" s="1474"/>
      <c r="M2736" s="1475">
        <v>0</v>
      </c>
      <c r="N2736" s="1476">
        <v>1.8118246823358428</v>
      </c>
      <c r="O2736" s="1476"/>
    </row>
    <row r="2737" spans="11:15">
      <c r="K2737" s="1473">
        <v>44794</v>
      </c>
      <c r="L2737" s="1474"/>
      <c r="M2737" s="1475">
        <v>0</v>
      </c>
      <c r="N2737" s="1476">
        <v>1.8118246823358428</v>
      </c>
      <c r="O2737" s="1476"/>
    </row>
    <row r="2738" spans="11:15">
      <c r="K2738" s="1473">
        <v>44795</v>
      </c>
      <c r="L2738" s="1474" t="s">
        <v>2123</v>
      </c>
      <c r="M2738" s="1475">
        <v>5.0788E-2</v>
      </c>
      <c r="N2738" s="1476">
        <v>1.8127448718555075</v>
      </c>
      <c r="O2738" s="1476"/>
    </row>
    <row r="2739" spans="11:15">
      <c r="K2739" s="1473">
        <v>44796</v>
      </c>
      <c r="L2739" s="1474" t="s">
        <v>2123</v>
      </c>
      <c r="M2739" s="1475">
        <v>5.0788E-2</v>
      </c>
      <c r="N2739" s="1476">
        <v>1.8136655287210255</v>
      </c>
      <c r="O2739" s="1476"/>
    </row>
    <row r="2740" spans="11:15">
      <c r="K2740" s="1473">
        <v>44797</v>
      </c>
      <c r="L2740" s="1474" t="s">
        <v>2123</v>
      </c>
      <c r="M2740" s="1475">
        <v>5.0788E-2</v>
      </c>
      <c r="N2740" s="1476">
        <v>1.8145866531697523</v>
      </c>
      <c r="O2740" s="1476"/>
    </row>
    <row r="2741" spans="11:15">
      <c r="K2741" s="1473">
        <v>44798</v>
      </c>
      <c r="L2741" s="1474" t="s">
        <v>2123</v>
      </c>
      <c r="M2741" s="1475">
        <v>5.0788E-2</v>
      </c>
      <c r="N2741" s="1476">
        <v>1.8155082454391642</v>
      </c>
      <c r="O2741" s="1476"/>
    </row>
    <row r="2742" spans="11:15">
      <c r="K2742" s="1473">
        <v>44799</v>
      </c>
      <c r="L2742" s="1474" t="s">
        <v>2123</v>
      </c>
      <c r="M2742" s="1475">
        <v>5.0788E-2</v>
      </c>
      <c r="N2742" s="1476">
        <v>1.8164303057668578</v>
      </c>
      <c r="O2742" s="1476"/>
    </row>
    <row r="2743" spans="11:15">
      <c r="K2743" s="1473">
        <v>44800</v>
      </c>
      <c r="L2743" s="1474"/>
      <c r="M2743" s="1475">
        <v>0</v>
      </c>
      <c r="N2743" s="1476">
        <v>1.8164303057668578</v>
      </c>
      <c r="O2743" s="1476"/>
    </row>
    <row r="2744" spans="11:15">
      <c r="K2744" s="1473">
        <v>44801</v>
      </c>
      <c r="L2744" s="1474"/>
      <c r="M2744" s="1475">
        <v>0</v>
      </c>
      <c r="N2744" s="1476">
        <v>1.8164303057668578</v>
      </c>
      <c r="O2744" s="1476"/>
    </row>
    <row r="2745" spans="11:15">
      <c r="K2745" s="1473">
        <v>44802</v>
      </c>
      <c r="L2745" s="1474" t="s">
        <v>2123</v>
      </c>
      <c r="M2745" s="1475">
        <v>5.0788E-2</v>
      </c>
      <c r="N2745" s="1476">
        <v>1.8173528343905507</v>
      </c>
      <c r="O2745" s="1476"/>
    </row>
    <row r="2746" spans="11:15">
      <c r="K2746" s="1473">
        <v>44803</v>
      </c>
      <c r="L2746" s="1474" t="s">
        <v>2123</v>
      </c>
      <c r="M2746" s="1475">
        <v>5.0788E-2</v>
      </c>
      <c r="N2746" s="1476">
        <v>1.8182758315480809</v>
      </c>
      <c r="O2746" s="1476"/>
    </row>
    <row r="2747" spans="11:15">
      <c r="K2747" s="1473">
        <v>44804</v>
      </c>
      <c r="L2747" s="1474" t="s">
        <v>2123</v>
      </c>
      <c r="M2747" s="1475">
        <v>5.0788E-2</v>
      </c>
      <c r="N2747" s="1476">
        <v>1.8191992974774076</v>
      </c>
      <c r="O2747" s="1476"/>
    </row>
    <row r="2748" spans="11:15">
      <c r="K2748" s="1473">
        <v>44805</v>
      </c>
      <c r="L2748" s="1474" t="s">
        <v>2123</v>
      </c>
      <c r="M2748" s="1475">
        <v>5.0788E-2</v>
      </c>
      <c r="N2748" s="1476">
        <v>1.8201232324166106</v>
      </c>
      <c r="O2748" s="1476"/>
    </row>
    <row r="2749" spans="11:15">
      <c r="K2749" s="1473">
        <v>44806</v>
      </c>
      <c r="L2749" s="1474" t="s">
        <v>2123</v>
      </c>
      <c r="M2749" s="1475">
        <v>5.0788E-2</v>
      </c>
      <c r="N2749" s="1476">
        <v>1.8210476366038904</v>
      </c>
      <c r="O2749" s="1476"/>
    </row>
    <row r="2750" spans="11:15">
      <c r="K2750" s="1473">
        <v>44807</v>
      </c>
      <c r="L2750" s="1474"/>
      <c r="M2750" s="1475">
        <v>0</v>
      </c>
      <c r="N2750" s="1476">
        <v>1.8210476366038904</v>
      </c>
      <c r="O2750" s="1476"/>
    </row>
    <row r="2751" spans="11:15">
      <c r="K2751" s="1473">
        <v>44808</v>
      </c>
      <c r="L2751" s="1474"/>
      <c r="M2751" s="1475">
        <v>0</v>
      </c>
      <c r="N2751" s="1476">
        <v>1.8210476366038904</v>
      </c>
      <c r="O2751" s="1476"/>
    </row>
    <row r="2752" spans="11:15">
      <c r="K2752" s="1473">
        <v>44809</v>
      </c>
      <c r="L2752" s="1474" t="s">
        <v>2123</v>
      </c>
      <c r="M2752" s="1475">
        <v>5.0788E-2</v>
      </c>
      <c r="N2752" s="1476">
        <v>1.8219725102775688</v>
      </c>
      <c r="O2752" s="1476"/>
    </row>
    <row r="2753" spans="11:15">
      <c r="K2753" s="1473">
        <v>44810</v>
      </c>
      <c r="L2753" s="1474" t="s">
        <v>2123</v>
      </c>
      <c r="M2753" s="1475">
        <v>5.0788E-2</v>
      </c>
      <c r="N2753" s="1476">
        <v>1.8228978536760887</v>
      </c>
      <c r="O2753" s="1476"/>
    </row>
    <row r="2754" spans="11:15">
      <c r="K2754" s="1473">
        <v>44811</v>
      </c>
      <c r="L2754" s="1474"/>
      <c r="M2754" s="1475">
        <v>0</v>
      </c>
      <c r="N2754" s="1476">
        <v>1.8228978536760887</v>
      </c>
      <c r="O2754" s="1476"/>
    </row>
    <row r="2755" spans="11:15">
      <c r="K2755" s="1473">
        <v>44812</v>
      </c>
      <c r="L2755" s="1474" t="s">
        <v>2123</v>
      </c>
      <c r="M2755" s="1475">
        <v>5.0788E-2</v>
      </c>
      <c r="N2755" s="1476">
        <v>1.8238236670380137</v>
      </c>
      <c r="O2755" s="1476"/>
    </row>
    <row r="2756" spans="11:15">
      <c r="K2756" s="1473">
        <v>44813</v>
      </c>
      <c r="L2756" s="1474" t="s">
        <v>2123</v>
      </c>
      <c r="M2756" s="1475">
        <v>5.0788E-2</v>
      </c>
      <c r="N2756" s="1476">
        <v>1.824749950602029</v>
      </c>
      <c r="O2756" s="1476"/>
    </row>
    <row r="2757" spans="11:15">
      <c r="K2757" s="1473">
        <v>44814</v>
      </c>
      <c r="L2757" s="1474"/>
      <c r="M2757" s="1475">
        <v>0</v>
      </c>
      <c r="N2757" s="1476">
        <v>1.824749950602029</v>
      </c>
      <c r="O2757" s="1476"/>
    </row>
    <row r="2758" spans="11:15">
      <c r="K2758" s="1473">
        <v>44815</v>
      </c>
      <c r="L2758" s="1474"/>
      <c r="M2758" s="1475">
        <v>0</v>
      </c>
      <c r="N2758" s="1476">
        <v>1.824749950602029</v>
      </c>
      <c r="O2758" s="1476"/>
    </row>
    <row r="2759" spans="11:15">
      <c r="K2759" s="1473">
        <v>44816</v>
      </c>
      <c r="L2759" s="1474" t="s">
        <v>2123</v>
      </c>
      <c r="M2759" s="1475">
        <v>5.0788E-2</v>
      </c>
      <c r="N2759" s="1476">
        <v>1.8256767046069409</v>
      </c>
      <c r="O2759" s="1476"/>
    </row>
    <row r="2760" spans="11:15">
      <c r="K2760" s="1473">
        <v>44817</v>
      </c>
      <c r="L2760" s="1474" t="s">
        <v>2123</v>
      </c>
      <c r="M2760" s="1475">
        <v>5.0788E-2</v>
      </c>
      <c r="N2760" s="1476">
        <v>1.8266039292916767</v>
      </c>
      <c r="O2760" s="1476"/>
    </row>
    <row r="2761" spans="11:15">
      <c r="K2761" s="1473">
        <v>44818</v>
      </c>
      <c r="L2761" s="1474" t="s">
        <v>2123</v>
      </c>
      <c r="M2761" s="1475">
        <v>5.0788E-2</v>
      </c>
      <c r="N2761" s="1476">
        <v>1.8275316248952853</v>
      </c>
      <c r="O2761" s="1476"/>
    </row>
    <row r="2762" spans="11:15">
      <c r="K2762" s="1473">
        <v>44819</v>
      </c>
      <c r="L2762" s="1474" t="s">
        <v>2123</v>
      </c>
      <c r="M2762" s="1475">
        <v>5.0788E-2</v>
      </c>
      <c r="N2762" s="1476">
        <v>1.8284597916569372</v>
      </c>
      <c r="O2762" s="1476"/>
    </row>
    <row r="2763" spans="11:15">
      <c r="K2763" s="1473">
        <v>44820</v>
      </c>
      <c r="L2763" s="1474" t="s">
        <v>2123</v>
      </c>
      <c r="M2763" s="1475">
        <v>5.0788E-2</v>
      </c>
      <c r="N2763" s="1476">
        <v>1.829388429815924</v>
      </c>
      <c r="O2763" s="1476"/>
    </row>
    <row r="2764" spans="11:15">
      <c r="K2764" s="1473">
        <v>44821</v>
      </c>
      <c r="L2764" s="1474"/>
      <c r="M2764" s="1475">
        <v>0</v>
      </c>
      <c r="N2764" s="1476">
        <v>1.829388429815924</v>
      </c>
      <c r="O2764" s="1476"/>
    </row>
    <row r="2765" spans="11:15">
      <c r="K2765" s="1473">
        <v>44822</v>
      </c>
      <c r="L2765" s="1474"/>
      <c r="M2765" s="1475">
        <v>0</v>
      </c>
      <c r="N2765" s="1476">
        <v>1.829388429815924</v>
      </c>
      <c r="O2765" s="1476"/>
    </row>
    <row r="2766" spans="11:15">
      <c r="K2766" s="1473">
        <v>44823</v>
      </c>
      <c r="L2766" s="1474" t="s">
        <v>2123</v>
      </c>
      <c r="M2766" s="1475">
        <v>5.0788E-2</v>
      </c>
      <c r="N2766" s="1476">
        <v>1.8303175396116589</v>
      </c>
      <c r="O2766" s="1476"/>
    </row>
    <row r="2767" spans="11:15">
      <c r="K2767" s="1473">
        <v>44824</v>
      </c>
      <c r="L2767" s="1474" t="s">
        <v>2123</v>
      </c>
      <c r="M2767" s="1475">
        <v>5.0788E-2</v>
      </c>
      <c r="N2767" s="1476">
        <v>1.8312471212836769</v>
      </c>
      <c r="O2767" s="1476"/>
    </row>
    <row r="2768" spans="11:15">
      <c r="K2768" s="1473">
        <v>44825</v>
      </c>
      <c r="L2768" s="1474" t="s">
        <v>2123</v>
      </c>
      <c r="M2768" s="1475">
        <v>5.0788E-2</v>
      </c>
      <c r="N2768" s="1476">
        <v>1.8321771750716345</v>
      </c>
      <c r="O2768" s="1476"/>
    </row>
    <row r="2769" spans="11:15">
      <c r="K2769" s="1473">
        <v>44826</v>
      </c>
      <c r="L2769" s="1474" t="s">
        <v>2123</v>
      </c>
      <c r="M2769" s="1475">
        <v>5.0788E-2</v>
      </c>
      <c r="N2769" s="1476">
        <v>1.8331077012153099</v>
      </c>
      <c r="O2769" s="1476"/>
    </row>
    <row r="2770" spans="11:15">
      <c r="K2770" s="1473">
        <v>44827</v>
      </c>
      <c r="L2770" s="1474" t="s">
        <v>2123</v>
      </c>
      <c r="M2770" s="1475">
        <v>5.0788E-2</v>
      </c>
      <c r="N2770" s="1476">
        <v>1.8340386999546032</v>
      </c>
      <c r="O2770" s="1476"/>
    </row>
    <row r="2771" spans="11:15">
      <c r="K2771" s="1473">
        <v>44828</v>
      </c>
      <c r="L2771" s="1474"/>
      <c r="M2771" s="1475">
        <v>0</v>
      </c>
      <c r="N2771" s="1476">
        <v>1.8340386999546032</v>
      </c>
      <c r="O2771" s="1476"/>
    </row>
    <row r="2772" spans="11:15">
      <c r="K2772" s="1473">
        <v>44829</v>
      </c>
      <c r="L2772" s="1474"/>
      <c r="M2772" s="1475">
        <v>0</v>
      </c>
      <c r="N2772" s="1476">
        <v>1.8340386999546032</v>
      </c>
      <c r="O2772" s="1476"/>
    </row>
    <row r="2773" spans="11:15">
      <c r="K2773" s="1473">
        <v>44830</v>
      </c>
      <c r="L2773" s="1474" t="s">
        <v>2123</v>
      </c>
      <c r="M2773" s="1475">
        <v>5.0788E-2</v>
      </c>
      <c r="N2773" s="1476">
        <v>1.8349701715295361</v>
      </c>
      <c r="O2773" s="1476"/>
    </row>
    <row r="2774" spans="11:15">
      <c r="K2774" s="1473">
        <v>44831</v>
      </c>
      <c r="L2774" s="1474" t="s">
        <v>2123</v>
      </c>
      <c r="M2774" s="1475">
        <v>5.0788E-2</v>
      </c>
      <c r="N2774" s="1476">
        <v>1.8359021161802527</v>
      </c>
      <c r="O2774" s="1476"/>
    </row>
    <row r="2775" spans="11:15">
      <c r="K2775" s="1473">
        <v>44832</v>
      </c>
      <c r="L2775" s="1474" t="s">
        <v>2123</v>
      </c>
      <c r="M2775" s="1475">
        <v>5.0788E-2</v>
      </c>
      <c r="N2775" s="1476">
        <v>1.8368345341470182</v>
      </c>
      <c r="O2775" s="1476"/>
    </row>
    <row r="2776" spans="11:15">
      <c r="K2776" s="1473">
        <v>44833</v>
      </c>
      <c r="L2776" s="1474" t="s">
        <v>2123</v>
      </c>
      <c r="M2776" s="1475">
        <v>5.0788E-2</v>
      </c>
      <c r="N2776" s="1476">
        <v>1.8377674256702208</v>
      </c>
      <c r="O2776" s="1476"/>
    </row>
    <row r="2777" spans="11:15">
      <c r="K2777" s="1473">
        <v>44834</v>
      </c>
      <c r="L2777" s="1474" t="s">
        <v>2123</v>
      </c>
      <c r="M2777" s="1475">
        <v>5.0788E-2</v>
      </c>
      <c r="N2777" s="1476">
        <v>1.8387007909903701</v>
      </c>
      <c r="O2777" s="1476"/>
    </row>
    <row r="2778" spans="11:15">
      <c r="K2778" s="1473">
        <v>44835</v>
      </c>
      <c r="L2778" s="1474"/>
      <c r="M2778" s="1475">
        <v>0</v>
      </c>
      <c r="N2778" s="1476">
        <v>1.8387007909903701</v>
      </c>
      <c r="O2778" s="1476"/>
    </row>
    <row r="2779" spans="11:15">
      <c r="K2779" s="1473">
        <v>44836</v>
      </c>
      <c r="L2779" s="1474"/>
      <c r="M2779" s="1475">
        <v>0</v>
      </c>
      <c r="N2779" s="1476">
        <v>1.8387007909903701</v>
      </c>
      <c r="O2779" s="1476"/>
    </row>
    <row r="2780" spans="11:15">
      <c r="K2780" s="1473">
        <v>44837</v>
      </c>
      <c r="L2780" s="1474" t="s">
        <v>2123</v>
      </c>
      <c r="M2780" s="1475">
        <v>5.0788E-2</v>
      </c>
      <c r="N2780" s="1476">
        <v>1.8396346303480984</v>
      </c>
      <c r="O2780" s="1476"/>
    </row>
    <row r="2781" spans="11:15">
      <c r="K2781" s="1473">
        <v>44838</v>
      </c>
      <c r="L2781" s="1474" t="s">
        <v>2123</v>
      </c>
      <c r="M2781" s="1475">
        <v>5.0788E-2</v>
      </c>
      <c r="N2781" s="1476">
        <v>1.8405689439841595</v>
      </c>
      <c r="O2781" s="1476"/>
    </row>
    <row r="2782" spans="11:15">
      <c r="K2782" s="1473">
        <v>44839</v>
      </c>
      <c r="L2782" s="1474" t="s">
        <v>2123</v>
      </c>
      <c r="M2782" s="1475">
        <v>5.0788E-2</v>
      </c>
      <c r="N2782" s="1476">
        <v>1.8415037321394301</v>
      </c>
      <c r="O2782" s="1476"/>
    </row>
    <row r="2783" spans="11:15">
      <c r="K2783" s="1473">
        <v>44840</v>
      </c>
      <c r="L2783" s="1474" t="s">
        <v>2123</v>
      </c>
      <c r="M2783" s="1475">
        <v>5.0788E-2</v>
      </c>
      <c r="N2783" s="1476">
        <v>1.8424389950549092</v>
      </c>
      <c r="O2783" s="1476"/>
    </row>
    <row r="2784" spans="11:15">
      <c r="K2784" s="1473">
        <v>44841</v>
      </c>
      <c r="L2784" s="1474" t="s">
        <v>2123</v>
      </c>
      <c r="M2784" s="1475">
        <v>5.0788E-2</v>
      </c>
      <c r="N2784" s="1476">
        <v>1.8433747329717176</v>
      </c>
      <c r="O2784" s="1476"/>
    </row>
    <row r="2785" spans="11:15">
      <c r="K2785" s="1473">
        <v>44842</v>
      </c>
      <c r="L2785" s="1474"/>
      <c r="M2785" s="1475">
        <v>0</v>
      </c>
      <c r="N2785" s="1476">
        <v>1.8433747329717176</v>
      </c>
      <c r="O2785" s="1476"/>
    </row>
    <row r="2786" spans="11:15">
      <c r="K2786" s="1473">
        <v>44843</v>
      </c>
      <c r="L2786" s="1474"/>
      <c r="M2786" s="1475">
        <v>0</v>
      </c>
      <c r="N2786" s="1476">
        <v>1.8433747329717176</v>
      </c>
      <c r="O2786" s="1476"/>
    </row>
    <row r="2787" spans="11:15">
      <c r="K2787" s="1473">
        <v>44844</v>
      </c>
      <c r="L2787" s="1474" t="s">
        <v>2123</v>
      </c>
      <c r="M2787" s="1475">
        <v>5.0788E-2</v>
      </c>
      <c r="N2787" s="1476">
        <v>1.8443109461310994</v>
      </c>
      <c r="O2787" s="1476"/>
    </row>
    <row r="2788" spans="11:15">
      <c r="K2788" s="1473">
        <v>44845</v>
      </c>
      <c r="L2788" s="1474" t="s">
        <v>2123</v>
      </c>
      <c r="M2788" s="1475">
        <v>5.0788E-2</v>
      </c>
      <c r="N2788" s="1476">
        <v>1.8452476347744204</v>
      </c>
      <c r="O2788" s="1476"/>
    </row>
    <row r="2789" spans="11:15">
      <c r="K2789" s="1473">
        <v>44846</v>
      </c>
      <c r="L2789" s="1474"/>
      <c r="M2789" s="1475">
        <v>0</v>
      </c>
      <c r="N2789" s="1476">
        <v>1.8452476347744204</v>
      </c>
      <c r="O2789" s="1476"/>
    </row>
    <row r="2790" spans="11:15">
      <c r="K2790" s="1473">
        <v>44847</v>
      </c>
      <c r="L2790" s="1474" t="s">
        <v>2123</v>
      </c>
      <c r="M2790" s="1475">
        <v>5.0788E-2</v>
      </c>
      <c r="N2790" s="1476">
        <v>1.8461847991431697</v>
      </c>
      <c r="O2790" s="1476"/>
    </row>
    <row r="2791" spans="11:15">
      <c r="K2791" s="1473">
        <v>44848</v>
      </c>
      <c r="L2791" s="1474" t="s">
        <v>2123</v>
      </c>
      <c r="M2791" s="1475">
        <v>5.0788E-2</v>
      </c>
      <c r="N2791" s="1476">
        <v>1.8471224394789585</v>
      </c>
      <c r="O2791" s="1476"/>
    </row>
    <row r="2792" spans="11:15">
      <c r="K2792" s="1473">
        <v>44849</v>
      </c>
      <c r="L2792" s="1474"/>
      <c r="M2792" s="1475">
        <v>0</v>
      </c>
      <c r="N2792" s="1476">
        <v>1.8471224394789585</v>
      </c>
      <c r="O2792" s="1476"/>
    </row>
    <row r="2793" spans="11:15">
      <c r="K2793" s="1473">
        <v>44850</v>
      </c>
      <c r="L2793" s="1474"/>
      <c r="M2793" s="1475">
        <v>0</v>
      </c>
      <c r="N2793" s="1476">
        <v>1.8471224394789585</v>
      </c>
      <c r="O2793" s="1476"/>
    </row>
    <row r="2794" spans="11:15">
      <c r="K2794" s="1473">
        <v>44851</v>
      </c>
      <c r="L2794" s="1474" t="s">
        <v>2123</v>
      </c>
      <c r="M2794" s="1475">
        <v>5.0788E-2</v>
      </c>
      <c r="N2794" s="1476">
        <v>1.848060556023521</v>
      </c>
      <c r="O2794" s="1476"/>
    </row>
    <row r="2795" spans="11:15">
      <c r="K2795" s="1473">
        <v>44852</v>
      </c>
      <c r="L2795" s="1474" t="s">
        <v>2123</v>
      </c>
      <c r="M2795" s="1475">
        <v>5.0788E-2</v>
      </c>
      <c r="N2795" s="1476">
        <v>1.8489991490187143</v>
      </c>
      <c r="O2795" s="1476"/>
    </row>
    <row r="2796" spans="11:15">
      <c r="K2796" s="1473">
        <v>44853</v>
      </c>
      <c r="L2796" s="1474" t="s">
        <v>2123</v>
      </c>
      <c r="M2796" s="1475">
        <v>5.0788E-2</v>
      </c>
      <c r="N2796" s="1476">
        <v>1.8499382187065179</v>
      </c>
      <c r="O2796" s="1476"/>
    </row>
    <row r="2797" spans="11:15">
      <c r="K2797" s="1473">
        <v>44854</v>
      </c>
      <c r="L2797" s="1474" t="s">
        <v>2123</v>
      </c>
      <c r="M2797" s="1475">
        <v>5.0788E-2</v>
      </c>
      <c r="N2797" s="1476">
        <v>1.8508777653290345</v>
      </c>
      <c r="O2797" s="1476"/>
    </row>
    <row r="2798" spans="11:15">
      <c r="K2798" s="1473">
        <v>44855</v>
      </c>
      <c r="L2798" s="1474" t="s">
        <v>2123</v>
      </c>
      <c r="M2798" s="1475">
        <v>5.0788E-2</v>
      </c>
      <c r="N2798" s="1476">
        <v>1.8518177891284897</v>
      </c>
      <c r="O2798" s="1476"/>
    </row>
    <row r="2799" spans="11:15">
      <c r="K2799" s="1473">
        <v>44856</v>
      </c>
      <c r="L2799" s="1474"/>
      <c r="M2799" s="1475">
        <v>0</v>
      </c>
      <c r="N2799" s="1476">
        <v>1.8518177891284897</v>
      </c>
      <c r="O2799" s="1476"/>
    </row>
    <row r="2800" spans="11:15">
      <c r="K2800" s="1473">
        <v>44857</v>
      </c>
      <c r="L2800" s="1474"/>
      <c r="M2800" s="1475">
        <v>0</v>
      </c>
      <c r="N2800" s="1476">
        <v>1.8518177891284897</v>
      </c>
      <c r="O2800" s="1476"/>
    </row>
    <row r="2801" spans="11:15">
      <c r="K2801" s="1473">
        <v>44858</v>
      </c>
      <c r="L2801" s="1474" t="s">
        <v>2123</v>
      </c>
      <c r="M2801" s="1475">
        <v>5.0788E-2</v>
      </c>
      <c r="N2801" s="1476">
        <v>1.8527582903472324</v>
      </c>
      <c r="O2801" s="1476"/>
    </row>
    <row r="2802" spans="11:15">
      <c r="K2802" s="1473">
        <v>44859</v>
      </c>
      <c r="L2802" s="1474" t="s">
        <v>2123</v>
      </c>
      <c r="M2802" s="1475">
        <v>5.0788E-2</v>
      </c>
      <c r="N2802" s="1476">
        <v>1.8536992692277339</v>
      </c>
      <c r="O2802" s="1476"/>
    </row>
    <row r="2803" spans="11:15">
      <c r="K2803" s="1473">
        <v>44860</v>
      </c>
      <c r="L2803" s="1474" t="s">
        <v>2123</v>
      </c>
      <c r="M2803" s="1475">
        <v>5.0788E-2</v>
      </c>
      <c r="N2803" s="1476">
        <v>1.8546407260125892</v>
      </c>
      <c r="O2803" s="1476"/>
    </row>
    <row r="2804" spans="11:15">
      <c r="K2804" s="1473">
        <v>44861</v>
      </c>
      <c r="L2804" s="1474" t="s">
        <v>2123</v>
      </c>
      <c r="M2804" s="1475">
        <v>5.0788E-2</v>
      </c>
      <c r="N2804" s="1476">
        <v>1.8555826609445165</v>
      </c>
      <c r="O2804" s="1476"/>
    </row>
    <row r="2805" spans="11:15">
      <c r="K2805" s="1473">
        <v>44862</v>
      </c>
      <c r="L2805" s="1474" t="s">
        <v>2123</v>
      </c>
      <c r="M2805" s="1475">
        <v>5.0788E-2</v>
      </c>
      <c r="N2805" s="1476">
        <v>1.856525074266357</v>
      </c>
      <c r="O2805" s="1476"/>
    </row>
    <row r="2806" spans="11:15">
      <c r="K2806" s="1473">
        <v>44863</v>
      </c>
      <c r="L2806" s="1474"/>
      <c r="M2806" s="1475">
        <v>0</v>
      </c>
      <c r="N2806" s="1476">
        <v>1.856525074266357</v>
      </c>
      <c r="O2806" s="1476"/>
    </row>
    <row r="2807" spans="11:15">
      <c r="K2807" s="1473">
        <v>44864</v>
      </c>
      <c r="L2807" s="1474"/>
      <c r="M2807" s="1475">
        <v>0</v>
      </c>
      <c r="N2807" s="1476">
        <v>1.856525074266357</v>
      </c>
      <c r="O2807" s="1476"/>
    </row>
    <row r="2808" spans="11:15">
      <c r="K2808" s="1473">
        <v>44865</v>
      </c>
      <c r="L2808" s="1474" t="s">
        <v>2123</v>
      </c>
      <c r="M2808" s="1475">
        <v>5.0788E-2</v>
      </c>
      <c r="N2808" s="1476">
        <v>1.8574679662210756</v>
      </c>
      <c r="O2808" s="1476"/>
    </row>
    <row r="2809" spans="11:15">
      <c r="K2809" s="1473">
        <v>44866</v>
      </c>
      <c r="L2809" s="1474" t="s">
        <v>2123</v>
      </c>
      <c r="M2809" s="1475">
        <v>5.0788E-2</v>
      </c>
      <c r="N2809" s="1476">
        <v>1.8584113370517599</v>
      </c>
      <c r="O2809" s="1476"/>
    </row>
    <row r="2810" spans="11:15">
      <c r="K2810" s="1473">
        <v>44867</v>
      </c>
      <c r="L2810" s="1474"/>
      <c r="M2810" s="1475">
        <v>0</v>
      </c>
      <c r="N2810" s="1476">
        <v>1.8584113370517599</v>
      </c>
      <c r="O2810" s="1476"/>
    </row>
    <row r="2811" spans="11:15">
      <c r="K2811" s="1473">
        <v>44868</v>
      </c>
      <c r="L2811" s="1474" t="s">
        <v>2123</v>
      </c>
      <c r="M2811" s="1475">
        <v>5.0788E-2</v>
      </c>
      <c r="N2811" s="1476">
        <v>1.8593551870016218</v>
      </c>
      <c r="O2811" s="1476"/>
    </row>
    <row r="2812" spans="11:15">
      <c r="K2812" s="1473">
        <v>44869</v>
      </c>
      <c r="L2812" s="1474" t="s">
        <v>2123</v>
      </c>
      <c r="M2812" s="1475">
        <v>5.0788E-2</v>
      </c>
      <c r="N2812" s="1476">
        <v>1.8602995163139961</v>
      </c>
      <c r="O2812" s="1476"/>
    </row>
    <row r="2813" spans="11:15">
      <c r="K2813" s="1473">
        <v>44870</v>
      </c>
      <c r="L2813" s="1474"/>
      <c r="M2813" s="1475">
        <v>0</v>
      </c>
      <c r="N2813" s="1476">
        <v>1.8602995163139961</v>
      </c>
      <c r="O2813" s="1476"/>
    </row>
    <row r="2814" spans="11:15">
      <c r="K2814" s="1473">
        <v>44871</v>
      </c>
      <c r="L2814" s="1474"/>
      <c r="M2814" s="1475">
        <v>0</v>
      </c>
      <c r="N2814" s="1476">
        <v>1.8602995163139961</v>
      </c>
      <c r="O2814" s="1476"/>
    </row>
    <row r="2815" spans="11:15">
      <c r="K2815" s="1473">
        <v>44872</v>
      </c>
      <c r="L2815" s="1474" t="s">
        <v>2123</v>
      </c>
      <c r="M2815" s="1475">
        <v>5.0788E-2</v>
      </c>
      <c r="N2815" s="1476">
        <v>1.8612443252323416</v>
      </c>
      <c r="O2815" s="1476"/>
    </row>
    <row r="2816" spans="11:15">
      <c r="K2816" s="1473">
        <v>44873</v>
      </c>
      <c r="L2816" s="1474" t="s">
        <v>2123</v>
      </c>
      <c r="M2816" s="1475">
        <v>5.0788E-2</v>
      </c>
      <c r="N2816" s="1476">
        <v>1.8621896140002407</v>
      </c>
      <c r="O2816" s="1476"/>
    </row>
    <row r="2817" spans="11:15">
      <c r="K2817" s="1473">
        <v>44874</v>
      </c>
      <c r="L2817" s="1474" t="s">
        <v>2123</v>
      </c>
      <c r="M2817" s="1475">
        <v>5.0788E-2</v>
      </c>
      <c r="N2817" s="1476">
        <v>1.8631353828613992</v>
      </c>
      <c r="O2817" s="1476"/>
    </row>
    <row r="2818" spans="11:15">
      <c r="K2818" s="1473">
        <v>44875</v>
      </c>
      <c r="L2818" s="1474" t="s">
        <v>2123</v>
      </c>
      <c r="M2818" s="1475">
        <v>5.0788E-2</v>
      </c>
      <c r="N2818" s="1476">
        <v>1.8640816320596469</v>
      </c>
      <c r="O2818" s="1476"/>
    </row>
    <row r="2819" spans="11:15">
      <c r="K2819" s="1473">
        <v>44876</v>
      </c>
      <c r="L2819" s="1474" t="s">
        <v>2123</v>
      </c>
      <c r="M2819" s="1475">
        <v>5.0788E-2</v>
      </c>
      <c r="N2819" s="1476">
        <v>1.8650283618389374</v>
      </c>
      <c r="O2819" s="1476"/>
    </row>
    <row r="2820" spans="11:15">
      <c r="K2820" s="1473">
        <v>44877</v>
      </c>
      <c r="L2820" s="1474"/>
      <c r="M2820" s="1475">
        <v>0</v>
      </c>
      <c r="N2820" s="1476">
        <v>1.8650283618389374</v>
      </c>
      <c r="O2820" s="1476"/>
    </row>
    <row r="2821" spans="11:15">
      <c r="K2821" s="1473">
        <v>44878</v>
      </c>
      <c r="L2821" s="1474"/>
      <c r="M2821" s="1475">
        <v>0</v>
      </c>
      <c r="N2821" s="1476">
        <v>1.8650283618389374</v>
      </c>
      <c r="O2821" s="1476"/>
    </row>
    <row r="2822" spans="11:15">
      <c r="K2822" s="1473">
        <v>44879</v>
      </c>
      <c r="L2822" s="1474" t="s">
        <v>2123</v>
      </c>
      <c r="M2822" s="1475">
        <v>5.0788E-2</v>
      </c>
      <c r="N2822" s="1476">
        <v>1.8659755724433482</v>
      </c>
      <c r="O2822" s="1476"/>
    </row>
    <row r="2823" spans="11:15">
      <c r="K2823" s="1473">
        <v>44880</v>
      </c>
      <c r="L2823" s="1474"/>
      <c r="M2823" s="1475">
        <v>0</v>
      </c>
      <c r="N2823" s="1476">
        <v>1.8659755724433482</v>
      </c>
      <c r="O2823" s="1476"/>
    </row>
    <row r="2824" spans="11:15">
      <c r="K2824" s="1473">
        <v>44881</v>
      </c>
      <c r="L2824" s="1474" t="s">
        <v>2123</v>
      </c>
      <c r="M2824" s="1475">
        <v>5.0788E-2</v>
      </c>
      <c r="N2824" s="1476">
        <v>1.8669232641170808</v>
      </c>
      <c r="O2824" s="1476"/>
    </row>
    <row r="2825" spans="11:15">
      <c r="K2825" s="1473">
        <v>44882</v>
      </c>
      <c r="L2825" s="1474" t="s">
        <v>2123</v>
      </c>
      <c r="M2825" s="1475">
        <v>5.0788E-2</v>
      </c>
      <c r="N2825" s="1476">
        <v>1.8678714371044605</v>
      </c>
      <c r="O2825" s="1476"/>
    </row>
    <row r="2826" spans="11:15">
      <c r="K2826" s="1473">
        <v>44883</v>
      </c>
      <c r="L2826" s="1474" t="s">
        <v>2123</v>
      </c>
      <c r="M2826" s="1475">
        <v>5.0788E-2</v>
      </c>
      <c r="N2826" s="1476">
        <v>1.8688200916499371</v>
      </c>
      <c r="O2826" s="1476"/>
    </row>
    <row r="2827" spans="11:15">
      <c r="K2827" s="1473">
        <v>44884</v>
      </c>
      <c r="L2827" s="1474"/>
      <c r="M2827" s="1475">
        <v>0</v>
      </c>
      <c r="N2827" s="1476">
        <v>1.8688200916499371</v>
      </c>
      <c r="O2827" s="1476"/>
    </row>
    <row r="2828" spans="11:15">
      <c r="K2828" s="1473">
        <v>44885</v>
      </c>
      <c r="L2828" s="1474"/>
      <c r="M2828" s="1475">
        <v>0</v>
      </c>
      <c r="N2828" s="1476">
        <v>1.8688200916499371</v>
      </c>
      <c r="O2828" s="1476"/>
    </row>
    <row r="2829" spans="11:15">
      <c r="K2829" s="1473">
        <v>44886</v>
      </c>
      <c r="L2829" s="1474" t="s">
        <v>2123</v>
      </c>
      <c r="M2829" s="1475">
        <v>5.0788E-2</v>
      </c>
      <c r="N2829" s="1476">
        <v>1.8697692279980844</v>
      </c>
      <c r="O2829" s="1476"/>
    </row>
    <row r="2830" spans="11:15">
      <c r="K2830" s="1473">
        <v>44887</v>
      </c>
      <c r="L2830" s="1474" t="s">
        <v>2123</v>
      </c>
      <c r="M2830" s="1475">
        <v>5.0788E-2</v>
      </c>
      <c r="N2830" s="1476">
        <v>1.8707188463936002</v>
      </c>
      <c r="O2830" s="1476"/>
    </row>
    <row r="2831" spans="11:15">
      <c r="K2831" s="1473">
        <v>44888</v>
      </c>
      <c r="L2831" s="1474" t="s">
        <v>2123</v>
      </c>
      <c r="M2831" s="1475">
        <v>5.0788E-2</v>
      </c>
      <c r="N2831" s="1476">
        <v>1.8716689470813066</v>
      </c>
      <c r="O2831" s="1476"/>
    </row>
    <row r="2832" spans="11:15">
      <c r="K2832" s="1473">
        <v>44889</v>
      </c>
      <c r="L2832" s="1474" t="s">
        <v>2123</v>
      </c>
      <c r="M2832" s="1475">
        <v>5.0788E-2</v>
      </c>
      <c r="N2832" s="1476">
        <v>1.8726195303061504</v>
      </c>
      <c r="O2832" s="1476"/>
    </row>
    <row r="2833" spans="11:15">
      <c r="K2833" s="1473">
        <v>44890</v>
      </c>
      <c r="L2833" s="1474" t="s">
        <v>2123</v>
      </c>
      <c r="M2833" s="1475">
        <v>5.0788E-2</v>
      </c>
      <c r="N2833" s="1476">
        <v>1.8735705963132023</v>
      </c>
      <c r="O2833" s="1476"/>
    </row>
    <row r="2834" spans="11:15">
      <c r="K2834" s="1473">
        <v>44891</v>
      </c>
      <c r="L2834" s="1474"/>
      <c r="M2834" s="1475">
        <v>0</v>
      </c>
      <c r="N2834" s="1476">
        <v>1.8735705963132023</v>
      </c>
      <c r="O2834" s="1476"/>
    </row>
    <row r="2835" spans="11:15">
      <c r="K2835" s="1473">
        <v>44892</v>
      </c>
      <c r="L2835" s="1474"/>
      <c r="M2835" s="1475">
        <v>0</v>
      </c>
      <c r="N2835" s="1476">
        <v>1.8735705963132023</v>
      </c>
      <c r="O2835" s="1476"/>
    </row>
    <row r="2836" spans="11:15">
      <c r="K2836" s="1473">
        <v>44893</v>
      </c>
      <c r="L2836" s="1474" t="s">
        <v>2123</v>
      </c>
      <c r="M2836" s="1475">
        <v>5.0788E-2</v>
      </c>
      <c r="N2836" s="1476">
        <v>1.8745221453476579</v>
      </c>
      <c r="O2836" s="1476"/>
    </row>
    <row r="2837" spans="11:15">
      <c r="K2837" s="1473">
        <v>44894</v>
      </c>
      <c r="L2837" s="1474" t="s">
        <v>2123</v>
      </c>
      <c r="M2837" s="1475">
        <v>5.0788E-2</v>
      </c>
      <c r="N2837" s="1476">
        <v>1.8754741776548371</v>
      </c>
      <c r="O2837" s="1476"/>
    </row>
    <row r="2838" spans="11:15">
      <c r="K2838" s="1473">
        <v>44895</v>
      </c>
      <c r="L2838" s="1474" t="s">
        <v>2123</v>
      </c>
      <c r="M2838" s="1475">
        <v>5.0788E-2</v>
      </c>
      <c r="N2838" s="1476">
        <v>1.8764266934801845</v>
      </c>
      <c r="O2838" s="1476"/>
    </row>
    <row r="2839" spans="11:15">
      <c r="K2839" s="1473">
        <v>44896</v>
      </c>
      <c r="L2839" s="1474" t="s">
        <v>2123</v>
      </c>
      <c r="M2839" s="1475">
        <v>5.0788E-2</v>
      </c>
      <c r="N2839" s="1476">
        <v>1.8773796930692692</v>
      </c>
      <c r="O2839" s="1476"/>
    </row>
    <row r="2840" spans="11:15">
      <c r="K2840" s="1473">
        <v>44897</v>
      </c>
      <c r="L2840" s="1474" t="s">
        <v>2123</v>
      </c>
      <c r="M2840" s="1475">
        <v>5.0788E-2</v>
      </c>
      <c r="N2840" s="1476">
        <v>1.8783331766677853</v>
      </c>
      <c r="O2840" s="1476"/>
    </row>
    <row r="2841" spans="11:15">
      <c r="K2841" s="1473">
        <v>44898</v>
      </c>
      <c r="L2841" s="1474"/>
      <c r="M2841" s="1475">
        <v>0</v>
      </c>
      <c r="N2841" s="1476">
        <v>1.8783331766677853</v>
      </c>
      <c r="O2841" s="1476"/>
    </row>
    <row r="2842" spans="11:15">
      <c r="K2842" s="1473">
        <v>44899</v>
      </c>
      <c r="L2842" s="1474"/>
      <c r="M2842" s="1475">
        <v>0</v>
      </c>
      <c r="N2842" s="1476">
        <v>1.8783331766677853</v>
      </c>
      <c r="O2842" s="1476"/>
    </row>
    <row r="2843" spans="11:15">
      <c r="K2843" s="1473">
        <v>44900</v>
      </c>
      <c r="L2843" s="1474" t="s">
        <v>2123</v>
      </c>
      <c r="M2843" s="1475">
        <v>5.0788E-2</v>
      </c>
      <c r="N2843" s="1476">
        <v>1.8792871445215513</v>
      </c>
      <c r="O2843" s="1476"/>
    </row>
    <row r="2844" spans="11:15">
      <c r="K2844" s="1473">
        <v>44901</v>
      </c>
      <c r="L2844" s="1474" t="s">
        <v>2123</v>
      </c>
      <c r="M2844" s="1475">
        <v>5.0788E-2</v>
      </c>
      <c r="N2844" s="1476">
        <v>1.8802415968765109</v>
      </c>
      <c r="O2844" s="1476"/>
    </row>
    <row r="2845" spans="11:15">
      <c r="K2845" s="1473">
        <v>44902</v>
      </c>
      <c r="L2845" s="1474" t="s">
        <v>2123</v>
      </c>
      <c r="M2845" s="1475">
        <v>5.0788E-2</v>
      </c>
      <c r="N2845" s="1476">
        <v>1.8811965339787327</v>
      </c>
      <c r="O2845" s="1476"/>
    </row>
    <row r="2846" spans="11:15">
      <c r="K2846" s="1473">
        <v>44903</v>
      </c>
      <c r="L2846" s="1474" t="s">
        <v>2123</v>
      </c>
      <c r="M2846" s="1475">
        <v>5.0788E-2</v>
      </c>
      <c r="N2846" s="1476">
        <v>1.8821519560744098</v>
      </c>
      <c r="O2846" s="1476"/>
    </row>
    <row r="2847" spans="11:15">
      <c r="K2847" s="1473">
        <v>44904</v>
      </c>
      <c r="L2847" s="1474" t="s">
        <v>2123</v>
      </c>
      <c r="M2847" s="1475">
        <v>5.0788E-2</v>
      </c>
      <c r="N2847" s="1476">
        <v>1.8831078634098608</v>
      </c>
      <c r="O2847" s="1476"/>
    </row>
    <row r="2848" spans="11:15">
      <c r="K2848" s="1473">
        <v>44905</v>
      </c>
      <c r="L2848" s="1474"/>
      <c r="M2848" s="1475">
        <v>0</v>
      </c>
      <c r="N2848" s="1476">
        <v>1.8831078634098608</v>
      </c>
      <c r="O2848" s="1476"/>
    </row>
    <row r="2849" spans="11:15">
      <c r="K2849" s="1473">
        <v>44906</v>
      </c>
      <c r="L2849" s="1474"/>
      <c r="M2849" s="1475">
        <v>0</v>
      </c>
      <c r="N2849" s="1476">
        <v>1.8831078634098608</v>
      </c>
      <c r="O2849" s="1476"/>
    </row>
    <row r="2850" spans="11:15">
      <c r="K2850" s="1473">
        <v>44907</v>
      </c>
      <c r="L2850" s="1474" t="s">
        <v>2123</v>
      </c>
      <c r="M2850" s="1475">
        <v>5.0788E-2</v>
      </c>
      <c r="N2850" s="1476">
        <v>1.8840642562315295</v>
      </c>
      <c r="O2850" s="1476"/>
    </row>
    <row r="2851" spans="11:15">
      <c r="K2851" s="1473">
        <v>44908</v>
      </c>
      <c r="L2851" s="1474" t="s">
        <v>2123</v>
      </c>
      <c r="M2851" s="1475">
        <v>5.0788E-2</v>
      </c>
      <c r="N2851" s="1476">
        <v>1.8850211347859844</v>
      </c>
      <c r="O2851" s="1476"/>
    </row>
    <row r="2852" spans="11:15">
      <c r="K2852" s="1473">
        <v>44909</v>
      </c>
      <c r="L2852" s="1474" t="s">
        <v>2123</v>
      </c>
      <c r="M2852" s="1475">
        <v>5.0788E-2</v>
      </c>
      <c r="N2852" s="1476">
        <v>1.8859784993199196</v>
      </c>
      <c r="O2852" s="1476"/>
    </row>
    <row r="2853" spans="11:15">
      <c r="K2853" s="1473">
        <v>44910</v>
      </c>
      <c r="L2853" s="1474" t="s">
        <v>2123</v>
      </c>
      <c r="M2853" s="1475">
        <v>5.0788E-2</v>
      </c>
      <c r="N2853" s="1476">
        <v>1.8869363500801541</v>
      </c>
      <c r="O2853" s="1476"/>
    </row>
    <row r="2854" spans="11:15">
      <c r="K2854" s="1473">
        <v>44911</v>
      </c>
      <c r="L2854" s="1474" t="s">
        <v>2123</v>
      </c>
      <c r="M2854" s="1475">
        <v>5.0788E-2</v>
      </c>
      <c r="N2854" s="1476">
        <v>1.8878946873136329</v>
      </c>
      <c r="O2854" s="1476"/>
    </row>
    <row r="2855" spans="11:15">
      <c r="K2855" s="1473">
        <v>44912</v>
      </c>
      <c r="L2855" s="1474"/>
      <c r="M2855" s="1475">
        <v>0</v>
      </c>
      <c r="N2855" s="1476">
        <v>1.8878946873136329</v>
      </c>
      <c r="O2855" s="1476"/>
    </row>
    <row r="2856" spans="11:15">
      <c r="K2856" s="1473">
        <v>44913</v>
      </c>
      <c r="L2856" s="1474"/>
      <c r="M2856" s="1475">
        <v>0</v>
      </c>
      <c r="N2856" s="1476">
        <v>1.8878946873136329</v>
      </c>
      <c r="O2856" s="1476"/>
    </row>
    <row r="2857" spans="11:15">
      <c r="K2857" s="1473">
        <v>44914</v>
      </c>
      <c r="L2857" s="1474" t="s">
        <v>2123</v>
      </c>
      <c r="M2857" s="1475">
        <v>5.0788E-2</v>
      </c>
      <c r="N2857" s="1476">
        <v>1.8888535112674258</v>
      </c>
      <c r="O2857" s="1476"/>
    </row>
    <row r="2858" spans="11:15">
      <c r="K2858" s="1473">
        <v>44915</v>
      </c>
      <c r="L2858" s="1474" t="s">
        <v>2123</v>
      </c>
      <c r="M2858" s="1475">
        <v>5.0788E-2</v>
      </c>
      <c r="N2858" s="1476">
        <v>1.8898128221887285</v>
      </c>
      <c r="O2858" s="1476"/>
    </row>
    <row r="2859" spans="11:15">
      <c r="K2859" s="1473">
        <v>44916</v>
      </c>
      <c r="L2859" s="1474" t="s">
        <v>2123</v>
      </c>
      <c r="M2859" s="1475">
        <v>5.0788E-2</v>
      </c>
      <c r="N2859" s="1476">
        <v>1.8907726203248618</v>
      </c>
      <c r="O2859" s="1476"/>
    </row>
    <row r="2860" spans="11:15">
      <c r="K2860" s="1473">
        <v>44917</v>
      </c>
      <c r="L2860" s="1474" t="s">
        <v>2123</v>
      </c>
      <c r="M2860" s="1475">
        <v>5.0788E-2</v>
      </c>
      <c r="N2860" s="1476">
        <v>1.8917329059232724</v>
      </c>
      <c r="O2860" s="1476"/>
    </row>
    <row r="2861" spans="11:15">
      <c r="K2861" s="1473">
        <v>44918</v>
      </c>
      <c r="L2861" s="1474" t="s">
        <v>2123</v>
      </c>
      <c r="M2861" s="1475">
        <v>5.0788E-2</v>
      </c>
      <c r="N2861" s="1476">
        <v>1.8926936792315328</v>
      </c>
      <c r="O2861" s="1476"/>
    </row>
    <row r="2862" spans="11:15">
      <c r="K2862" s="1473">
        <v>44919</v>
      </c>
      <c r="L2862" s="1474"/>
      <c r="M2862" s="1475">
        <v>0</v>
      </c>
      <c r="N2862" s="1476">
        <v>1.8926936792315328</v>
      </c>
      <c r="O2862" s="1476"/>
    </row>
    <row r="2863" spans="11:15">
      <c r="K2863" s="1473">
        <v>44920</v>
      </c>
      <c r="L2863" s="1474"/>
      <c r="M2863" s="1475">
        <v>0</v>
      </c>
      <c r="N2863" s="1476">
        <v>1.8926936792315328</v>
      </c>
      <c r="O2863" s="1476"/>
    </row>
    <row r="2864" spans="11:15">
      <c r="K2864" s="1473">
        <v>44921</v>
      </c>
      <c r="L2864" s="1474" t="s">
        <v>2123</v>
      </c>
      <c r="M2864" s="1475">
        <v>5.0788E-2</v>
      </c>
      <c r="N2864" s="1476">
        <v>1.8936549404973408</v>
      </c>
      <c r="O2864" s="1476"/>
    </row>
    <row r="2865" spans="11:15">
      <c r="K2865" s="1473">
        <v>44922</v>
      </c>
      <c r="L2865" s="1474" t="s">
        <v>2123</v>
      </c>
      <c r="M2865" s="1475">
        <v>5.0788E-2</v>
      </c>
      <c r="N2865" s="1476">
        <v>1.8946166899685206</v>
      </c>
      <c r="O2865" s="1476"/>
    </row>
    <row r="2866" spans="11:15">
      <c r="K2866" s="1473">
        <v>44923</v>
      </c>
      <c r="L2866" s="1474" t="s">
        <v>2123</v>
      </c>
      <c r="M2866" s="1475">
        <v>5.0788E-2</v>
      </c>
      <c r="N2866" s="1476">
        <v>1.895578927893022</v>
      </c>
      <c r="O2866" s="1476"/>
    </row>
    <row r="2867" spans="11:15">
      <c r="K2867" s="1473">
        <v>44924</v>
      </c>
      <c r="L2867" s="1474" t="s">
        <v>2123</v>
      </c>
      <c r="M2867" s="1475">
        <v>5.0788E-2</v>
      </c>
      <c r="N2867" s="1476">
        <v>1.8965416545189202</v>
      </c>
      <c r="O2867" s="1476"/>
    </row>
    <row r="2868" spans="11:15">
      <c r="K2868" s="1473">
        <v>44925</v>
      </c>
      <c r="L2868" s="1474" t="s">
        <v>2123</v>
      </c>
      <c r="M2868" s="1475">
        <v>5.0788E-2</v>
      </c>
      <c r="N2868" s="1476">
        <v>1.8975048700944173</v>
      </c>
      <c r="O2868" s="1476"/>
    </row>
    <row r="2869" spans="11:15">
      <c r="K2869" s="1473">
        <v>44926</v>
      </c>
      <c r="L2869" s="1474"/>
      <c r="M2869" s="1475">
        <v>0</v>
      </c>
      <c r="N2869" s="1476">
        <v>1.8975048700944173</v>
      </c>
      <c r="O2869" s="1476"/>
    </row>
    <row r="2870" spans="11:15">
      <c r="K2870" s="1473">
        <v>44927</v>
      </c>
      <c r="L2870" s="1474"/>
      <c r="M2870" s="1475">
        <v>0</v>
      </c>
      <c r="N2870" s="1476">
        <v>1.8975048700944173</v>
      </c>
      <c r="O2870" s="1476"/>
    </row>
    <row r="2871" spans="11:15">
      <c r="K2871" s="1473">
        <v>44928</v>
      </c>
      <c r="L2871" s="1474" t="s">
        <v>2123</v>
      </c>
      <c r="M2871" s="1475">
        <v>5.0788E-2</v>
      </c>
      <c r="N2871" s="1476">
        <v>1.8984685748678409</v>
      </c>
      <c r="O2871" s="1476"/>
    </row>
    <row r="2872" spans="11:15">
      <c r="K2872" s="1473">
        <v>44929</v>
      </c>
      <c r="L2872" s="1474" t="s">
        <v>2123</v>
      </c>
      <c r="M2872" s="1475">
        <v>5.0788E-2</v>
      </c>
      <c r="N2872" s="1476">
        <v>1.8994327690876449</v>
      </c>
      <c r="O2872" s="1476"/>
    </row>
    <row r="2873" spans="11:15">
      <c r="K2873" s="1473">
        <v>44930</v>
      </c>
      <c r="L2873" s="1474" t="s">
        <v>2123</v>
      </c>
      <c r="M2873" s="1475">
        <v>5.0788E-2</v>
      </c>
      <c r="N2873" s="1476">
        <v>1.9003974530024093</v>
      </c>
      <c r="O2873" s="1476"/>
    </row>
    <row r="2874" spans="11:15">
      <c r="K2874" s="1473">
        <v>44931</v>
      </c>
      <c r="L2874" s="1474" t="s">
        <v>2123</v>
      </c>
      <c r="M2874" s="1475">
        <v>5.0788E-2</v>
      </c>
      <c r="N2874" s="1476">
        <v>1.9013626268608401</v>
      </c>
      <c r="O2874" s="1476"/>
    </row>
    <row r="2875" spans="11:15">
      <c r="K2875" s="1473">
        <v>44932</v>
      </c>
      <c r="L2875" s="1474" t="s">
        <v>2123</v>
      </c>
      <c r="M2875" s="1475">
        <v>5.0788E-2</v>
      </c>
      <c r="N2875" s="1476">
        <v>1.9023282909117702</v>
      </c>
      <c r="O2875" s="1476"/>
    </row>
    <row r="2876" spans="11:15">
      <c r="K2876" s="1473">
        <v>44933</v>
      </c>
      <c r="L2876" s="1474"/>
      <c r="M2876" s="1475">
        <v>0</v>
      </c>
      <c r="N2876" s="1476">
        <v>1.9023282909117702</v>
      </c>
      <c r="O2876" s="1476"/>
    </row>
    <row r="2877" spans="11:15">
      <c r="K2877" s="1473">
        <v>44934</v>
      </c>
      <c r="L2877" s="1474"/>
      <c r="M2877" s="1475">
        <v>0</v>
      </c>
      <c r="N2877" s="1476">
        <v>1.9023282909117702</v>
      </c>
      <c r="O2877" s="1476"/>
    </row>
    <row r="2878" spans="11:15">
      <c r="K2878" s="1473">
        <v>44935</v>
      </c>
      <c r="L2878" s="1474" t="s">
        <v>2123</v>
      </c>
      <c r="M2878" s="1475">
        <v>5.0788E-2</v>
      </c>
      <c r="N2878" s="1476">
        <v>1.9032944454041585</v>
      </c>
      <c r="O2878" s="1476"/>
    </row>
    <row r="2879" spans="11:15">
      <c r="K2879" s="1473">
        <v>44936</v>
      </c>
      <c r="L2879" s="1474" t="s">
        <v>2123</v>
      </c>
      <c r="M2879" s="1475">
        <v>5.0788E-2</v>
      </c>
      <c r="N2879" s="1476">
        <v>1.9042610905870905</v>
      </c>
      <c r="O2879" s="1476"/>
    </row>
    <row r="2880" spans="11:15">
      <c r="K2880" s="1473">
        <v>44937</v>
      </c>
      <c r="L2880" s="1474" t="s">
        <v>2123</v>
      </c>
      <c r="M2880" s="1475">
        <v>5.0788E-2</v>
      </c>
      <c r="N2880" s="1476">
        <v>1.905228226709778</v>
      </c>
      <c r="O2880" s="1476"/>
    </row>
    <row r="2881" spans="11:15">
      <c r="K2881" s="1473">
        <v>44938</v>
      </c>
      <c r="L2881" s="1474" t="s">
        <v>2123</v>
      </c>
      <c r="M2881" s="1475">
        <v>5.0788E-2</v>
      </c>
      <c r="N2881" s="1476">
        <v>1.9061958540215593</v>
      </c>
      <c r="O2881" s="1476"/>
    </row>
    <row r="2882" spans="11:15">
      <c r="K2882" s="1473">
        <v>44939</v>
      </c>
      <c r="L2882" s="1474" t="s">
        <v>2123</v>
      </c>
      <c r="M2882" s="1475">
        <v>5.0788E-2</v>
      </c>
      <c r="N2882" s="1476">
        <v>1.9071639727718999</v>
      </c>
      <c r="O2882" s="1476"/>
    </row>
    <row r="2883" spans="11:15">
      <c r="K2883" s="1473">
        <v>44940</v>
      </c>
      <c r="L2883" s="1474"/>
      <c r="M2883" s="1475">
        <v>0</v>
      </c>
      <c r="N2883" s="1476">
        <v>1.9071639727718999</v>
      </c>
      <c r="O2883" s="1476"/>
    </row>
    <row r="2884" spans="11:15">
      <c r="K2884" s="1473">
        <v>44941</v>
      </c>
      <c r="L2884" s="1474"/>
      <c r="M2884" s="1475">
        <v>0</v>
      </c>
      <c r="N2884" s="1476">
        <v>1.9071639727718999</v>
      </c>
      <c r="O2884" s="1476"/>
    </row>
    <row r="2885" spans="11:15">
      <c r="K2885" s="1473">
        <v>44942</v>
      </c>
      <c r="L2885" s="1474" t="s">
        <v>2123</v>
      </c>
      <c r="M2885" s="1475">
        <v>5.0788E-2</v>
      </c>
      <c r="N2885" s="1476">
        <v>1.9081325832103913</v>
      </c>
      <c r="O2885" s="1476"/>
    </row>
    <row r="2886" spans="11:15">
      <c r="K2886" s="1473">
        <v>44943</v>
      </c>
      <c r="L2886" s="1474" t="s">
        <v>2123</v>
      </c>
      <c r="M2886" s="1475">
        <v>5.0788E-2</v>
      </c>
      <c r="N2886" s="1476">
        <v>1.9091016855867522</v>
      </c>
      <c r="O2886" s="1476"/>
    </row>
    <row r="2887" spans="11:15">
      <c r="K2887" s="1473">
        <v>44944</v>
      </c>
      <c r="L2887" s="1474" t="s">
        <v>2123</v>
      </c>
      <c r="M2887" s="1475">
        <v>5.0788E-2</v>
      </c>
      <c r="N2887" s="1476">
        <v>1.9100712801508279</v>
      </c>
      <c r="O2887" s="1476"/>
    </row>
    <row r="2888" spans="11:15">
      <c r="K2888" s="1473">
        <v>44945</v>
      </c>
      <c r="L2888" s="1474" t="s">
        <v>2123</v>
      </c>
      <c r="M2888" s="1475">
        <v>5.0788E-2</v>
      </c>
      <c r="N2888" s="1476">
        <v>1.911041367152591</v>
      </c>
      <c r="O2888" s="1476"/>
    </row>
    <row r="2889" spans="11:15">
      <c r="K2889" s="1473">
        <v>44946</v>
      </c>
      <c r="L2889" s="1474" t="s">
        <v>2123</v>
      </c>
      <c r="M2889" s="1475">
        <v>5.0788E-2</v>
      </c>
      <c r="N2889" s="1476">
        <v>1.9120119468421404</v>
      </c>
      <c r="O2889" s="1476"/>
    </row>
    <row r="2890" spans="11:15">
      <c r="K2890" s="1473">
        <v>44947</v>
      </c>
      <c r="L2890" s="1474"/>
      <c r="M2890" s="1475">
        <v>0</v>
      </c>
      <c r="N2890" s="1476">
        <v>1.9120119468421404</v>
      </c>
      <c r="O2890" s="1476"/>
    </row>
    <row r="2891" spans="11:15">
      <c r="K2891" s="1473">
        <v>44948</v>
      </c>
      <c r="L2891" s="1474"/>
      <c r="M2891" s="1475">
        <v>0</v>
      </c>
      <c r="N2891" s="1476">
        <v>1.9120119468421404</v>
      </c>
      <c r="O2891" s="1476"/>
    </row>
    <row r="2892" spans="11:15">
      <c r="K2892" s="1473">
        <v>44949</v>
      </c>
      <c r="L2892" s="1474" t="s">
        <v>2123</v>
      </c>
      <c r="M2892" s="1475">
        <v>5.0788E-2</v>
      </c>
      <c r="N2892" s="1476">
        <v>1.9129830194697026</v>
      </c>
      <c r="O2892" s="1476"/>
    </row>
    <row r="2893" spans="11:15">
      <c r="K2893" s="1473">
        <v>44950</v>
      </c>
      <c r="L2893" s="1474" t="s">
        <v>2123</v>
      </c>
      <c r="M2893" s="1475">
        <v>5.0788E-2</v>
      </c>
      <c r="N2893" s="1476">
        <v>1.913954585285631</v>
      </c>
      <c r="O2893" s="1476"/>
    </row>
    <row r="2894" spans="11:15">
      <c r="K2894" s="1473">
        <v>44951</v>
      </c>
      <c r="L2894" s="1474" t="s">
        <v>2123</v>
      </c>
      <c r="M2894" s="1475">
        <v>5.0788E-2</v>
      </c>
      <c r="N2894" s="1476">
        <v>1.9149266445404058</v>
      </c>
      <c r="O2894" s="1476"/>
    </row>
    <row r="2895" spans="11:15">
      <c r="K2895" s="1473">
        <v>44952</v>
      </c>
      <c r="L2895" s="1474" t="s">
        <v>2123</v>
      </c>
      <c r="M2895" s="1475">
        <v>5.0788E-2</v>
      </c>
      <c r="N2895" s="1476">
        <v>1.9158991974846351</v>
      </c>
      <c r="O2895" s="1476"/>
    </row>
    <row r="2896" spans="11:15">
      <c r="K2896" s="1473">
        <v>44953</v>
      </c>
      <c r="L2896" s="1474" t="s">
        <v>2123</v>
      </c>
      <c r="M2896" s="1475">
        <v>5.0788E-2</v>
      </c>
      <c r="N2896" s="1476">
        <v>1.9168722443690536</v>
      </c>
      <c r="O2896" s="1476"/>
    </row>
    <row r="2897" spans="11:15">
      <c r="K2897" s="1473">
        <v>44954</v>
      </c>
      <c r="L2897" s="1474"/>
      <c r="M2897" s="1475">
        <v>0</v>
      </c>
      <c r="N2897" s="1476">
        <v>1.9168722443690536</v>
      </c>
      <c r="O2897" s="1476"/>
    </row>
    <row r="2898" spans="11:15">
      <c r="K2898" s="1473">
        <v>44955</v>
      </c>
      <c r="L2898" s="1474"/>
      <c r="M2898" s="1475">
        <v>0</v>
      </c>
      <c r="N2898" s="1476">
        <v>1.9168722443690536</v>
      </c>
      <c r="O2898" s="1476"/>
    </row>
    <row r="2899" spans="11:15">
      <c r="K2899" s="1473">
        <v>44956</v>
      </c>
      <c r="L2899" s="1474" t="s">
        <v>2123</v>
      </c>
      <c r="M2899" s="1475">
        <v>5.0788E-2</v>
      </c>
      <c r="N2899" s="1476">
        <v>1.9178457854445237</v>
      </c>
      <c r="O2899" s="1476"/>
    </row>
    <row r="2900" spans="11:15">
      <c r="K2900" s="1473">
        <v>44957</v>
      </c>
      <c r="L2900" s="1474" t="s">
        <v>2123</v>
      </c>
      <c r="M2900" s="1475">
        <v>5.0788E-2</v>
      </c>
      <c r="N2900" s="1476">
        <v>1.9188198209620353</v>
      </c>
      <c r="O2900" s="1476"/>
    </row>
    <row r="2901" spans="11:15">
      <c r="K2901" s="1473">
        <v>44958</v>
      </c>
      <c r="L2901" s="1474" t="s">
        <v>2123</v>
      </c>
      <c r="M2901" s="1475">
        <v>5.0788E-2</v>
      </c>
      <c r="N2901" s="1476">
        <v>1.9197943511727056</v>
      </c>
      <c r="O2901" s="1476"/>
    </row>
    <row r="2902" spans="11:15">
      <c r="K2902" s="1473">
        <v>44959</v>
      </c>
      <c r="L2902" s="1474" t="s">
        <v>2123</v>
      </c>
      <c r="M2902" s="1475">
        <v>5.0788E-2</v>
      </c>
      <c r="N2902" s="1476">
        <v>1.9207693763277791</v>
      </c>
      <c r="O2902" s="1476"/>
    </row>
    <row r="2903" spans="11:15">
      <c r="K2903" s="1473">
        <v>44960</v>
      </c>
      <c r="L2903" s="1474" t="s">
        <v>2123</v>
      </c>
      <c r="M2903" s="1475">
        <v>5.0788E-2</v>
      </c>
      <c r="N2903" s="1476">
        <v>1.9217448966786286</v>
      </c>
      <c r="O2903" s="1476"/>
    </row>
    <row r="2904" spans="11:15">
      <c r="K2904" s="1473">
        <v>44961</v>
      </c>
      <c r="L2904" s="1474"/>
      <c r="M2904" s="1475">
        <v>0</v>
      </c>
      <c r="N2904" s="1476">
        <v>1.9217448966786286</v>
      </c>
      <c r="O2904" s="1476"/>
    </row>
    <row r="2905" spans="11:15">
      <c r="K2905" s="1473">
        <v>44962</v>
      </c>
      <c r="L2905" s="1474"/>
      <c r="M2905" s="1475">
        <v>0</v>
      </c>
      <c r="N2905" s="1476">
        <v>1.9217448966786286</v>
      </c>
      <c r="O2905" s="1476"/>
    </row>
    <row r="2906" spans="11:15">
      <c r="K2906" s="1473">
        <v>44963</v>
      </c>
      <c r="L2906" s="1474" t="s">
        <v>2123</v>
      </c>
      <c r="M2906" s="1475">
        <v>5.0788E-2</v>
      </c>
      <c r="N2906" s="1476">
        <v>1.9227209124767537</v>
      </c>
      <c r="O2906" s="1476"/>
    </row>
    <row r="2907" spans="11:15">
      <c r="K2907" s="1473">
        <v>44964</v>
      </c>
      <c r="L2907" s="1474" t="s">
        <v>2123</v>
      </c>
      <c r="M2907" s="1475">
        <v>5.0788E-2</v>
      </c>
      <c r="N2907" s="1476">
        <v>1.9236974239737825</v>
      </c>
      <c r="O2907" s="1476"/>
    </row>
    <row r="2908" spans="11:15">
      <c r="K2908" s="1473">
        <v>44965</v>
      </c>
      <c r="L2908" s="1474" t="s">
        <v>2123</v>
      </c>
      <c r="M2908" s="1475">
        <v>5.0788E-2</v>
      </c>
      <c r="N2908" s="1476">
        <v>1.9246744314214703</v>
      </c>
      <c r="O2908" s="1476"/>
    </row>
    <row r="2909" spans="11:15">
      <c r="K2909" s="1473">
        <v>44966</v>
      </c>
      <c r="L2909" s="1474" t="s">
        <v>2123</v>
      </c>
      <c r="M2909" s="1475">
        <v>5.0788E-2</v>
      </c>
      <c r="N2909" s="1476">
        <v>1.9256519350717007</v>
      </c>
      <c r="O2909" s="1476"/>
    </row>
    <row r="2910" spans="11:15">
      <c r="K2910" s="1473">
        <v>44967</v>
      </c>
      <c r="L2910" s="1474" t="s">
        <v>2123</v>
      </c>
      <c r="M2910" s="1475">
        <v>5.0788E-2</v>
      </c>
      <c r="N2910" s="1476">
        <v>1.9266299351764851</v>
      </c>
      <c r="O2910" s="1476"/>
    </row>
    <row r="2911" spans="11:15">
      <c r="K2911" s="1473">
        <v>44968</v>
      </c>
      <c r="L2911" s="1474"/>
      <c r="M2911" s="1475">
        <v>0</v>
      </c>
      <c r="N2911" s="1476">
        <v>1.9266299351764851</v>
      </c>
      <c r="O2911" s="1476"/>
    </row>
    <row r="2912" spans="11:15">
      <c r="K2912" s="1473">
        <v>44969</v>
      </c>
      <c r="L2912" s="1474"/>
      <c r="M2912" s="1475">
        <v>0</v>
      </c>
      <c r="N2912" s="1476">
        <v>1.9266299351764851</v>
      </c>
      <c r="O2912" s="1476"/>
    </row>
    <row r="2913" spans="11:15">
      <c r="K2913" s="1473">
        <v>44970</v>
      </c>
      <c r="L2913" s="1474" t="s">
        <v>2123</v>
      </c>
      <c r="M2913" s="1475">
        <v>5.0788E-2</v>
      </c>
      <c r="N2913" s="1476">
        <v>1.9276084319879625</v>
      </c>
      <c r="O2913" s="1476"/>
    </row>
    <row r="2914" spans="11:15">
      <c r="K2914" s="1473">
        <v>44971</v>
      </c>
      <c r="L2914" s="1474" t="s">
        <v>2123</v>
      </c>
      <c r="M2914" s="1475">
        <v>5.0788E-2</v>
      </c>
      <c r="N2914" s="1476">
        <v>1.9285874257584006</v>
      </c>
      <c r="O2914" s="1476"/>
    </row>
    <row r="2915" spans="11:15">
      <c r="K2915" s="1473">
        <v>44972</v>
      </c>
      <c r="L2915" s="1474" t="s">
        <v>2123</v>
      </c>
      <c r="M2915" s="1475">
        <v>5.0788E-2</v>
      </c>
      <c r="N2915" s="1476">
        <v>1.9295669167401948</v>
      </c>
      <c r="O2915" s="1476"/>
    </row>
    <row r="2916" spans="11:15">
      <c r="K2916" s="1473">
        <v>44973</v>
      </c>
      <c r="L2916" s="1474" t="s">
        <v>2123</v>
      </c>
      <c r="M2916" s="1475">
        <v>5.0788E-2</v>
      </c>
      <c r="N2916" s="1476">
        <v>1.9305469051858688</v>
      </c>
      <c r="O2916" s="1476"/>
    </row>
    <row r="2917" spans="11:15">
      <c r="K2917" s="1473">
        <v>44974</v>
      </c>
      <c r="L2917" s="1474" t="s">
        <v>2123</v>
      </c>
      <c r="M2917" s="1475">
        <v>5.0788E-2</v>
      </c>
      <c r="N2917" s="1476">
        <v>1.9315273913480746</v>
      </c>
      <c r="O2917" s="1476"/>
    </row>
    <row r="2918" spans="11:15">
      <c r="K2918" s="1473">
        <v>44975</v>
      </c>
      <c r="L2918" s="1474"/>
      <c r="M2918" s="1475">
        <v>0</v>
      </c>
      <c r="N2918" s="1476">
        <v>1.9315273913480746</v>
      </c>
      <c r="O2918" s="1476"/>
    </row>
    <row r="2919" spans="11:15">
      <c r="K2919" s="1473">
        <v>44976</v>
      </c>
      <c r="L2919" s="1474"/>
      <c r="M2919" s="1475">
        <v>0</v>
      </c>
      <c r="N2919" s="1476">
        <v>1.9315273913480746</v>
      </c>
      <c r="O2919" s="1476"/>
    </row>
    <row r="2920" spans="11:15">
      <c r="K2920" s="1473">
        <v>44977</v>
      </c>
      <c r="L2920" s="1474"/>
      <c r="M2920" s="1475">
        <v>0</v>
      </c>
      <c r="N2920" s="1476">
        <v>1.9315273913480746</v>
      </c>
      <c r="O2920" s="1476"/>
    </row>
    <row r="2921" spans="11:15">
      <c r="K2921" s="1473">
        <v>44978</v>
      </c>
      <c r="L2921" s="1474"/>
      <c r="M2921" s="1475">
        <v>0</v>
      </c>
      <c r="N2921" s="1476">
        <v>1.9315273913480746</v>
      </c>
      <c r="O2921" s="1476"/>
    </row>
    <row r="2922" spans="11:15">
      <c r="K2922" s="1473">
        <v>44979</v>
      </c>
      <c r="L2922" s="1474" t="s">
        <v>2123</v>
      </c>
      <c r="M2922" s="1475">
        <v>5.0788E-2</v>
      </c>
      <c r="N2922" s="1476">
        <v>1.9325083754795924</v>
      </c>
      <c r="O2922" s="1476"/>
    </row>
    <row r="2923" spans="11:15">
      <c r="K2923" s="1473">
        <v>44980</v>
      </c>
      <c r="L2923" s="1474" t="s">
        <v>2123</v>
      </c>
      <c r="M2923" s="1475">
        <v>5.0788E-2</v>
      </c>
      <c r="N2923" s="1476">
        <v>1.933489857833331</v>
      </c>
      <c r="O2923" s="1476"/>
    </row>
    <row r="2924" spans="11:15">
      <c r="K2924" s="1473">
        <v>44981</v>
      </c>
      <c r="L2924" s="1474" t="s">
        <v>2123</v>
      </c>
      <c r="M2924" s="1475">
        <v>5.0788E-2</v>
      </c>
      <c r="N2924" s="1476">
        <v>1.9344718386623274</v>
      </c>
      <c r="O2924" s="1476"/>
    </row>
    <row r="2925" spans="11:15">
      <c r="K2925" s="1473">
        <v>44982</v>
      </c>
      <c r="L2925" s="1474"/>
      <c r="M2925" s="1475">
        <v>0</v>
      </c>
      <c r="N2925" s="1476">
        <v>1.9344718386623274</v>
      </c>
      <c r="O2925" s="1476"/>
    </row>
    <row r="2926" spans="11:15">
      <c r="K2926" s="1473">
        <v>44983</v>
      </c>
      <c r="L2926" s="1474"/>
      <c r="M2926" s="1475">
        <v>0</v>
      </c>
      <c r="N2926" s="1476">
        <v>1.9344718386623274</v>
      </c>
      <c r="O2926" s="1476"/>
    </row>
    <row r="2927" spans="11:15">
      <c r="K2927" s="1473">
        <v>44984</v>
      </c>
      <c r="L2927" s="1474" t="s">
        <v>2123</v>
      </c>
      <c r="M2927" s="1475">
        <v>5.0788E-2</v>
      </c>
      <c r="N2927" s="1476">
        <v>1.9354543182197472</v>
      </c>
      <c r="O2927" s="1476"/>
    </row>
    <row r="2928" spans="11:15">
      <c r="K2928" s="1473">
        <v>44985</v>
      </c>
      <c r="L2928" s="1474" t="s">
        <v>2123</v>
      </c>
      <c r="M2928" s="1475">
        <v>5.0788E-2</v>
      </c>
      <c r="N2928" s="1476">
        <v>1.9364372967588848</v>
      </c>
      <c r="O2928" s="1476"/>
    </row>
    <row r="2929" spans="11:15">
      <c r="K2929" s="1473">
        <v>44986</v>
      </c>
      <c r="L2929" s="1474" t="s">
        <v>2123</v>
      </c>
      <c r="M2929" s="1475">
        <v>5.0788E-2</v>
      </c>
      <c r="N2929" s="1476">
        <v>1.9374207745331626</v>
      </c>
      <c r="O2929" s="1476"/>
    </row>
    <row r="2930" spans="11:15">
      <c r="K2930" s="1473">
        <v>44987</v>
      </c>
      <c r="L2930" s="1477" t="s">
        <v>2123</v>
      </c>
      <c r="M2930" s="853">
        <v>5.0788E-2</v>
      </c>
      <c r="N2930" s="1477">
        <v>1.9384047517961325</v>
      </c>
      <c r="O2930" s="1477"/>
    </row>
    <row r="2931" spans="11:15">
      <c r="K2931" s="1473">
        <v>44988</v>
      </c>
      <c r="L2931" s="1477" t="s">
        <v>2123</v>
      </c>
      <c r="M2931" s="853">
        <v>5.0788E-2</v>
      </c>
      <c r="N2931" s="1477">
        <v>1.9393892288014747</v>
      </c>
      <c r="O2931" s="1477"/>
    </row>
    <row r="2932" spans="11:15">
      <c r="K2932" s="1473">
        <v>44989</v>
      </c>
      <c r="L2932" s="1477"/>
      <c r="M2932" s="853">
        <v>0</v>
      </c>
      <c r="N2932" s="1477">
        <v>1.9393892288014747</v>
      </c>
      <c r="O2932" s="1477"/>
    </row>
    <row r="2933" spans="11:15">
      <c r="K2933" s="1473">
        <v>44990</v>
      </c>
      <c r="L2933" s="1477"/>
      <c r="M2933" s="853">
        <v>0</v>
      </c>
      <c r="N2933" s="1477">
        <v>1.9393892288014747</v>
      </c>
      <c r="O2933" s="1477"/>
    </row>
    <row r="2934" spans="11:15">
      <c r="K2934" s="1473">
        <v>44991</v>
      </c>
      <c r="L2934" s="1477" t="s">
        <v>2123</v>
      </c>
      <c r="M2934" s="853">
        <v>5.0788E-2</v>
      </c>
      <c r="N2934" s="1477">
        <v>1.9403742058029985</v>
      </c>
      <c r="O2934" s="1477"/>
    </row>
    <row r="2935" spans="11:15">
      <c r="K2935" s="1473">
        <v>44992</v>
      </c>
      <c r="L2935" s="1477" t="s">
        <v>2123</v>
      </c>
      <c r="M2935" s="853">
        <v>5.0788E-2</v>
      </c>
      <c r="N2935" s="1477">
        <v>1.9413596830546418</v>
      </c>
      <c r="O2935" s="1477"/>
    </row>
    <row r="2936" spans="11:15">
      <c r="K2936" s="1473">
        <v>44993</v>
      </c>
      <c r="L2936" s="1477" t="s">
        <v>2123</v>
      </c>
      <c r="M2936" s="853">
        <v>5.0788E-2</v>
      </c>
      <c r="N2936" s="1477">
        <v>1.9423456608104717</v>
      </c>
      <c r="O2936" s="1477"/>
    </row>
    <row r="2937" spans="11:15">
      <c r="K2937" s="1473">
        <v>44994</v>
      </c>
      <c r="L2937" s="1477" t="s">
        <v>2123</v>
      </c>
      <c r="M2937" s="853">
        <v>5.0788E-2</v>
      </c>
      <c r="N2937" s="1477">
        <v>1.9433321393246841</v>
      </c>
      <c r="O2937" s="1477"/>
    </row>
    <row r="2938" spans="11:15">
      <c r="K2938" s="1473">
        <v>44995</v>
      </c>
      <c r="L2938" s="1477" t="s">
        <v>2123</v>
      </c>
      <c r="M2938" s="853">
        <v>5.0788E-2</v>
      </c>
      <c r="N2938" s="1477">
        <v>1.9443191188516042</v>
      </c>
      <c r="O2938" s="1477"/>
    </row>
    <row r="2939" spans="11:15">
      <c r="K2939" s="1473">
        <v>44996</v>
      </c>
      <c r="L2939" s="1477"/>
      <c r="M2939" s="853">
        <v>0</v>
      </c>
      <c r="N2939" s="1477">
        <v>1.9443191188516042</v>
      </c>
      <c r="O2939" s="1477"/>
    </row>
    <row r="2940" spans="11:15">
      <c r="K2940" s="1473">
        <v>44997</v>
      </c>
      <c r="L2940" s="1477"/>
      <c r="M2940" s="853">
        <v>0</v>
      </c>
      <c r="N2940" s="1477">
        <v>1.9443191188516042</v>
      </c>
      <c r="O2940" s="1477"/>
    </row>
    <row r="2941" spans="11:15">
      <c r="K2941" s="1473">
        <v>44998</v>
      </c>
      <c r="L2941" s="1477" t="s">
        <v>2123</v>
      </c>
      <c r="M2941" s="853">
        <v>5.0788E-2</v>
      </c>
      <c r="N2941" s="1477">
        <v>1.9453065996456866</v>
      </c>
      <c r="O2941" s="1477"/>
    </row>
    <row r="2942" spans="11:15">
      <c r="K2942" s="1473">
        <v>44999</v>
      </c>
      <c r="L2942" s="1477" t="s">
        <v>2123</v>
      </c>
      <c r="M2942" s="853">
        <v>5.0788E-2</v>
      </c>
      <c r="N2942" s="1477">
        <v>1.9462945819615147</v>
      </c>
      <c r="O2942" s="1477"/>
    </row>
    <row r="2943" spans="11:15">
      <c r="K2943" s="1473">
        <v>45000</v>
      </c>
      <c r="L2943" s="1477" t="s">
        <v>2123</v>
      </c>
      <c r="M2943" s="853">
        <v>5.0788E-2</v>
      </c>
      <c r="N2943" s="1477">
        <v>1.9472830660538014</v>
      </c>
      <c r="O2943" s="1477"/>
    </row>
    <row r="2944" spans="11:15">
      <c r="K2944" s="1473">
        <v>45001</v>
      </c>
      <c r="L2944" s="1477" t="s">
        <v>2123</v>
      </c>
      <c r="M2944" s="853">
        <v>5.0788E-2</v>
      </c>
      <c r="N2944" s="1477">
        <v>1.9482720521773889</v>
      </c>
      <c r="O2944" s="1477"/>
    </row>
    <row r="2945" spans="11:15">
      <c r="K2945" s="1473">
        <v>45002</v>
      </c>
      <c r="L2945" s="1477" t="s">
        <v>2123</v>
      </c>
      <c r="M2945" s="853">
        <v>5.0788E-2</v>
      </c>
      <c r="N2945" s="1477">
        <v>1.9492615405872487</v>
      </c>
      <c r="O2945" s="1477"/>
    </row>
    <row r="2946" spans="11:15">
      <c r="K2946" s="1473">
        <v>45003</v>
      </c>
      <c r="L2946" s="1477"/>
      <c r="M2946" s="853">
        <v>0</v>
      </c>
      <c r="N2946" s="1477">
        <v>1.9492615405872487</v>
      </c>
      <c r="O2946" s="1477"/>
    </row>
    <row r="2947" spans="11:15">
      <c r="K2947" s="1473">
        <v>45004</v>
      </c>
      <c r="L2947" s="1477"/>
      <c r="M2947" s="853">
        <v>0</v>
      </c>
      <c r="N2947" s="1477">
        <v>1.9492615405872487</v>
      </c>
      <c r="O2947" s="1477"/>
    </row>
    <row r="2948" spans="11:15">
      <c r="K2948" s="1473">
        <v>45005</v>
      </c>
      <c r="L2948" s="1477" t="s">
        <v>2123</v>
      </c>
      <c r="M2948" s="853">
        <v>5.0788E-2</v>
      </c>
      <c r="N2948" s="1477">
        <v>1.9502515315384821</v>
      </c>
      <c r="O2948" s="1477"/>
    </row>
    <row r="2949" spans="11:15">
      <c r="K2949" s="1473">
        <v>45006</v>
      </c>
      <c r="L2949" s="1477" t="s">
        <v>2123</v>
      </c>
      <c r="M2949" s="853">
        <v>5.0788E-2</v>
      </c>
      <c r="N2949" s="1477">
        <v>1.9512420252863198</v>
      </c>
      <c r="O2949" s="1477"/>
    </row>
    <row r="2950" spans="11:15">
      <c r="K2950" s="1473">
        <v>45007</v>
      </c>
      <c r="L2950" s="1477" t="s">
        <v>2123</v>
      </c>
      <c r="M2950" s="853">
        <v>5.0788E-2</v>
      </c>
      <c r="N2950" s="1477">
        <v>1.9522330220861224</v>
      </c>
      <c r="O2950" s="1477"/>
    </row>
    <row r="2951" spans="11:15">
      <c r="K2951" s="1473">
        <v>45008</v>
      </c>
      <c r="L2951" s="1477" t="s">
        <v>2123</v>
      </c>
      <c r="M2951" s="853">
        <v>5.0788E-2</v>
      </c>
      <c r="N2951" s="1477">
        <v>1.9532245221933795</v>
      </c>
      <c r="O2951" s="1477"/>
    </row>
    <row r="2952" spans="11:15">
      <c r="K2952" s="1473">
        <v>45009</v>
      </c>
      <c r="L2952" s="1477" t="s">
        <v>2123</v>
      </c>
      <c r="M2952" s="853">
        <v>5.0788E-2</v>
      </c>
      <c r="N2952" s="1477">
        <v>1.9542165258637112</v>
      </c>
      <c r="O2952" s="1477"/>
    </row>
    <row r="2953" spans="11:15">
      <c r="K2953" s="1473">
        <v>45010</v>
      </c>
      <c r="L2953" s="1477"/>
      <c r="M2953" s="853">
        <v>0</v>
      </c>
      <c r="N2953" s="1477">
        <v>1.9542165258637112</v>
      </c>
      <c r="O2953" s="1477"/>
    </row>
    <row r="2954" spans="11:15">
      <c r="K2954" s="1473">
        <v>45011</v>
      </c>
      <c r="L2954" s="1477"/>
      <c r="M2954" s="853">
        <v>0</v>
      </c>
      <c r="N2954" s="1477">
        <v>1.9542165258637112</v>
      </c>
      <c r="O2954" s="1477"/>
    </row>
    <row r="2955" spans="11:15">
      <c r="K2955" s="1473">
        <v>45012</v>
      </c>
      <c r="L2955" s="1477" t="s">
        <v>2123</v>
      </c>
      <c r="M2955" s="853">
        <v>5.0788E-2</v>
      </c>
      <c r="N2955" s="1477">
        <v>1.9552090333528669</v>
      </c>
      <c r="O2955" s="1477"/>
    </row>
    <row r="2956" spans="11:15">
      <c r="K2956" s="1473">
        <v>45013</v>
      </c>
      <c r="L2956" s="1477" t="s">
        <v>2123</v>
      </c>
      <c r="M2956" s="853">
        <v>5.0788E-2</v>
      </c>
      <c r="N2956" s="1477">
        <v>1.9562020449167261</v>
      </c>
      <c r="O2956" s="1477"/>
    </row>
    <row r="2957" spans="11:15">
      <c r="K2957" s="1473">
        <v>45014</v>
      </c>
      <c r="L2957" s="1477" t="s">
        <v>2123</v>
      </c>
      <c r="M2957" s="853">
        <v>5.0788E-2</v>
      </c>
      <c r="N2957" s="1477">
        <v>1.9571955608112985</v>
      </c>
      <c r="O2957" s="1477"/>
    </row>
    <row r="2958" spans="11:15">
      <c r="K2958" s="1473">
        <v>45015</v>
      </c>
      <c r="L2958" s="1477" t="s">
        <v>2123</v>
      </c>
      <c r="M2958" s="853">
        <v>5.0788E-2</v>
      </c>
      <c r="N2958" s="1477">
        <v>1.9581895812927235</v>
      </c>
      <c r="O2958" s="1477"/>
    </row>
    <row r="2959" spans="11:15">
      <c r="K2959" s="1473">
        <v>45016</v>
      </c>
      <c r="L2959" s="1477" t="s">
        <v>2123</v>
      </c>
      <c r="M2959" s="853">
        <v>5.0788E-2</v>
      </c>
      <c r="N2959" s="1477">
        <v>1.9591841066172704</v>
      </c>
      <c r="O2959" s="1477"/>
    </row>
    <row r="2960" spans="11:15">
      <c r="K2960" s="1473">
        <v>45017</v>
      </c>
      <c r="L2960" s="1477"/>
      <c r="M2960" s="853">
        <v>0</v>
      </c>
      <c r="N2960" s="1477">
        <v>1.9591841066172704</v>
      </c>
      <c r="O2960" s="1477"/>
    </row>
    <row r="2961" spans="11:15">
      <c r="K2961" s="1473">
        <v>45018</v>
      </c>
      <c r="L2961" s="1477"/>
      <c r="M2961" s="853">
        <v>0</v>
      </c>
      <c r="N2961" s="1477">
        <v>1.9591841066172704</v>
      </c>
      <c r="O2961" s="1477"/>
    </row>
    <row r="2962" spans="11:15">
      <c r="K2962" s="1473">
        <v>45019</v>
      </c>
      <c r="L2962" s="1477" t="s">
        <v>2123</v>
      </c>
      <c r="M2962" s="853">
        <v>5.0788E-2</v>
      </c>
      <c r="N2962" s="1477">
        <v>1.9601791370413393</v>
      </c>
      <c r="O2962" s="1477"/>
    </row>
    <row r="2963" spans="11:15">
      <c r="K2963" s="1473">
        <v>45020</v>
      </c>
      <c r="L2963" s="1477" t="s">
        <v>2123</v>
      </c>
      <c r="M2963" s="853">
        <v>5.0788E-2</v>
      </c>
      <c r="N2963" s="1477">
        <v>1.9611746728214599</v>
      </c>
      <c r="O2963" s="1477"/>
    </row>
    <row r="2964" spans="11:15">
      <c r="K2964" s="1473">
        <v>45021</v>
      </c>
      <c r="L2964" s="1477" t="s">
        <v>2123</v>
      </c>
      <c r="M2964" s="853">
        <v>5.0788E-2</v>
      </c>
      <c r="N2964" s="1477">
        <v>1.9621707142142923</v>
      </c>
      <c r="O2964" s="1477"/>
    </row>
    <row r="2965" spans="11:15">
      <c r="K2965" s="1473">
        <v>45022</v>
      </c>
      <c r="L2965" s="1477" t="s">
        <v>2123</v>
      </c>
      <c r="M2965" s="853">
        <v>5.0788E-2</v>
      </c>
      <c r="N2965" s="1477">
        <v>1.9631672614766276</v>
      </c>
      <c r="O2965" s="1477"/>
    </row>
    <row r="2966" spans="11:15">
      <c r="K2966" s="1473">
        <v>45023</v>
      </c>
      <c r="L2966" s="1477"/>
      <c r="M2966" s="853">
        <v>0</v>
      </c>
      <c r="N2966" s="1477">
        <v>1.9631672614766276</v>
      </c>
      <c r="O2966" s="1477"/>
    </row>
    <row r="2967" spans="11:15">
      <c r="K2967" s="1473">
        <v>45024</v>
      </c>
      <c r="L2967" s="1477"/>
      <c r="M2967" s="853">
        <v>0</v>
      </c>
      <c r="N2967" s="1477">
        <v>1.9631672614766276</v>
      </c>
      <c r="O2967" s="1477"/>
    </row>
    <row r="2968" spans="11:15">
      <c r="K2968" s="1473">
        <v>45025</v>
      </c>
      <c r="L2968" s="1477"/>
      <c r="M2968" s="853">
        <v>0</v>
      </c>
      <c r="N2968" s="1477">
        <v>1.9631672614766276</v>
      </c>
      <c r="O2968" s="1477"/>
    </row>
    <row r="2969" spans="11:15">
      <c r="K2969" s="1473">
        <v>45026</v>
      </c>
      <c r="L2969" s="1477" t="s">
        <v>2123</v>
      </c>
      <c r="M2969" s="853">
        <v>5.0788E-2</v>
      </c>
      <c r="N2969" s="1477">
        <v>1.9641643148653865</v>
      </c>
      <c r="O2969" s="1477"/>
    </row>
    <row r="2970" spans="11:15">
      <c r="K2970" s="1473">
        <v>45027</v>
      </c>
      <c r="L2970" s="1477" t="s">
        <v>2123</v>
      </c>
      <c r="M2970" s="853">
        <v>5.0788E-2</v>
      </c>
      <c r="N2970" s="1477">
        <v>1.9651618746376203</v>
      </c>
      <c r="O2970" s="1477"/>
    </row>
    <row r="2971" spans="11:15">
      <c r="K2971" s="1473">
        <v>45028</v>
      </c>
      <c r="L2971" s="1477" t="s">
        <v>2123</v>
      </c>
      <c r="M2971" s="853">
        <v>5.0788E-2</v>
      </c>
      <c r="N2971" s="1477">
        <v>1.9661599410505113</v>
      </c>
      <c r="O2971" s="1477"/>
    </row>
    <row r="2972" spans="11:15">
      <c r="K2972" s="1473">
        <v>45029</v>
      </c>
      <c r="L2972" s="1477" t="s">
        <v>2123</v>
      </c>
      <c r="M2972" s="853">
        <v>5.0788E-2</v>
      </c>
      <c r="N2972" s="1477">
        <v>1.9671585143613721</v>
      </c>
      <c r="O2972" s="1477"/>
    </row>
    <row r="2973" spans="11:15">
      <c r="K2973" s="1473">
        <v>45030</v>
      </c>
      <c r="L2973" s="1477" t="s">
        <v>2123</v>
      </c>
      <c r="M2973" s="853">
        <v>5.0788E-2</v>
      </c>
      <c r="N2973" s="1477">
        <v>1.968157594827646</v>
      </c>
      <c r="O2973" s="1477"/>
    </row>
    <row r="2974" spans="11:15">
      <c r="K2974" s="1473">
        <v>45031</v>
      </c>
      <c r="L2974" s="1477"/>
      <c r="M2974" s="853">
        <v>0</v>
      </c>
      <c r="N2974" s="1477">
        <v>1.968157594827646</v>
      </c>
      <c r="O2974" s="1477"/>
    </row>
    <row r="2975" spans="11:15">
      <c r="K2975" s="1473">
        <v>45032</v>
      </c>
      <c r="L2975" s="1477"/>
      <c r="M2975" s="853">
        <v>0</v>
      </c>
      <c r="N2975" s="1477">
        <v>1.968157594827646</v>
      </c>
      <c r="O2975" s="1477"/>
    </row>
    <row r="2976" spans="11:15">
      <c r="K2976" s="1473">
        <v>45033</v>
      </c>
      <c r="L2976" s="1477" t="s">
        <v>2123</v>
      </c>
      <c r="M2976" s="853">
        <v>5.0788E-2</v>
      </c>
      <c r="N2976" s="1477">
        <v>1.969157182706907</v>
      </c>
      <c r="O2976" s="1477"/>
    </row>
    <row r="2977" spans="11:15">
      <c r="K2977" s="1473">
        <v>45034</v>
      </c>
      <c r="L2977" s="1477" t="s">
        <v>2123</v>
      </c>
      <c r="M2977" s="853">
        <v>5.0788E-2</v>
      </c>
      <c r="N2977" s="1477">
        <v>1.9701572782568602</v>
      </c>
      <c r="O2977" s="1477"/>
    </row>
    <row r="2978" spans="11:15">
      <c r="K2978" s="1473">
        <v>45035</v>
      </c>
      <c r="L2978" s="1477" t="s">
        <v>2123</v>
      </c>
      <c r="M2978" s="853">
        <v>5.0788E-2</v>
      </c>
      <c r="N2978" s="1477">
        <v>1.9711578817353412</v>
      </c>
      <c r="O2978" s="1477"/>
    </row>
    <row r="2979" spans="11:15">
      <c r="K2979" s="1473">
        <v>45036</v>
      </c>
      <c r="L2979" s="1477" t="s">
        <v>2123</v>
      </c>
      <c r="M2979" s="853">
        <v>5.0788E-2</v>
      </c>
      <c r="N2979" s="1477">
        <v>1.972158993400317</v>
      </c>
      <c r="O2979" s="1477"/>
    </row>
    <row r="2980" spans="11:15">
      <c r="K2980" s="1473">
        <v>45037</v>
      </c>
      <c r="L2980" s="1477"/>
      <c r="M2980" s="853">
        <v>0</v>
      </c>
      <c r="N2980" s="1477">
        <v>1.972158993400317</v>
      </c>
      <c r="O2980" s="1477"/>
    </row>
    <row r="2981" spans="11:15">
      <c r="K2981" s="1473">
        <v>45038</v>
      </c>
      <c r="L2981" s="1477"/>
      <c r="M2981" s="853">
        <v>0</v>
      </c>
      <c r="N2981" s="1477">
        <v>1.972158993400317</v>
      </c>
      <c r="O2981" s="1477"/>
    </row>
    <row r="2982" spans="11:15">
      <c r="K2982" s="1473">
        <v>45039</v>
      </c>
      <c r="L2982" s="1477"/>
      <c r="M2982" s="853">
        <v>0</v>
      </c>
      <c r="N2982" s="1477">
        <v>1.972158993400317</v>
      </c>
      <c r="O2982" s="1477"/>
    </row>
    <row r="2983" spans="11:15">
      <c r="K2983" s="1473">
        <v>45040</v>
      </c>
      <c r="L2983" s="1477" t="s">
        <v>2123</v>
      </c>
      <c r="M2983" s="853">
        <v>5.0788E-2</v>
      </c>
      <c r="N2983" s="1477">
        <v>1.9731606135098851</v>
      </c>
      <c r="O2983" s="1477"/>
    </row>
    <row r="2984" spans="11:15">
      <c r="K2984" s="1473">
        <v>45041</v>
      </c>
      <c r="L2984" s="1477" t="s">
        <v>2123</v>
      </c>
      <c r="M2984" s="853">
        <v>5.0788E-2</v>
      </c>
      <c r="N2984" s="1477">
        <v>1.9741627423222745</v>
      </c>
      <c r="O2984" s="1477"/>
    </row>
    <row r="2985" spans="11:15">
      <c r="K2985" s="1473">
        <v>45042</v>
      </c>
      <c r="L2985" s="1477" t="s">
        <v>2123</v>
      </c>
      <c r="M2985" s="853">
        <v>5.0788E-2</v>
      </c>
      <c r="N2985" s="1477">
        <v>1.9751653800958451</v>
      </c>
      <c r="O2985" s="1477"/>
    </row>
    <row r="2986" spans="11:15">
      <c r="K2986" s="1473">
        <v>45043</v>
      </c>
      <c r="L2986" s="1477" t="s">
        <v>2123</v>
      </c>
      <c r="M2986" s="853">
        <v>5.0788E-2</v>
      </c>
      <c r="N2986" s="1477">
        <v>1.9761685270890883</v>
      </c>
      <c r="O2986" s="1477"/>
    </row>
    <row r="2987" spans="11:15">
      <c r="K2987" s="1473">
        <v>45044</v>
      </c>
      <c r="L2987" s="1477" t="s">
        <v>2123</v>
      </c>
      <c r="M2987" s="853">
        <v>5.0788E-2</v>
      </c>
      <c r="N2987" s="1477">
        <v>1.9771721835606264</v>
      </c>
      <c r="O2987" s="1477"/>
    </row>
    <row r="2988" spans="11:15">
      <c r="K2988" s="1473">
        <v>45045</v>
      </c>
      <c r="L2988" s="1477"/>
      <c r="M2988" s="853">
        <v>0</v>
      </c>
      <c r="N2988" s="1477">
        <v>1.9771721835606264</v>
      </c>
      <c r="O2988" s="1477"/>
    </row>
    <row r="2989" spans="11:15">
      <c r="K2989" s="1473">
        <v>45046</v>
      </c>
      <c r="L2989" s="1477"/>
      <c r="M2989" s="853">
        <v>0</v>
      </c>
      <c r="N2989" s="1477">
        <v>1.9771721835606264</v>
      </c>
      <c r="O2989" s="1477"/>
    </row>
    <row r="2990" spans="11:15">
      <c r="K2990" s="1473">
        <v>45047</v>
      </c>
      <c r="L2990" s="1477"/>
      <c r="M2990" s="853">
        <v>0</v>
      </c>
      <c r="N2990" s="1477">
        <v>1.9771721835606264</v>
      </c>
      <c r="O2990" s="1477"/>
    </row>
    <row r="2991" spans="11:15">
      <c r="K2991" s="1473">
        <v>45048</v>
      </c>
      <c r="L2991" s="1477" t="s">
        <v>2123</v>
      </c>
      <c r="M2991" s="853">
        <v>5.0788E-2</v>
      </c>
      <c r="N2991" s="1477">
        <v>1.9781763497692133</v>
      </c>
      <c r="O2991" s="1477"/>
    </row>
    <row r="2992" spans="11:15">
      <c r="K2992" s="1473">
        <v>45049</v>
      </c>
      <c r="L2992" s="1477" t="s">
        <v>2123</v>
      </c>
      <c r="M2992" s="853">
        <v>5.0788E-2</v>
      </c>
      <c r="N2992" s="1477">
        <v>1.9791810259737341</v>
      </c>
      <c r="O2992" s="1477"/>
    </row>
    <row r="2993" spans="11:15">
      <c r="K2993" s="1473">
        <v>45050</v>
      </c>
      <c r="L2993" s="1477" t="s">
        <v>2123</v>
      </c>
      <c r="M2993" s="853">
        <v>5.0788E-2</v>
      </c>
      <c r="N2993" s="1477">
        <v>1.9801862124332057</v>
      </c>
      <c r="O2993" s="1477"/>
    </row>
    <row r="2994" spans="11:15">
      <c r="K2994" s="1473">
        <v>45051</v>
      </c>
      <c r="L2994" s="1477" t="s">
        <v>2123</v>
      </c>
      <c r="M2994" s="853">
        <v>5.0788E-2</v>
      </c>
      <c r="N2994" s="1477">
        <v>1.9811919094067763</v>
      </c>
      <c r="O2994" s="1477"/>
    </row>
    <row r="2995" spans="11:15">
      <c r="K2995" s="1473">
        <v>45052</v>
      </c>
      <c r="L2995" s="1477"/>
      <c r="M2995" s="853">
        <v>0</v>
      </c>
      <c r="N2995" s="1477">
        <v>1.9811919094067763</v>
      </c>
      <c r="O2995" s="1477"/>
    </row>
    <row r="2996" spans="11:15">
      <c r="K2996" s="1473">
        <v>45053</v>
      </c>
      <c r="L2996" s="1477"/>
      <c r="M2996" s="853">
        <v>0</v>
      </c>
      <c r="N2996" s="1477">
        <v>1.9811919094067763</v>
      </c>
      <c r="O2996" s="1477"/>
    </row>
    <row r="2997" spans="11:15">
      <c r="K2997" s="1473">
        <v>45054</v>
      </c>
      <c r="L2997" s="1477" t="s">
        <v>2123</v>
      </c>
      <c r="M2997" s="853">
        <v>5.0788E-2</v>
      </c>
      <c r="N2997" s="1477">
        <v>1.9821981171537257</v>
      </c>
      <c r="O2997" s="1477"/>
    </row>
    <row r="2998" spans="11:15">
      <c r="K2998" s="1473">
        <v>45055</v>
      </c>
      <c r="L2998" s="1477" t="s">
        <v>2123</v>
      </c>
      <c r="M2998" s="853">
        <v>5.0788E-2</v>
      </c>
      <c r="N2998" s="1477">
        <v>1.9832048359334657</v>
      </c>
      <c r="O2998" s="1477"/>
    </row>
    <row r="2999" spans="11:15">
      <c r="K2999" s="1473">
        <v>45056</v>
      </c>
      <c r="L2999" s="1477" t="s">
        <v>2123</v>
      </c>
      <c r="M2999" s="853">
        <v>5.0788E-2</v>
      </c>
      <c r="N2999" s="1477">
        <v>1.9842120660055396</v>
      </c>
      <c r="O2999" s="1477"/>
    </row>
    <row r="3000" spans="11:15">
      <c r="K3000" s="1473">
        <v>45057</v>
      </c>
      <c r="L3000" s="1477" t="s">
        <v>2123</v>
      </c>
      <c r="M3000" s="853">
        <v>5.0788E-2</v>
      </c>
      <c r="N3000" s="1477">
        <v>1.9852198076296226</v>
      </c>
      <c r="O3000" s="1477"/>
    </row>
    <row r="3001" spans="11:15">
      <c r="K3001" s="1473">
        <v>45058</v>
      </c>
      <c r="L3001" s="1477" t="s">
        <v>2123</v>
      </c>
      <c r="M3001" s="853">
        <v>5.0788E-2</v>
      </c>
      <c r="N3001" s="1477">
        <v>1.9862280610655216</v>
      </c>
      <c r="O3001" s="1477"/>
    </row>
    <row r="3002" spans="11:15">
      <c r="K3002" s="1473">
        <v>45059</v>
      </c>
      <c r="L3002" s="1477"/>
      <c r="M3002" s="853">
        <v>0</v>
      </c>
      <c r="N3002" s="1477">
        <v>1.9862280610655216</v>
      </c>
      <c r="O3002" s="1477"/>
    </row>
    <row r="3003" spans="11:15">
      <c r="K3003" s="1473">
        <v>45060</v>
      </c>
      <c r="L3003" s="1477"/>
      <c r="M3003" s="853">
        <v>0</v>
      </c>
      <c r="N3003" s="1477">
        <v>1.9862280610655216</v>
      </c>
      <c r="O3003" s="1477"/>
    </row>
    <row r="3004" spans="11:15">
      <c r="K3004" s="1473">
        <v>45061</v>
      </c>
      <c r="L3004" s="1477" t="s">
        <v>2123</v>
      </c>
      <c r="M3004" s="853">
        <v>5.0788E-2</v>
      </c>
      <c r="N3004" s="1477">
        <v>1.9872368265731757</v>
      </c>
      <c r="O3004" s="1477"/>
    </row>
    <row r="3005" spans="11:15">
      <c r="K3005" s="1473">
        <v>45062</v>
      </c>
      <c r="L3005" s="1477" t="s">
        <v>2123</v>
      </c>
      <c r="M3005" s="853">
        <v>5.0788E-2</v>
      </c>
      <c r="N3005" s="1477">
        <v>1.9882461044126558</v>
      </c>
      <c r="O3005" s="1477"/>
    </row>
    <row r="3006" spans="11:15">
      <c r="K3006" s="1473">
        <v>45063</v>
      </c>
      <c r="L3006" s="1477" t="s">
        <v>2123</v>
      </c>
      <c r="M3006" s="853">
        <v>5.0788E-2</v>
      </c>
      <c r="N3006" s="1477">
        <v>1.989255894844165</v>
      </c>
      <c r="O3006" s="1477"/>
    </row>
    <row r="3007" spans="11:15">
      <c r="K3007" s="1473">
        <v>45064</v>
      </c>
      <c r="L3007" s="1477" t="s">
        <v>2123</v>
      </c>
      <c r="M3007" s="853">
        <v>5.0788E-2</v>
      </c>
      <c r="N3007" s="1477">
        <v>1.9902661981280385</v>
      </c>
      <c r="O3007" s="1477"/>
    </row>
    <row r="3008" spans="11:15">
      <c r="K3008" s="1473">
        <v>45065</v>
      </c>
      <c r="L3008" s="1477" t="s">
        <v>2123</v>
      </c>
      <c r="M3008" s="853">
        <v>5.0788E-2</v>
      </c>
      <c r="N3008" s="1477">
        <v>1.9912770145247438</v>
      </c>
      <c r="O3008" s="1477"/>
    </row>
    <row r="3009" spans="11:15">
      <c r="K3009" s="1473">
        <v>45066</v>
      </c>
      <c r="L3009" s="1477"/>
      <c r="M3009" s="853">
        <v>0</v>
      </c>
      <c r="N3009" s="1477">
        <v>1.9912770145247438</v>
      </c>
      <c r="O3009" s="1477"/>
    </row>
    <row r="3010" spans="11:15">
      <c r="K3010" s="1473">
        <v>45067</v>
      </c>
      <c r="L3010" s="1477"/>
      <c r="M3010" s="853">
        <v>0</v>
      </c>
      <c r="N3010" s="1477">
        <v>1.9912770145247438</v>
      </c>
      <c r="O3010" s="1477"/>
    </row>
    <row r="3011" spans="11:15">
      <c r="K3011" s="1473">
        <v>45068</v>
      </c>
      <c r="L3011" s="1477" t="s">
        <v>2123</v>
      </c>
      <c r="M3011" s="853">
        <v>5.0788E-2</v>
      </c>
      <c r="N3011" s="1477">
        <v>1.9922883442948807</v>
      </c>
      <c r="O3011" s="1477"/>
    </row>
    <row r="3012" spans="11:15">
      <c r="K3012" s="1473">
        <v>45069</v>
      </c>
      <c r="L3012" s="1477" t="s">
        <v>2123</v>
      </c>
      <c r="M3012" s="853">
        <v>5.0788E-2</v>
      </c>
      <c r="N3012" s="1477">
        <v>1.9933001876991812</v>
      </c>
      <c r="O3012" s="1477"/>
    </row>
    <row r="3013" spans="11:15">
      <c r="K3013" s="1473">
        <v>45070</v>
      </c>
      <c r="L3013" s="1477" t="s">
        <v>2123</v>
      </c>
      <c r="M3013" s="853">
        <v>5.0788E-2</v>
      </c>
      <c r="N3013" s="1477">
        <v>1.9943125449985097</v>
      </c>
      <c r="O3013" s="1477"/>
    </row>
    <row r="3014" spans="11:15">
      <c r="K3014" s="1473">
        <v>45071</v>
      </c>
      <c r="L3014" s="1477" t="s">
        <v>2123</v>
      </c>
      <c r="M3014" s="853">
        <v>5.0788E-2</v>
      </c>
      <c r="N3014" s="1477">
        <v>1.9953254164538636</v>
      </c>
      <c r="O3014" s="1477"/>
    </row>
    <row r="3015" spans="11:15">
      <c r="K3015" s="1473">
        <v>45072</v>
      </c>
      <c r="L3015" s="1477" t="s">
        <v>2123</v>
      </c>
      <c r="M3015" s="853">
        <v>5.0788E-2</v>
      </c>
      <c r="N3015" s="1477">
        <v>1.9963388023263722</v>
      </c>
      <c r="O3015" s="1477"/>
    </row>
    <row r="3016" spans="11:15">
      <c r="K3016" s="1473">
        <v>45073</v>
      </c>
      <c r="L3016" s="1477"/>
      <c r="M3016" s="853">
        <v>0</v>
      </c>
      <c r="N3016" s="1477">
        <v>1.9963388023263722</v>
      </c>
      <c r="O3016" s="1477"/>
    </row>
    <row r="3017" spans="11:15">
      <c r="K3017" s="1473">
        <v>45074</v>
      </c>
      <c r="L3017" s="1477"/>
      <c r="M3017" s="853">
        <v>0</v>
      </c>
      <c r="N3017" s="1477">
        <v>1.9963388023263722</v>
      </c>
      <c r="O3017" s="1477"/>
    </row>
    <row r="3018" spans="11:15">
      <c r="K3018" s="1473">
        <v>45075</v>
      </c>
      <c r="L3018" s="1477" t="s">
        <v>2123</v>
      </c>
      <c r="M3018" s="853">
        <v>5.0788E-2</v>
      </c>
      <c r="N3018" s="1477">
        <v>1.9973527028772977</v>
      </c>
      <c r="O3018" s="1477"/>
    </row>
    <row r="3019" spans="11:15">
      <c r="K3019" s="1473">
        <v>45076</v>
      </c>
      <c r="L3019" s="1477" t="s">
        <v>2123</v>
      </c>
      <c r="M3019" s="853">
        <v>5.0788E-2</v>
      </c>
      <c r="N3019" s="1477">
        <v>1.9983671183680352</v>
      </c>
      <c r="O3019" s="1477"/>
    </row>
    <row r="3020" spans="11:15">
      <c r="K3020" s="1473">
        <v>45077</v>
      </c>
      <c r="L3020" s="1477" t="s">
        <v>2123</v>
      </c>
      <c r="M3020" s="853">
        <v>5.0788E-2</v>
      </c>
      <c r="N3020" s="1477">
        <v>1.999382049060112</v>
      </c>
      <c r="O3020" s="1477"/>
    </row>
    <row r="3021" spans="11:15">
      <c r="K3021" s="1473">
        <v>45078</v>
      </c>
      <c r="L3021" s="1477" t="s">
        <v>2123</v>
      </c>
      <c r="M3021" s="853">
        <v>5.0788E-2</v>
      </c>
      <c r="N3021" s="1477">
        <v>2.0003974952151888</v>
      </c>
      <c r="O3021" s="1477"/>
    </row>
    <row r="3022" spans="11:15">
      <c r="K3022" s="1473">
        <v>45079</v>
      </c>
      <c r="L3022" s="1477" t="s">
        <v>2123</v>
      </c>
      <c r="M3022" s="853">
        <v>5.0788E-2</v>
      </c>
      <c r="N3022" s="1477">
        <v>2.0014134570950586</v>
      </c>
      <c r="O3022" s="1477"/>
    </row>
    <row r="3023" spans="11:15">
      <c r="K3023" s="1473">
        <v>45080</v>
      </c>
      <c r="L3023" s="1477"/>
      <c r="M3023" s="853">
        <v>0</v>
      </c>
      <c r="N3023" s="1477">
        <v>2.0014134570950586</v>
      </c>
      <c r="O3023" s="1477"/>
    </row>
    <row r="3024" spans="11:15">
      <c r="K3024" s="1473">
        <v>45081</v>
      </c>
      <c r="L3024" s="1477"/>
      <c r="M3024" s="853">
        <v>0</v>
      </c>
      <c r="N3024" s="1477">
        <v>2.0014134570950586</v>
      </c>
      <c r="O3024" s="1477"/>
    </row>
    <row r="3025" spans="11:15">
      <c r="K3025" s="1473">
        <v>45082</v>
      </c>
      <c r="L3025" s="1477" t="s">
        <v>2123</v>
      </c>
      <c r="M3025" s="853">
        <v>5.0788E-2</v>
      </c>
      <c r="N3025" s="1477">
        <v>2.0024299349616479</v>
      </c>
      <c r="O3025" s="1477"/>
    </row>
    <row r="3026" spans="11:15">
      <c r="K3026" s="1473">
        <v>45083</v>
      </c>
      <c r="L3026" s="1477" t="s">
        <v>2123</v>
      </c>
      <c r="M3026" s="853">
        <v>5.0788E-2</v>
      </c>
      <c r="N3026" s="1477">
        <v>2.003446929077016</v>
      </c>
      <c r="O3026" s="1477"/>
    </row>
    <row r="3027" spans="11:15">
      <c r="K3027" s="1473">
        <v>45084</v>
      </c>
      <c r="L3027" s="1477" t="s">
        <v>2123</v>
      </c>
      <c r="M3027" s="853">
        <v>5.0788E-2</v>
      </c>
      <c r="N3027" s="1477">
        <v>2.0044644397033555</v>
      </c>
      <c r="O3027" s="1477"/>
    </row>
    <row r="3028" spans="11:15">
      <c r="K3028" s="1473">
        <v>45085</v>
      </c>
      <c r="L3028" s="1477"/>
      <c r="M3028" s="853">
        <v>0</v>
      </c>
      <c r="N3028" s="1477">
        <v>2.0044644397033555</v>
      </c>
      <c r="O3028" s="1477"/>
    </row>
    <row r="3029" spans="11:15">
      <c r="K3029" s="1473">
        <v>45086</v>
      </c>
      <c r="L3029" s="1477" t="s">
        <v>2123</v>
      </c>
      <c r="M3029" s="853">
        <v>5.0788E-2</v>
      </c>
      <c r="N3029" s="1477">
        <v>2.0054824671029921</v>
      </c>
      <c r="O3029" s="1477"/>
    </row>
    <row r="3030" spans="11:15">
      <c r="K3030" s="1473">
        <v>45087</v>
      </c>
      <c r="L3030" s="1477"/>
      <c r="M3030" s="853">
        <v>0</v>
      </c>
      <c r="N3030" s="1477">
        <v>2.0054824671029921</v>
      </c>
      <c r="O3030" s="1477"/>
    </row>
    <row r="3031" spans="11:15">
      <c r="K3031" s="1473">
        <v>45088</v>
      </c>
      <c r="L3031" s="1477"/>
      <c r="M3031" s="853">
        <v>0</v>
      </c>
      <c r="N3031" s="1477">
        <v>2.0054824671029921</v>
      </c>
      <c r="O3031" s="1477"/>
    </row>
    <row r="3032" spans="11:15">
      <c r="K3032" s="1473">
        <v>45089</v>
      </c>
      <c r="L3032" s="1477" t="s">
        <v>2123</v>
      </c>
      <c r="M3032" s="853">
        <v>5.0788E-2</v>
      </c>
      <c r="N3032" s="1477">
        <v>2.0065010115383846</v>
      </c>
      <c r="O3032" s="1477"/>
    </row>
    <row r="3033" spans="11:15">
      <c r="K3033" s="1473">
        <v>45090</v>
      </c>
      <c r="L3033" s="1477" t="s">
        <v>2123</v>
      </c>
      <c r="M3033" s="853">
        <v>5.0788E-2</v>
      </c>
      <c r="N3033" s="1477">
        <v>2.0075200732721248</v>
      </c>
      <c r="O3033" s="1477"/>
    </row>
    <row r="3034" spans="11:15">
      <c r="K3034" s="1473">
        <v>45091</v>
      </c>
      <c r="L3034" s="1477" t="s">
        <v>2123</v>
      </c>
      <c r="M3034" s="853">
        <v>5.0788E-2</v>
      </c>
      <c r="N3034" s="1477">
        <v>2.0085396525669381</v>
      </c>
      <c r="O3034" s="1477"/>
    </row>
    <row r="3035" spans="11:15">
      <c r="K3035" s="1473">
        <v>45092</v>
      </c>
      <c r="L3035" s="1477" t="s">
        <v>2123</v>
      </c>
      <c r="M3035" s="853">
        <v>5.0788E-2</v>
      </c>
      <c r="N3035" s="1477">
        <v>2.0095597496856836</v>
      </c>
      <c r="O3035" s="1477"/>
    </row>
    <row r="3036" spans="11:15">
      <c r="K3036" s="1473">
        <v>45093</v>
      </c>
      <c r="L3036" s="1477" t="s">
        <v>2123</v>
      </c>
      <c r="M3036" s="853">
        <v>5.0788E-2</v>
      </c>
      <c r="N3036" s="1477">
        <v>2.0105803648913541</v>
      </c>
      <c r="O3036" s="1477"/>
    </row>
    <row r="3037" spans="11:15">
      <c r="K3037" s="1473">
        <v>45094</v>
      </c>
      <c r="L3037" s="1477"/>
      <c r="M3037" s="853">
        <v>0</v>
      </c>
      <c r="N3037" s="1477">
        <v>2.0105803648913541</v>
      </c>
      <c r="O3037" s="1477"/>
    </row>
    <row r="3038" spans="11:15">
      <c r="K3038" s="1473">
        <v>45095</v>
      </c>
      <c r="L3038" s="1477"/>
      <c r="M3038" s="853">
        <v>0</v>
      </c>
      <c r="N3038" s="1477">
        <v>2.0105803648913541</v>
      </c>
      <c r="O3038" s="1477"/>
    </row>
    <row r="3039" spans="11:15">
      <c r="K3039" s="1473">
        <v>45096</v>
      </c>
      <c r="L3039" s="1477" t="s">
        <v>2123</v>
      </c>
      <c r="M3039" s="853">
        <v>5.0788E-2</v>
      </c>
      <c r="N3039" s="1477">
        <v>2.0116014984470749</v>
      </c>
      <c r="O3039" s="1477"/>
    </row>
    <row r="3040" spans="11:15">
      <c r="K3040" s="1473">
        <v>45097</v>
      </c>
      <c r="L3040" s="1477" t="s">
        <v>2123</v>
      </c>
      <c r="M3040" s="853">
        <v>5.0788E-2</v>
      </c>
      <c r="N3040" s="1477">
        <v>2.0126231506161063</v>
      </c>
      <c r="O3040" s="1477"/>
    </row>
    <row r="3041" spans="11:15">
      <c r="K3041" s="1473">
        <v>45098</v>
      </c>
      <c r="L3041" s="1477" t="s">
        <v>2123</v>
      </c>
      <c r="M3041" s="853">
        <v>5.0788E-2</v>
      </c>
      <c r="N3041" s="1477">
        <v>2.0136453216618411</v>
      </c>
      <c r="O3041" s="1477"/>
    </row>
    <row r="3042" spans="11:15">
      <c r="K3042" s="1473">
        <v>45099</v>
      </c>
      <c r="L3042" s="1477" t="s">
        <v>2123</v>
      </c>
      <c r="M3042" s="853">
        <v>5.0788E-2</v>
      </c>
      <c r="N3042" s="1477">
        <v>2.0146680118478066</v>
      </c>
      <c r="O3042" s="1477"/>
    </row>
    <row r="3043" spans="11:15">
      <c r="K3043" s="1473">
        <v>45100</v>
      </c>
      <c r="L3043" s="1477" t="s">
        <v>2123</v>
      </c>
      <c r="M3043" s="853">
        <v>5.0788E-2</v>
      </c>
      <c r="N3043" s="1477">
        <v>2.0156912214376641</v>
      </c>
      <c r="O3043" s="1477"/>
    </row>
    <row r="3044" spans="11:15">
      <c r="K3044" s="1473">
        <v>45101</v>
      </c>
      <c r="L3044" s="1477"/>
      <c r="M3044" s="853">
        <v>0</v>
      </c>
      <c r="N3044" s="1477">
        <v>2.0156912214376641</v>
      </c>
      <c r="O3044" s="1477"/>
    </row>
    <row r="3045" spans="11:15">
      <c r="K3045" s="1473">
        <v>45102</v>
      </c>
      <c r="L3045" s="1477"/>
      <c r="M3045" s="853">
        <v>0</v>
      </c>
      <c r="N3045" s="1477">
        <v>2.0156912214376641</v>
      </c>
      <c r="O3045" s="1477"/>
    </row>
    <row r="3046" spans="11:15">
      <c r="K3046" s="1473">
        <v>45103</v>
      </c>
      <c r="L3046" s="1477" t="s">
        <v>2123</v>
      </c>
      <c r="M3046" s="853">
        <v>5.0788E-2</v>
      </c>
      <c r="N3046" s="1477">
        <v>2.0167149506952078</v>
      </c>
      <c r="O3046" s="1477"/>
    </row>
    <row r="3047" spans="11:15">
      <c r="K3047" s="1473">
        <v>45104</v>
      </c>
      <c r="L3047" s="1477" t="s">
        <v>2123</v>
      </c>
      <c r="M3047" s="853">
        <v>5.0788E-2</v>
      </c>
      <c r="N3047" s="1477">
        <v>2.017739199884367</v>
      </c>
      <c r="O3047" s="1477"/>
    </row>
    <row r="3048" spans="11:15">
      <c r="K3048" s="1473">
        <v>45105</v>
      </c>
      <c r="L3048" s="1477" t="s">
        <v>2123</v>
      </c>
      <c r="M3048" s="853">
        <v>5.0788E-2</v>
      </c>
      <c r="N3048" s="1477">
        <v>2.0187639692692043</v>
      </c>
      <c r="O3048" s="1477"/>
    </row>
    <row r="3049" spans="11:15">
      <c r="K3049" s="1473">
        <v>45106</v>
      </c>
      <c r="L3049" s="1477" t="s">
        <v>2123</v>
      </c>
      <c r="M3049" s="853">
        <v>5.0788E-2</v>
      </c>
      <c r="N3049" s="1477">
        <v>2.0197892591139168</v>
      </c>
      <c r="O3049" s="1477"/>
    </row>
    <row r="3050" spans="11:15">
      <c r="K3050" s="1473">
        <v>45107</v>
      </c>
      <c r="L3050" s="1477" t="s">
        <v>2123</v>
      </c>
      <c r="M3050" s="853">
        <v>5.0788E-2</v>
      </c>
      <c r="N3050" s="1477">
        <v>2.0208150696828358</v>
      </c>
      <c r="O3050" s="1477"/>
    </row>
    <row r="3051" spans="11:15">
      <c r="K3051" s="1473">
        <v>45108</v>
      </c>
      <c r="L3051" s="1477"/>
      <c r="M3051" s="853">
        <v>0</v>
      </c>
      <c r="N3051" s="1477">
        <v>2.0208150696828358</v>
      </c>
      <c r="O3051" s="1477"/>
    </row>
    <row r="3052" spans="11:15">
      <c r="K3052" s="1473">
        <v>45109</v>
      </c>
      <c r="L3052" s="1477"/>
      <c r="M3052" s="853">
        <v>0</v>
      </c>
      <c r="N3052" s="1477">
        <v>2.0208150696828358</v>
      </c>
      <c r="O3052" s="1477"/>
    </row>
    <row r="3053" spans="11:15">
      <c r="K3053" s="1473">
        <v>45110</v>
      </c>
      <c r="L3053" s="1477" t="s">
        <v>2123</v>
      </c>
      <c r="M3053" s="853">
        <v>5.0788E-2</v>
      </c>
      <c r="N3053" s="1477">
        <v>2.0218414012404264</v>
      </c>
      <c r="O3053" s="1477"/>
    </row>
    <row r="3054" spans="11:15">
      <c r="K3054" s="1473">
        <v>45111</v>
      </c>
      <c r="L3054" s="1477" t="s">
        <v>2123</v>
      </c>
      <c r="M3054" s="853">
        <v>5.0788E-2</v>
      </c>
      <c r="N3054" s="1477">
        <v>2.0228682540512883</v>
      </c>
      <c r="O3054" s="1477"/>
    </row>
    <row r="3055" spans="11:15">
      <c r="K3055" s="1473">
        <v>45112</v>
      </c>
      <c r="L3055" s="1477" t="s">
        <v>2123</v>
      </c>
      <c r="M3055" s="853">
        <v>5.0788E-2</v>
      </c>
      <c r="N3055" s="1477">
        <v>2.0238956283801559</v>
      </c>
      <c r="O3055" s="1477"/>
    </row>
    <row r="3056" spans="11:15">
      <c r="K3056" s="1473">
        <v>45113</v>
      </c>
      <c r="L3056" s="1477" t="s">
        <v>2123</v>
      </c>
      <c r="M3056" s="853">
        <v>5.0788E-2</v>
      </c>
      <c r="N3056" s="1477">
        <v>2.0249235244918977</v>
      </c>
      <c r="O3056" s="1477"/>
    </row>
    <row r="3057" spans="11:15">
      <c r="K3057" s="1473">
        <v>45114</v>
      </c>
      <c r="L3057" s="1477" t="s">
        <v>2123</v>
      </c>
      <c r="M3057" s="853">
        <v>5.0788E-2</v>
      </c>
      <c r="N3057" s="1477">
        <v>2.0259519426515169</v>
      </c>
      <c r="O3057" s="1477"/>
    </row>
    <row r="3058" spans="11:15">
      <c r="K3058" s="1473">
        <v>45115</v>
      </c>
      <c r="L3058" s="1477"/>
      <c r="M3058" s="853">
        <v>0</v>
      </c>
      <c r="N3058" s="1477">
        <v>2.0259519426515169</v>
      </c>
      <c r="O3058" s="1477"/>
    </row>
    <row r="3059" spans="11:15">
      <c r="K3059" s="1473">
        <v>45116</v>
      </c>
      <c r="L3059" s="1477"/>
      <c r="M3059" s="853">
        <v>0</v>
      </c>
      <c r="N3059" s="1477">
        <v>2.0259519426515169</v>
      </c>
      <c r="O3059" s="1477"/>
    </row>
    <row r="3060" spans="11:15">
      <c r="K3060" s="1473">
        <v>45117</v>
      </c>
      <c r="L3060" s="1477" t="s">
        <v>2123</v>
      </c>
      <c r="M3060" s="853">
        <v>5.0788E-2</v>
      </c>
      <c r="N3060" s="1477">
        <v>2.0269808831241507</v>
      </c>
      <c r="O3060" s="1477"/>
    </row>
    <row r="3061" spans="11:15">
      <c r="K3061" s="1473">
        <v>45118</v>
      </c>
      <c r="L3061" s="1477" t="s">
        <v>2123</v>
      </c>
      <c r="M3061" s="853">
        <v>5.0788E-2</v>
      </c>
      <c r="N3061" s="1477">
        <v>2.0280103461750718</v>
      </c>
      <c r="O3061" s="1477"/>
    </row>
    <row r="3062" spans="11:15">
      <c r="K3062" s="1473">
        <v>45119</v>
      </c>
      <c r="L3062" s="1477" t="s">
        <v>2123</v>
      </c>
      <c r="M3062" s="853">
        <v>5.0788E-2</v>
      </c>
      <c r="N3062" s="1477">
        <v>2.029040332069687</v>
      </c>
      <c r="O3062" s="1477"/>
    </row>
    <row r="3063" spans="11:15">
      <c r="K3063" s="1473">
        <v>45120</v>
      </c>
      <c r="L3063" s="1477" t="s">
        <v>2123</v>
      </c>
      <c r="M3063" s="853">
        <v>5.0788E-2</v>
      </c>
      <c r="N3063" s="1477">
        <v>2.0300708410735386</v>
      </c>
      <c r="O3063" s="1477"/>
    </row>
    <row r="3064" spans="11:15">
      <c r="K3064" s="1473">
        <v>45121</v>
      </c>
      <c r="L3064" s="1477" t="s">
        <v>2123</v>
      </c>
      <c r="M3064" s="853">
        <v>5.0788E-2</v>
      </c>
      <c r="N3064" s="1477">
        <v>2.031101873452303</v>
      </c>
      <c r="O3064" s="1477"/>
    </row>
    <row r="3065" spans="11:15">
      <c r="K3065" s="1473">
        <v>45122</v>
      </c>
      <c r="L3065" s="1477"/>
      <c r="M3065" s="853">
        <v>0</v>
      </c>
      <c r="N3065" s="1477">
        <v>2.031101873452303</v>
      </c>
      <c r="O3065" s="1477"/>
    </row>
    <row r="3066" spans="11:15">
      <c r="K3066" s="1473">
        <v>45123</v>
      </c>
      <c r="L3066" s="1477"/>
      <c r="M3066" s="853">
        <v>0</v>
      </c>
      <c r="N3066" s="1477">
        <v>2.031101873452303</v>
      </c>
      <c r="O3066" s="1477"/>
    </row>
    <row r="3067" spans="11:15">
      <c r="K3067" s="1473">
        <v>45124</v>
      </c>
      <c r="L3067" s="1477" t="s">
        <v>2123</v>
      </c>
      <c r="M3067" s="853">
        <v>5.0788E-2</v>
      </c>
      <c r="N3067" s="1477">
        <v>2.0321334294717919</v>
      </c>
      <c r="O3067" s="1477"/>
    </row>
    <row r="3068" spans="11:15">
      <c r="K3068" s="1473">
        <v>45125</v>
      </c>
      <c r="L3068" s="1477" t="s">
        <v>2123</v>
      </c>
      <c r="M3068" s="853">
        <v>5.0788E-2</v>
      </c>
      <c r="N3068" s="1477">
        <v>2.0331655093979522</v>
      </c>
      <c r="O3068" s="1477"/>
    </row>
    <row r="3069" spans="11:15">
      <c r="K3069" s="1473">
        <v>45126</v>
      </c>
      <c r="L3069" s="1477" t="s">
        <v>2123</v>
      </c>
      <c r="M3069" s="853">
        <v>5.0788E-2</v>
      </c>
      <c r="N3069" s="1477">
        <v>2.0341981134968652</v>
      </c>
      <c r="O3069" s="1477"/>
    </row>
    <row r="3070" spans="11:15">
      <c r="K3070" s="1473">
        <v>45127</v>
      </c>
      <c r="L3070" s="1477" t="s">
        <v>2123</v>
      </c>
      <c r="M3070" s="853">
        <v>5.0788E-2</v>
      </c>
      <c r="N3070" s="1477">
        <v>2.0352312420347478</v>
      </c>
      <c r="O3070" s="1477"/>
    </row>
    <row r="3071" spans="11:15">
      <c r="K3071" s="1473">
        <v>45128</v>
      </c>
      <c r="L3071" s="1477" t="s">
        <v>2123</v>
      </c>
      <c r="M3071" s="853">
        <v>5.0788E-2</v>
      </c>
      <c r="N3071" s="1477">
        <v>2.0362648952779523</v>
      </c>
      <c r="O3071" s="1477"/>
    </row>
    <row r="3072" spans="11:15">
      <c r="K3072" s="1473">
        <v>45129</v>
      </c>
      <c r="L3072" s="1477"/>
      <c r="M3072" s="853">
        <v>0</v>
      </c>
      <c r="N3072" s="1477">
        <v>2.0362648952779523</v>
      </c>
      <c r="O3072" s="1477"/>
    </row>
    <row r="3073" spans="11:15">
      <c r="K3073" s="1473">
        <v>45130</v>
      </c>
      <c r="L3073" s="1477"/>
      <c r="M3073" s="853">
        <v>0</v>
      </c>
      <c r="N3073" s="1477">
        <v>2.0362648952779523</v>
      </c>
      <c r="O3073" s="1477"/>
    </row>
    <row r="3074" spans="11:15">
      <c r="K3074" s="1473">
        <v>45131</v>
      </c>
      <c r="L3074" s="1477" t="s">
        <v>2123</v>
      </c>
      <c r="M3074" s="853">
        <v>5.0788E-2</v>
      </c>
      <c r="N3074" s="1477">
        <v>2.0372990734929659</v>
      </c>
      <c r="O3074" s="1477"/>
    </row>
    <row r="3075" spans="11:15">
      <c r="K3075" s="1473">
        <v>45132</v>
      </c>
      <c r="L3075" s="1477" t="s">
        <v>2123</v>
      </c>
      <c r="M3075" s="853">
        <v>5.0788E-2</v>
      </c>
      <c r="N3075" s="1477">
        <v>2.0383337769464114</v>
      </c>
      <c r="O3075" s="1477"/>
    </row>
    <row r="3076" spans="11:15">
      <c r="K3076" s="1473">
        <v>45133</v>
      </c>
      <c r="L3076" s="1477" t="s">
        <v>2123</v>
      </c>
      <c r="M3076" s="853">
        <v>5.0788E-2</v>
      </c>
      <c r="N3076" s="1477">
        <v>2.0393690059050469</v>
      </c>
      <c r="O3076" s="1477"/>
    </row>
    <row r="3077" spans="11:15">
      <c r="K3077" s="1473">
        <v>45134</v>
      </c>
      <c r="L3077" s="1477" t="s">
        <v>2123</v>
      </c>
      <c r="M3077" s="853">
        <v>5.0788E-2</v>
      </c>
      <c r="N3077" s="1477">
        <v>2.040404760635766</v>
      </c>
      <c r="O3077" s="1477"/>
    </row>
    <row r="3078" spans="11:15">
      <c r="K3078" s="1473">
        <v>45135</v>
      </c>
      <c r="L3078" s="1477" t="s">
        <v>2123</v>
      </c>
      <c r="M3078" s="853">
        <v>5.0788E-2</v>
      </c>
      <c r="N3078" s="1477">
        <v>2.0414410414055979</v>
      </c>
      <c r="O3078" s="1477"/>
    </row>
    <row r="3079" spans="11:15">
      <c r="K3079" s="1473">
        <v>45136</v>
      </c>
      <c r="L3079" s="1477"/>
      <c r="M3079" s="853">
        <v>0</v>
      </c>
      <c r="N3079" s="1477">
        <v>2.0414410414055979</v>
      </c>
      <c r="O3079" s="1477"/>
    </row>
    <row r="3080" spans="11:15">
      <c r="K3080" s="1473">
        <v>45137</v>
      </c>
      <c r="L3080" s="1477"/>
      <c r="M3080" s="853">
        <v>0</v>
      </c>
      <c r="N3080" s="1477">
        <v>2.0414410414055979</v>
      </c>
      <c r="O3080" s="1477"/>
    </row>
    <row r="3081" spans="11:15">
      <c r="K3081" s="1473">
        <v>45138</v>
      </c>
      <c r="L3081" s="1477" t="s">
        <v>2123</v>
      </c>
      <c r="M3081" s="853">
        <v>5.0788E-2</v>
      </c>
      <c r="N3081" s="1477">
        <v>2.042477848481707</v>
      </c>
      <c r="O3081" s="1477"/>
    </row>
    <row r="3082" spans="11:15">
      <c r="K3082" s="1473">
        <v>45139</v>
      </c>
      <c r="L3082" s="1477" t="s">
        <v>2123</v>
      </c>
      <c r="M3082" s="853">
        <v>5.0788E-2</v>
      </c>
      <c r="N3082" s="1477">
        <v>2.0435151821313937</v>
      </c>
      <c r="O3082" s="1477"/>
    </row>
    <row r="3083" spans="11:15">
      <c r="K3083" s="1473">
        <v>45140</v>
      </c>
      <c r="L3083" s="1477" t="s">
        <v>2123</v>
      </c>
      <c r="M3083" s="853">
        <v>5.0788E-2</v>
      </c>
      <c r="N3083" s="1477">
        <v>2.0445530426220948</v>
      </c>
      <c r="O3083" s="1477"/>
    </row>
    <row r="3084" spans="11:15">
      <c r="K3084" s="1473">
        <v>45141</v>
      </c>
      <c r="L3084" s="1477" t="s">
        <v>2123</v>
      </c>
      <c r="M3084" s="853">
        <v>5.0788E-2</v>
      </c>
      <c r="N3084" s="1477">
        <v>2.0455914302213816</v>
      </c>
      <c r="O3084" s="1477"/>
    </row>
    <row r="3085" spans="11:15">
      <c r="K3085" s="1473">
        <v>45142</v>
      </c>
      <c r="L3085" s="1477" t="s">
        <v>2123</v>
      </c>
      <c r="M3085" s="853">
        <v>5.0788E-2</v>
      </c>
      <c r="N3085" s="1477">
        <v>2.0466303451969625</v>
      </c>
      <c r="O3085" s="1477"/>
    </row>
    <row r="3086" spans="11:15">
      <c r="K3086" s="1473">
        <v>45143</v>
      </c>
      <c r="L3086" s="1477"/>
      <c r="M3086" s="853">
        <v>0</v>
      </c>
      <c r="N3086" s="1477">
        <v>2.0466303451969625</v>
      </c>
      <c r="O3086" s="1477"/>
    </row>
    <row r="3087" spans="11:15">
      <c r="K3087" s="1473">
        <v>45144</v>
      </c>
      <c r="L3087" s="1477"/>
      <c r="M3087" s="853">
        <v>0</v>
      </c>
      <c r="N3087" s="1477">
        <v>2.0466303451969625</v>
      </c>
      <c r="O3087" s="1477"/>
    </row>
    <row r="3088" spans="11:15">
      <c r="K3088" s="1473">
        <v>45145</v>
      </c>
      <c r="L3088" s="1477" t="s">
        <v>2123</v>
      </c>
      <c r="M3088" s="853">
        <v>5.0788E-2</v>
      </c>
      <c r="N3088" s="1477">
        <v>2.0476697878166812</v>
      </c>
      <c r="O3088" s="1477"/>
    </row>
    <row r="3089" spans="11:15">
      <c r="K3089" s="1473">
        <v>45146</v>
      </c>
      <c r="L3089" s="1477" t="s">
        <v>2123</v>
      </c>
      <c r="M3089" s="853">
        <v>5.0788E-2</v>
      </c>
      <c r="N3089" s="1477">
        <v>2.0487097583485174</v>
      </c>
      <c r="O3089" s="1477"/>
    </row>
    <row r="3090" spans="11:15">
      <c r="K3090" s="1473">
        <v>45147</v>
      </c>
      <c r="L3090" s="1477" t="s">
        <v>2123</v>
      </c>
      <c r="M3090" s="853">
        <v>5.0788E-2</v>
      </c>
      <c r="N3090" s="1477">
        <v>2.0497502570605874</v>
      </c>
      <c r="O3090" s="1477"/>
    </row>
    <row r="3091" spans="11:15">
      <c r="K3091" s="1473">
        <v>45148</v>
      </c>
      <c r="L3091" s="1477" t="s">
        <v>2123</v>
      </c>
      <c r="M3091" s="853">
        <v>5.0788E-2</v>
      </c>
      <c r="N3091" s="1477">
        <v>2.0507912842211433</v>
      </c>
      <c r="O3091" s="1477"/>
    </row>
    <row r="3092" spans="11:15">
      <c r="K3092" s="1473">
        <v>45149</v>
      </c>
      <c r="L3092" s="1477" t="s">
        <v>2123</v>
      </c>
      <c r="M3092" s="853">
        <v>5.0788E-2</v>
      </c>
      <c r="N3092" s="1477">
        <v>2.0518328400985735</v>
      </c>
      <c r="O3092" s="1477"/>
    </row>
    <row r="3093" spans="11:15">
      <c r="K3093" s="1473">
        <v>45150</v>
      </c>
      <c r="L3093" s="1477"/>
      <c r="M3093" s="853">
        <v>0</v>
      </c>
      <c r="N3093" s="1477">
        <v>2.0518328400985735</v>
      </c>
      <c r="O3093" s="1477"/>
    </row>
    <row r="3094" spans="11:15">
      <c r="K3094" s="1473">
        <v>45151</v>
      </c>
      <c r="L3094" s="1477"/>
      <c r="M3094" s="853">
        <v>0</v>
      </c>
      <c r="N3094" s="1477">
        <v>2.0518328400985735</v>
      </c>
      <c r="O3094" s="1477"/>
    </row>
    <row r="3095" spans="11:15">
      <c r="K3095" s="1473">
        <v>45152</v>
      </c>
      <c r="L3095" s="1477" t="s">
        <v>2123</v>
      </c>
      <c r="M3095" s="853">
        <v>5.0788E-2</v>
      </c>
      <c r="N3095" s="1477">
        <v>2.0528749249614027</v>
      </c>
      <c r="O3095" s="1477"/>
    </row>
    <row r="3096" spans="11:15">
      <c r="K3096" s="1473">
        <v>45153</v>
      </c>
      <c r="L3096" s="1477" t="s">
        <v>2123</v>
      </c>
      <c r="M3096" s="853">
        <v>5.0788E-2</v>
      </c>
      <c r="N3096" s="1477">
        <v>2.053917539078292</v>
      </c>
      <c r="O3096" s="1477"/>
    </row>
    <row r="3097" spans="11:15">
      <c r="K3097" s="1473">
        <v>45154</v>
      </c>
      <c r="L3097" s="1477" t="s">
        <v>2123</v>
      </c>
      <c r="M3097" s="853">
        <v>5.0788E-2</v>
      </c>
      <c r="N3097" s="1477">
        <v>2.0549606827180393</v>
      </c>
      <c r="O3097" s="1477"/>
    </row>
    <row r="3098" spans="11:15">
      <c r="K3098" s="1473">
        <v>45155</v>
      </c>
      <c r="L3098" s="1477" t="s">
        <v>2123</v>
      </c>
      <c r="M3098" s="853">
        <v>5.0788E-2</v>
      </c>
      <c r="N3098" s="1477">
        <v>2.056004356149578</v>
      </c>
      <c r="O3098" s="1477"/>
    </row>
    <row r="3099" spans="11:15">
      <c r="K3099" s="1473">
        <v>45156</v>
      </c>
      <c r="L3099" s="1477" t="s">
        <v>2123</v>
      </c>
      <c r="M3099" s="853">
        <v>5.0788E-2</v>
      </c>
      <c r="N3099" s="1477">
        <v>2.0570485596419794</v>
      </c>
      <c r="O3099" s="1477"/>
    </row>
    <row r="3100" spans="11:15">
      <c r="K3100" s="1473">
        <v>45157</v>
      </c>
      <c r="L3100" s="1477"/>
      <c r="M3100" s="853">
        <v>0</v>
      </c>
      <c r="N3100" s="1477">
        <v>2.0570485596419794</v>
      </c>
      <c r="O3100" s="1477"/>
    </row>
    <row r="3101" spans="11:15">
      <c r="K3101" s="1473">
        <v>45158</v>
      </c>
      <c r="L3101" s="1477"/>
      <c r="M3101" s="853">
        <v>0</v>
      </c>
      <c r="N3101" s="1477">
        <v>2.0570485596419794</v>
      </c>
      <c r="O3101" s="1477"/>
    </row>
    <row r="3102" spans="11:15">
      <c r="K3102" s="1473">
        <v>45159</v>
      </c>
      <c r="L3102" s="1477" t="s">
        <v>2123</v>
      </c>
      <c r="M3102" s="853">
        <v>5.0788E-2</v>
      </c>
      <c r="N3102" s="1477">
        <v>2.0580932934644505</v>
      </c>
      <c r="O3102" s="1477"/>
    </row>
    <row r="3103" spans="11:15">
      <c r="K3103" s="1473">
        <v>45160</v>
      </c>
      <c r="L3103" s="1477" t="s">
        <v>2123</v>
      </c>
      <c r="M3103" s="853">
        <v>5.0788E-2</v>
      </c>
      <c r="N3103" s="1477">
        <v>2.0591385578863353</v>
      </c>
      <c r="O3103" s="1477"/>
    </row>
    <row r="3104" spans="11:15">
      <c r="K3104" s="1473">
        <v>45161</v>
      </c>
      <c r="L3104" s="1477" t="s">
        <v>2123</v>
      </c>
      <c r="M3104" s="853">
        <v>5.0788E-2</v>
      </c>
      <c r="N3104" s="1477">
        <v>2.0601843531771147</v>
      </c>
      <c r="O3104" s="1477"/>
    </row>
    <row r="3105" spans="11:15">
      <c r="K3105" s="1473">
        <v>45162</v>
      </c>
      <c r="L3105" s="1477" t="s">
        <v>2123</v>
      </c>
      <c r="M3105" s="853">
        <v>5.0788E-2</v>
      </c>
      <c r="N3105" s="1477">
        <v>2.0612306796064064</v>
      </c>
      <c r="O3105" s="1477"/>
    </row>
    <row r="3106" spans="11:15">
      <c r="K3106" s="1473">
        <v>45163</v>
      </c>
      <c r="L3106" s="1477" t="s">
        <v>2123</v>
      </c>
      <c r="M3106" s="853">
        <v>5.0788E-2</v>
      </c>
      <c r="N3106" s="1477">
        <v>2.0622775374439648</v>
      </c>
      <c r="O3106" s="1477"/>
    </row>
    <row r="3107" spans="11:15">
      <c r="K3107" s="1473">
        <v>45164</v>
      </c>
      <c r="L3107" s="1477"/>
      <c r="M3107" s="853">
        <v>0</v>
      </c>
      <c r="N3107" s="1477">
        <v>2.0622775374439648</v>
      </c>
      <c r="O3107" s="1477"/>
    </row>
    <row r="3108" spans="11:15">
      <c r="K3108" s="1473">
        <v>45165</v>
      </c>
      <c r="L3108" s="1477"/>
      <c r="M3108" s="853">
        <v>0</v>
      </c>
      <c r="N3108" s="1477">
        <v>2.0622775374439648</v>
      </c>
      <c r="O3108" s="1477"/>
    </row>
    <row r="3109" spans="11:15">
      <c r="K3109" s="1473">
        <v>45166</v>
      </c>
      <c r="L3109" s="1477" t="s">
        <v>2123</v>
      </c>
      <c r="M3109" s="853">
        <v>5.0788E-2</v>
      </c>
      <c r="N3109" s="1477">
        <v>2.0633249269596821</v>
      </c>
      <c r="O3109" s="1477"/>
    </row>
    <row r="3110" spans="11:15">
      <c r="K3110" s="1473">
        <v>45167</v>
      </c>
      <c r="L3110" s="1477" t="s">
        <v>2123</v>
      </c>
      <c r="M3110" s="853">
        <v>5.0788E-2</v>
      </c>
      <c r="N3110" s="1477">
        <v>2.0643728484235866</v>
      </c>
      <c r="O3110" s="1477"/>
    </row>
    <row r="3111" spans="11:15">
      <c r="K3111" s="1473">
        <v>45168</v>
      </c>
      <c r="L3111" s="1477" t="s">
        <v>2123</v>
      </c>
      <c r="M3111" s="853">
        <v>5.0788E-2</v>
      </c>
      <c r="N3111" s="1477">
        <v>2.0654213021058441</v>
      </c>
      <c r="O3111" s="1477"/>
    </row>
    <row r="3112" spans="11:15">
      <c r="K3112" s="1473">
        <v>45169</v>
      </c>
      <c r="L3112" s="1477" t="s">
        <v>2123</v>
      </c>
      <c r="M3112" s="853">
        <v>5.0788E-2</v>
      </c>
      <c r="N3112" s="1477">
        <v>2.0664702882767578</v>
      </c>
      <c r="O3112" s="1477"/>
    </row>
    <row r="3113" spans="11:15">
      <c r="K3113" s="1473">
        <v>45170</v>
      </c>
      <c r="L3113" s="1477" t="s">
        <v>2123</v>
      </c>
      <c r="M3113" s="853">
        <v>5.0788E-2</v>
      </c>
      <c r="N3113" s="1477">
        <v>2.067519807206768</v>
      </c>
      <c r="O3113" s="1477"/>
    </row>
    <row r="3114" spans="11:15">
      <c r="K3114" s="1473">
        <v>45171</v>
      </c>
      <c r="L3114" s="1477"/>
      <c r="M3114" s="853">
        <v>0</v>
      </c>
      <c r="N3114" s="1477">
        <v>2.067519807206768</v>
      </c>
      <c r="O3114" s="1477"/>
    </row>
    <row r="3115" spans="11:15">
      <c r="K3115" s="1473">
        <v>45172</v>
      </c>
      <c r="L3115" s="1477"/>
      <c r="M3115" s="853">
        <v>0</v>
      </c>
      <c r="N3115" s="1477">
        <v>2.067519807206768</v>
      </c>
      <c r="O3115" s="1477"/>
    </row>
    <row r="3116" spans="11:15">
      <c r="K3116" s="1473">
        <v>45173</v>
      </c>
      <c r="L3116" s="1477" t="s">
        <v>2123</v>
      </c>
      <c r="M3116" s="853">
        <v>5.0788E-2</v>
      </c>
      <c r="N3116" s="1477">
        <v>2.0685698591664523</v>
      </c>
      <c r="O3116" s="1477"/>
    </row>
    <row r="3117" spans="11:15">
      <c r="K3117" s="1473">
        <v>45174</v>
      </c>
      <c r="L3117" s="1477" t="s">
        <v>2123</v>
      </c>
      <c r="M3117" s="853">
        <v>5.0788E-2</v>
      </c>
      <c r="N3117" s="1477">
        <v>2.0696204444265258</v>
      </c>
      <c r="O3117" s="1477"/>
    </row>
    <row r="3118" spans="11:15">
      <c r="K3118" s="1473">
        <v>45175</v>
      </c>
      <c r="L3118" s="1477" t="s">
        <v>2123</v>
      </c>
      <c r="M3118" s="853">
        <v>5.0788E-2</v>
      </c>
      <c r="N3118" s="1477">
        <v>2.0706715632578412</v>
      </c>
      <c r="O3118" s="1477"/>
    </row>
    <row r="3119" spans="11:15">
      <c r="K3119" s="1473">
        <v>45176</v>
      </c>
      <c r="L3119" s="1477"/>
      <c r="M3119" s="853">
        <v>0</v>
      </c>
      <c r="N3119" s="1477">
        <v>2.0706715632578412</v>
      </c>
      <c r="O3119" s="1477"/>
    </row>
    <row r="3120" spans="11:15">
      <c r="K3120" s="1473">
        <v>45177</v>
      </c>
      <c r="L3120" s="1477" t="s">
        <v>2123</v>
      </c>
      <c r="M3120" s="853">
        <v>5.0788E-2</v>
      </c>
      <c r="N3120" s="1477">
        <v>2.0717232159313888</v>
      </c>
      <c r="O3120" s="1477"/>
    </row>
    <row r="3121" spans="11:15">
      <c r="K3121" s="1473">
        <v>45178</v>
      </c>
      <c r="L3121" s="1477"/>
      <c r="M3121" s="853">
        <v>0</v>
      </c>
      <c r="N3121" s="1477">
        <v>2.0717232159313888</v>
      </c>
      <c r="O3121" s="1477"/>
    </row>
    <row r="3122" spans="11:15">
      <c r="K3122" s="1473">
        <v>45179</v>
      </c>
      <c r="L3122" s="1477"/>
      <c r="M3122" s="853">
        <v>0</v>
      </c>
      <c r="N3122" s="1477">
        <v>2.0717232159313888</v>
      </c>
      <c r="O3122" s="1477"/>
    </row>
    <row r="3123" spans="11:15">
      <c r="K3123" s="1473">
        <v>45180</v>
      </c>
      <c r="L3123" s="1477" t="s">
        <v>2123</v>
      </c>
      <c r="M3123" s="853">
        <v>5.0788E-2</v>
      </c>
      <c r="N3123" s="1477">
        <v>2.0727754027182961</v>
      </c>
      <c r="O3123" s="1477"/>
    </row>
    <row r="3124" spans="11:15">
      <c r="K3124" s="1473">
        <v>45181</v>
      </c>
      <c r="L3124" s="1477" t="s">
        <v>2123</v>
      </c>
      <c r="M3124" s="853">
        <v>5.0788E-2</v>
      </c>
      <c r="N3124" s="1477">
        <v>2.0738281238898288</v>
      </c>
      <c r="O3124" s="1477"/>
    </row>
    <row r="3125" spans="11:15">
      <c r="K3125" s="1473">
        <v>45182</v>
      </c>
      <c r="L3125" s="1477" t="s">
        <v>2123</v>
      </c>
      <c r="M3125" s="853">
        <v>5.0788E-2</v>
      </c>
      <c r="N3125" s="1477">
        <v>2.07488137971739</v>
      </c>
      <c r="O3125" s="1477"/>
    </row>
    <row r="3126" spans="11:15">
      <c r="K3126" s="1473">
        <v>45183</v>
      </c>
      <c r="L3126" s="1477" t="s">
        <v>2123</v>
      </c>
      <c r="M3126" s="853">
        <v>5.0788E-2</v>
      </c>
      <c r="N3126" s="1477">
        <v>2.0759351704725209</v>
      </c>
      <c r="O3126" s="1477"/>
    </row>
    <row r="3127" spans="11:15">
      <c r="K3127" s="1473">
        <v>45184</v>
      </c>
      <c r="L3127" s="1477" t="s">
        <v>2123</v>
      </c>
      <c r="M3127" s="853">
        <v>5.0788E-2</v>
      </c>
      <c r="N3127" s="1477">
        <v>2.0769894964269007</v>
      </c>
      <c r="O3127" s="1477"/>
    </row>
    <row r="3128" spans="11:15">
      <c r="K3128" s="1473">
        <v>45185</v>
      </c>
      <c r="L3128" s="1477"/>
      <c r="M3128" s="853">
        <v>0</v>
      </c>
      <c r="N3128" s="1477">
        <v>2.0769894964269007</v>
      </c>
      <c r="O3128" s="1477"/>
    </row>
    <row r="3129" spans="11:15">
      <c r="K3129" s="1473">
        <v>45186</v>
      </c>
      <c r="L3129" s="1477"/>
      <c r="M3129" s="853">
        <v>0</v>
      </c>
      <c r="N3129" s="1477">
        <v>2.0769894964269007</v>
      </c>
      <c r="O3129" s="1477"/>
    </row>
    <row r="3130" spans="11:15">
      <c r="K3130" s="1473">
        <v>45187</v>
      </c>
      <c r="L3130" s="1477" t="s">
        <v>2123</v>
      </c>
      <c r="M3130" s="853">
        <v>5.0788E-2</v>
      </c>
      <c r="N3130" s="1477">
        <v>2.0780443578523462</v>
      </c>
      <c r="O3130" s="1477"/>
    </row>
    <row r="3131" spans="11:15">
      <c r="K3131" s="1473">
        <v>45188</v>
      </c>
      <c r="L3131" s="1477" t="s">
        <v>2123</v>
      </c>
      <c r="M3131" s="853">
        <v>5.0788E-2</v>
      </c>
      <c r="N3131" s="1477">
        <v>2.0790997550208123</v>
      </c>
      <c r="O3131" s="1477"/>
    </row>
    <row r="3132" spans="11:15">
      <c r="K3132" s="1473">
        <v>45189</v>
      </c>
      <c r="L3132" s="1477" t="s">
        <v>2123</v>
      </c>
      <c r="M3132" s="853">
        <v>5.0788E-2</v>
      </c>
      <c r="N3132" s="1477">
        <v>2.0801556882043926</v>
      </c>
      <c r="O3132" s="1477"/>
    </row>
    <row r="3133" spans="11:15">
      <c r="K3133" s="1473">
        <v>45190</v>
      </c>
      <c r="L3133" s="1477" t="s">
        <v>2123</v>
      </c>
      <c r="M3133" s="853">
        <v>5.0788E-2</v>
      </c>
      <c r="N3133" s="1477">
        <v>2.081212157675318</v>
      </c>
      <c r="O3133" s="1477"/>
    </row>
    <row r="3134" spans="11:15">
      <c r="K3134" s="1473">
        <v>45191</v>
      </c>
      <c r="L3134" s="1477" t="s">
        <v>2123</v>
      </c>
      <c r="M3134" s="853">
        <v>5.0788E-2</v>
      </c>
      <c r="N3134" s="1477">
        <v>2.0822691637059583</v>
      </c>
      <c r="O3134" s="1477"/>
    </row>
    <row r="3135" spans="11:15">
      <c r="K3135" s="1473">
        <v>45192</v>
      </c>
      <c r="L3135" s="1477"/>
      <c r="M3135" s="853">
        <v>0</v>
      </c>
      <c r="N3135" s="1477">
        <v>2.0822691637059583</v>
      </c>
      <c r="O3135" s="1477"/>
    </row>
    <row r="3136" spans="11:15">
      <c r="K3136" s="1473">
        <v>45193</v>
      </c>
      <c r="L3136" s="1477"/>
      <c r="M3136" s="853">
        <v>0</v>
      </c>
      <c r="N3136" s="1477">
        <v>2.0822691637059583</v>
      </c>
      <c r="O3136" s="1477"/>
    </row>
    <row r="3137" spans="11:15">
      <c r="K3137" s="1473">
        <v>45194</v>
      </c>
      <c r="L3137" s="1477" t="s">
        <v>2123</v>
      </c>
      <c r="M3137" s="853">
        <v>5.0788E-2</v>
      </c>
      <c r="N3137" s="1477">
        <v>2.0833267065688212</v>
      </c>
      <c r="O3137" s="1477"/>
    </row>
    <row r="3138" spans="11:15">
      <c r="K3138" s="1473">
        <v>45195</v>
      </c>
      <c r="L3138" s="1477" t="s">
        <v>2123</v>
      </c>
      <c r="M3138" s="853">
        <v>5.0788E-2</v>
      </c>
      <c r="N3138" s="1477">
        <v>2.0843847865365532</v>
      </c>
      <c r="O3138" s="1477"/>
    </row>
    <row r="3139" spans="11:15">
      <c r="K3139" s="1473">
        <v>45196</v>
      </c>
      <c r="L3139" s="1477" t="s">
        <v>2123</v>
      </c>
      <c r="M3139" s="853">
        <v>5.0788E-2</v>
      </c>
      <c r="N3139" s="1477">
        <v>2.0854434038819396</v>
      </c>
      <c r="O3139" s="1477"/>
    </row>
    <row r="3140" spans="11:15">
      <c r="K3140" s="1473">
        <v>45197</v>
      </c>
      <c r="L3140" s="1477" t="s">
        <v>2123</v>
      </c>
      <c r="M3140" s="853">
        <v>5.0788E-2</v>
      </c>
      <c r="N3140" s="1477">
        <v>2.0865025588779034</v>
      </c>
      <c r="O3140" s="1477"/>
    </row>
    <row r="3141" spans="11:15">
      <c r="K3141" s="1473">
        <v>45198</v>
      </c>
      <c r="L3141" s="1477" t="s">
        <v>2123</v>
      </c>
      <c r="M3141" s="853">
        <v>5.0788E-2</v>
      </c>
      <c r="N3141" s="1477">
        <v>2.0875622517975061</v>
      </c>
      <c r="O3141" s="1477"/>
    </row>
    <row r="3142" spans="11:15">
      <c r="K3142" s="1473">
        <v>45199</v>
      </c>
      <c r="L3142" s="1477"/>
      <c r="M3142" s="853">
        <v>0</v>
      </c>
      <c r="N3142" s="1477">
        <v>2.0875622517975061</v>
      </c>
      <c r="O3142" s="1477"/>
    </row>
    <row r="3143" spans="11:15">
      <c r="K3143" s="1473">
        <v>45200</v>
      </c>
      <c r="L3143" s="1477"/>
      <c r="M3143" s="853">
        <v>0</v>
      </c>
      <c r="N3143" s="1477">
        <v>2.0875622517975061</v>
      </c>
      <c r="O3143" s="1477"/>
    </row>
    <row r="3144" spans="11:15">
      <c r="K3144" s="1473">
        <v>45201</v>
      </c>
      <c r="L3144" s="1477" t="s">
        <v>2123</v>
      </c>
      <c r="M3144" s="853">
        <v>5.0788E-2</v>
      </c>
      <c r="N3144" s="1477">
        <v>2.0886224829139493</v>
      </c>
      <c r="O3144" s="1477"/>
    </row>
    <row r="3145" spans="11:15">
      <c r="K3145" s="1473">
        <v>45202</v>
      </c>
      <c r="L3145" s="1477" t="s">
        <v>2123</v>
      </c>
      <c r="M3145" s="853">
        <v>5.0788E-2</v>
      </c>
      <c r="N3145" s="1477">
        <v>2.0896832525005715</v>
      </c>
      <c r="O3145" s="1477"/>
    </row>
    <row r="3146" spans="11:15">
      <c r="K3146" s="1473">
        <v>45203</v>
      </c>
      <c r="L3146" s="1477" t="s">
        <v>2123</v>
      </c>
      <c r="M3146" s="853">
        <v>5.0788E-2</v>
      </c>
      <c r="N3146" s="1477">
        <v>2.0907445608308515</v>
      </c>
      <c r="O3146" s="1477"/>
    </row>
    <row r="3147" spans="11:15">
      <c r="K3147" s="1473">
        <v>45204</v>
      </c>
      <c r="L3147" s="1477" t="s">
        <v>2123</v>
      </c>
      <c r="M3147" s="853">
        <v>5.0788E-2</v>
      </c>
      <c r="N3147" s="1477">
        <v>2.0918064081784062</v>
      </c>
      <c r="O3147" s="1477"/>
    </row>
    <row r="3148" spans="11:15">
      <c r="K3148" s="1473">
        <v>45205</v>
      </c>
      <c r="L3148" s="1477" t="s">
        <v>2123</v>
      </c>
      <c r="M3148" s="853">
        <v>5.0788E-2</v>
      </c>
      <c r="N3148" s="1477">
        <v>2.092868794816992</v>
      </c>
      <c r="O3148" s="1477"/>
    </row>
    <row r="3149" spans="11:15">
      <c r="K3149" s="1473">
        <v>45206</v>
      </c>
      <c r="L3149" s="1477"/>
      <c r="M3149" s="853">
        <v>0</v>
      </c>
      <c r="N3149" s="1477">
        <v>2.092868794816992</v>
      </c>
      <c r="O3149" s="1477"/>
    </row>
    <row r="3150" spans="11:15">
      <c r="K3150" s="1473">
        <v>45207</v>
      </c>
      <c r="L3150" s="1477"/>
      <c r="M3150" s="853">
        <v>0</v>
      </c>
      <c r="N3150" s="1477">
        <v>2.092868794816992</v>
      </c>
      <c r="O3150" s="1477"/>
    </row>
    <row r="3151" spans="11:15">
      <c r="K3151" s="1473">
        <v>45208</v>
      </c>
      <c r="L3151" s="1477" t="s">
        <v>2123</v>
      </c>
      <c r="M3151" s="853">
        <v>5.0788E-2</v>
      </c>
      <c r="N3151" s="1477">
        <v>2.0939317210205037</v>
      </c>
      <c r="O3151" s="1477"/>
    </row>
    <row r="3152" spans="11:15">
      <c r="K3152" s="1473">
        <v>45209</v>
      </c>
      <c r="L3152" s="1477" t="s">
        <v>2123</v>
      </c>
      <c r="M3152" s="853">
        <v>5.0788E-2</v>
      </c>
      <c r="N3152" s="1477">
        <v>2.0949951870629757</v>
      </c>
      <c r="O3152" s="1477"/>
    </row>
    <row r="3153" spans="11:15">
      <c r="K3153" s="1473">
        <v>45210</v>
      </c>
      <c r="L3153" s="1477" t="s">
        <v>2123</v>
      </c>
      <c r="M3153" s="853">
        <v>5.0788E-2</v>
      </c>
      <c r="N3153" s="1477">
        <v>2.0960591932185815</v>
      </c>
      <c r="O3153" s="1477"/>
    </row>
    <row r="3154" spans="11:15">
      <c r="K3154" s="1473">
        <v>45211</v>
      </c>
      <c r="L3154" s="1477"/>
      <c r="M3154" s="853">
        <v>0</v>
      </c>
      <c r="N3154" s="1477">
        <v>2.0960591932185815</v>
      </c>
      <c r="O3154" s="1477"/>
    </row>
    <row r="3155" spans="11:15">
      <c r="K3155" s="1473">
        <v>45212</v>
      </c>
      <c r="L3155" s="1477" t="s">
        <v>2123</v>
      </c>
      <c r="M3155" s="853">
        <v>5.0788E-2</v>
      </c>
      <c r="N3155" s="1477">
        <v>2.0971237397616336</v>
      </c>
      <c r="O3155" s="1477"/>
    </row>
    <row r="3156" spans="11:15">
      <c r="K3156" s="1473">
        <v>45213</v>
      </c>
      <c r="L3156" s="1477"/>
      <c r="M3156" s="853">
        <v>0</v>
      </c>
      <c r="N3156" s="1477">
        <v>2.0971237397616336</v>
      </c>
      <c r="O3156" s="1477"/>
    </row>
    <row r="3157" spans="11:15">
      <c r="K3157" s="1473">
        <v>45214</v>
      </c>
      <c r="L3157" s="1477"/>
      <c r="M3157" s="853">
        <v>0</v>
      </c>
      <c r="N3157" s="1477">
        <v>2.0971237397616336</v>
      </c>
      <c r="O3157" s="1477"/>
    </row>
    <row r="3158" spans="11:15">
      <c r="K3158" s="1473">
        <v>45215</v>
      </c>
      <c r="L3158" s="1477" t="s">
        <v>2123</v>
      </c>
      <c r="M3158" s="853">
        <v>5.0788E-2</v>
      </c>
      <c r="N3158" s="1477">
        <v>2.0981888269665836</v>
      </c>
      <c r="O3158" s="1477"/>
    </row>
    <row r="3159" spans="11:15">
      <c r="K3159" s="1473">
        <v>45216</v>
      </c>
      <c r="L3159" s="1477" t="s">
        <v>2123</v>
      </c>
      <c r="M3159" s="853">
        <v>5.0788E-2</v>
      </c>
      <c r="N3159" s="1477">
        <v>2.0992544551080234</v>
      </c>
      <c r="O3159" s="1477"/>
    </row>
    <row r="3160" spans="11:15">
      <c r="K3160" s="1473">
        <v>45217</v>
      </c>
      <c r="L3160" s="1477" t="s">
        <v>2123</v>
      </c>
      <c r="M3160" s="853">
        <v>5.0788E-2</v>
      </c>
      <c r="N3160" s="1477">
        <v>2.1003206244606836</v>
      </c>
      <c r="O3160" s="1477"/>
    </row>
    <row r="3161" spans="11:15">
      <c r="K3161" s="1473">
        <v>45218</v>
      </c>
      <c r="L3161" s="1477" t="s">
        <v>2123</v>
      </c>
      <c r="M3161" s="853">
        <v>5.0788E-2</v>
      </c>
      <c r="N3161" s="1477">
        <v>2.1013873352994348</v>
      </c>
      <c r="O3161" s="1477"/>
    </row>
    <row r="3162" spans="11:15">
      <c r="K3162" s="1473">
        <v>45219</v>
      </c>
      <c r="L3162" s="1477" t="s">
        <v>2123</v>
      </c>
      <c r="M3162" s="853">
        <v>5.0788E-2</v>
      </c>
      <c r="N3162" s="1477">
        <v>2.1024545878992869</v>
      </c>
      <c r="O3162" s="1477"/>
    </row>
    <row r="3163" spans="11:15">
      <c r="K3163" s="1473">
        <v>45220</v>
      </c>
      <c r="L3163" s="1477"/>
      <c r="M3163" s="853">
        <v>0</v>
      </c>
      <c r="N3163" s="1477">
        <v>2.1024545878992869</v>
      </c>
      <c r="O3163" s="1477"/>
    </row>
    <row r="3164" spans="11:15">
      <c r="K3164" s="1473">
        <v>45221</v>
      </c>
      <c r="L3164" s="1477"/>
      <c r="M3164" s="853">
        <v>0</v>
      </c>
      <c r="N3164" s="1477">
        <v>2.1024545878992869</v>
      </c>
      <c r="O3164" s="1477"/>
    </row>
    <row r="3165" spans="11:15">
      <c r="K3165" s="1473">
        <v>45222</v>
      </c>
      <c r="L3165" s="1477" t="s">
        <v>2123</v>
      </c>
      <c r="M3165" s="853">
        <v>5.0788E-2</v>
      </c>
      <c r="N3165" s="1477">
        <v>2.103522382535389</v>
      </c>
      <c r="O3165" s="1477"/>
    </row>
    <row r="3166" spans="11:15">
      <c r="K3166" s="1473">
        <v>45223</v>
      </c>
      <c r="L3166" s="1477" t="s">
        <v>2123</v>
      </c>
      <c r="M3166" s="853">
        <v>5.0788E-2</v>
      </c>
      <c r="N3166" s="1477">
        <v>2.1045907194830313</v>
      </c>
      <c r="O3166" s="1477"/>
    </row>
    <row r="3167" spans="11:15">
      <c r="K3167" s="1473">
        <v>45224</v>
      </c>
      <c r="L3167" s="1477" t="s">
        <v>2123</v>
      </c>
      <c r="M3167" s="853">
        <v>5.0788E-2</v>
      </c>
      <c r="N3167" s="1477">
        <v>2.1056595990176423</v>
      </c>
      <c r="O3167" s="1477"/>
    </row>
    <row r="3168" spans="11:15">
      <c r="K3168" s="1473">
        <v>45225</v>
      </c>
      <c r="L3168" s="1477" t="s">
        <v>2123</v>
      </c>
      <c r="M3168" s="853">
        <v>5.0788E-2</v>
      </c>
      <c r="N3168" s="1477">
        <v>2.1067290214147913</v>
      </c>
      <c r="O3168" s="1477"/>
    </row>
    <row r="3169" spans="11:15">
      <c r="K3169" s="1473">
        <v>45226</v>
      </c>
      <c r="L3169" s="1477" t="s">
        <v>2123</v>
      </c>
      <c r="M3169" s="853">
        <v>5.0788E-2</v>
      </c>
      <c r="N3169" s="1477">
        <v>2.1077989869501876</v>
      </c>
      <c r="O3169" s="1477"/>
    </row>
    <row r="3170" spans="11:15">
      <c r="K3170" s="1473">
        <v>45227</v>
      </c>
      <c r="L3170" s="1477"/>
      <c r="M3170" s="853">
        <v>0</v>
      </c>
      <c r="N3170" s="1477">
        <v>2.1077989869501876</v>
      </c>
      <c r="O3170" s="1477"/>
    </row>
    <row r="3171" spans="11:15">
      <c r="K3171" s="1473">
        <v>45228</v>
      </c>
      <c r="L3171" s="1477"/>
      <c r="M3171" s="853">
        <v>0</v>
      </c>
      <c r="N3171" s="1477">
        <v>2.1077989869501876</v>
      </c>
      <c r="O3171" s="1477"/>
    </row>
    <row r="3172" spans="11:15">
      <c r="K3172" s="1473">
        <v>45229</v>
      </c>
      <c r="L3172" s="1477" t="s">
        <v>2123</v>
      </c>
      <c r="M3172" s="853">
        <v>5.0788E-2</v>
      </c>
      <c r="N3172" s="1477">
        <v>2.1088694958996799</v>
      </c>
      <c r="O3172" s="1477"/>
    </row>
    <row r="3173" spans="11:15">
      <c r="K3173" s="1473">
        <v>45230</v>
      </c>
      <c r="L3173" s="1477" t="s">
        <v>2123</v>
      </c>
      <c r="M3173" s="853">
        <v>5.0788E-2</v>
      </c>
      <c r="N3173" s="1477">
        <v>2.1099405485392575</v>
      </c>
      <c r="O3173" s="1477"/>
    </row>
    <row r="3174" spans="11:15">
      <c r="K3174" s="1473">
        <v>45231</v>
      </c>
      <c r="L3174" s="1477" t="s">
        <v>2123</v>
      </c>
      <c r="M3174" s="853">
        <v>5.0788E-2</v>
      </c>
      <c r="N3174" s="1477">
        <v>2.1110121451450499</v>
      </c>
      <c r="O3174" s="1477"/>
    </row>
    <row r="3175" spans="11:15">
      <c r="K3175" s="1473">
        <v>45232</v>
      </c>
      <c r="L3175" s="1477"/>
      <c r="M3175" s="853">
        <v>0</v>
      </c>
      <c r="N3175" s="1477">
        <v>2.1110121451450499</v>
      </c>
      <c r="O3175" s="1477"/>
    </row>
    <row r="3176" spans="11:15">
      <c r="K3176" s="1473">
        <v>45233</v>
      </c>
      <c r="L3176" s="1477" t="s">
        <v>2123</v>
      </c>
      <c r="M3176" s="853">
        <v>5.0788E-2</v>
      </c>
      <c r="N3176" s="1477">
        <v>2.1120842859933262</v>
      </c>
      <c r="O3176" s="1477"/>
    </row>
    <row r="3177" spans="11:15">
      <c r="K3177" s="1473">
        <v>45234</v>
      </c>
      <c r="L3177" s="1477"/>
      <c r="M3177" s="853">
        <v>0</v>
      </c>
      <c r="N3177" s="1477">
        <v>2.1120842859933262</v>
      </c>
      <c r="O3177" s="1477"/>
    </row>
    <row r="3178" spans="11:15">
      <c r="K3178" s="1473">
        <v>45235</v>
      </c>
      <c r="L3178" s="1477"/>
      <c r="M3178" s="853">
        <v>0</v>
      </c>
      <c r="N3178" s="1477">
        <v>2.1120842859933262</v>
      </c>
      <c r="O3178" s="1477"/>
    </row>
    <row r="3179" spans="11:15">
      <c r="K3179" s="1473">
        <v>45236</v>
      </c>
      <c r="L3179" s="1477" t="s">
        <v>2123</v>
      </c>
      <c r="M3179" s="853">
        <v>5.0788E-2</v>
      </c>
      <c r="N3179" s="1477">
        <v>2.1131569713604965</v>
      </c>
      <c r="O3179" s="1477"/>
    </row>
    <row r="3180" spans="11:15">
      <c r="K3180" s="1473">
        <v>45237</v>
      </c>
      <c r="L3180" s="1477" t="s">
        <v>2123</v>
      </c>
      <c r="M3180" s="853">
        <v>5.0788E-2</v>
      </c>
      <c r="N3180" s="1477">
        <v>2.1142302015231111</v>
      </c>
      <c r="O3180" s="1477"/>
    </row>
    <row r="3181" spans="11:15">
      <c r="K3181" s="1473">
        <v>45238</v>
      </c>
      <c r="L3181" s="1477" t="s">
        <v>2123</v>
      </c>
      <c r="M3181" s="853">
        <v>5.0788E-2</v>
      </c>
      <c r="N3181" s="1477">
        <v>2.1153039767578607</v>
      </c>
      <c r="O3181" s="1477"/>
    </row>
    <row r="3182" spans="11:15">
      <c r="K3182" s="1473">
        <v>45239</v>
      </c>
      <c r="L3182" s="1477" t="s">
        <v>2123</v>
      </c>
      <c r="M3182" s="853">
        <v>5.0788E-2</v>
      </c>
      <c r="N3182" s="1477">
        <v>2.1163782973415768</v>
      </c>
      <c r="O3182" s="1477"/>
    </row>
    <row r="3183" spans="11:15">
      <c r="K3183" s="1473">
        <v>45240</v>
      </c>
      <c r="L3183" s="1477" t="s">
        <v>2123</v>
      </c>
      <c r="M3183" s="853">
        <v>5.0788E-2</v>
      </c>
      <c r="N3183" s="1477">
        <v>2.1174531635512306</v>
      </c>
      <c r="O3183" s="1477"/>
    </row>
    <row r="3184" spans="11:15">
      <c r="K3184" s="1473">
        <v>45241</v>
      </c>
      <c r="L3184" s="1477"/>
      <c r="M3184" s="853">
        <v>0</v>
      </c>
      <c r="N3184" s="1477">
        <v>2.1174531635512306</v>
      </c>
      <c r="O3184" s="1477"/>
    </row>
    <row r="3185" spans="11:15">
      <c r="K3185" s="1473">
        <v>45242</v>
      </c>
      <c r="L3185" s="1477"/>
      <c r="M3185" s="853">
        <v>0</v>
      </c>
      <c r="N3185" s="1477">
        <v>2.1174531635512306</v>
      </c>
      <c r="O3185" s="1477"/>
    </row>
    <row r="3186" spans="11:15">
      <c r="K3186" s="1473">
        <v>45243</v>
      </c>
      <c r="L3186" s="1477" t="s">
        <v>2123</v>
      </c>
      <c r="M3186" s="853">
        <v>5.0788E-2</v>
      </c>
      <c r="N3186" s="1477">
        <v>2.1185285756639352</v>
      </c>
      <c r="O3186" s="1477"/>
    </row>
    <row r="3187" spans="11:15">
      <c r="K3187" s="1473">
        <v>45244</v>
      </c>
      <c r="L3187" s="1477" t="s">
        <v>2123</v>
      </c>
      <c r="M3187" s="853">
        <v>5.0788E-2</v>
      </c>
      <c r="N3187" s="1477">
        <v>2.1196045339569434</v>
      </c>
      <c r="O3187" s="1477"/>
    </row>
    <row r="3188" spans="11:15">
      <c r="K3188" s="1473">
        <v>45245</v>
      </c>
      <c r="L3188" s="1477"/>
      <c r="M3188" s="853">
        <v>0</v>
      </c>
      <c r="N3188" s="1477">
        <v>2.1196045339569434</v>
      </c>
      <c r="O3188" s="1477"/>
    </row>
    <row r="3189" spans="11:15">
      <c r="K3189" s="1473">
        <v>45246</v>
      </c>
      <c r="L3189" s="1477" t="s">
        <v>2123</v>
      </c>
      <c r="M3189" s="853">
        <v>5.0788E-2</v>
      </c>
      <c r="N3189" s="1477">
        <v>2.1206810387076493</v>
      </c>
      <c r="O3189" s="1477"/>
    </row>
    <row r="3190" spans="11:15">
      <c r="K3190" s="1473">
        <v>45247</v>
      </c>
      <c r="L3190" s="1477" t="s">
        <v>2123</v>
      </c>
      <c r="M3190" s="853">
        <v>5.0788E-2</v>
      </c>
      <c r="N3190" s="1477">
        <v>2.1217580901935884</v>
      </c>
      <c r="O3190" s="1477"/>
    </row>
    <row r="3191" spans="11:15">
      <c r="K3191" s="1473">
        <v>45248</v>
      </c>
      <c r="L3191" s="1477"/>
      <c r="M3191" s="853">
        <v>0</v>
      </c>
      <c r="N3191" s="1477">
        <v>2.1217580901935884</v>
      </c>
      <c r="O3191" s="1477"/>
    </row>
    <row r="3192" spans="11:15">
      <c r="K3192" s="1473">
        <v>45249</v>
      </c>
      <c r="L3192" s="1477"/>
      <c r="M3192" s="853">
        <v>0</v>
      </c>
      <c r="N3192" s="1477">
        <v>2.1217580901935884</v>
      </c>
      <c r="O3192" s="1477"/>
    </row>
    <row r="3193" spans="11:15">
      <c r="K3193" s="1473">
        <v>45250</v>
      </c>
      <c r="L3193" s="1477" t="s">
        <v>2123</v>
      </c>
      <c r="M3193" s="853">
        <v>5.0788E-2</v>
      </c>
      <c r="N3193" s="1477">
        <v>2.1228356886924358</v>
      </c>
      <c r="O3193" s="1477"/>
    </row>
    <row r="3194" spans="11:15">
      <c r="K3194" s="1473">
        <v>45251</v>
      </c>
      <c r="L3194" s="1477" t="s">
        <v>2123</v>
      </c>
      <c r="M3194" s="853">
        <v>5.0788E-2</v>
      </c>
      <c r="N3194" s="1477">
        <v>2.1239138344820088</v>
      </c>
      <c r="O3194" s="1477"/>
    </row>
    <row r="3195" spans="11:15">
      <c r="K3195" s="1473">
        <v>45252</v>
      </c>
      <c r="L3195" s="1477" t="s">
        <v>2123</v>
      </c>
      <c r="M3195" s="853">
        <v>5.0788E-2</v>
      </c>
      <c r="N3195" s="1477">
        <v>2.1249925278402655</v>
      </c>
      <c r="O3195" s="1477"/>
    </row>
    <row r="3196" spans="11:15">
      <c r="K3196" s="1473">
        <v>45253</v>
      </c>
      <c r="L3196" s="1477" t="s">
        <v>2123</v>
      </c>
      <c r="M3196" s="853">
        <v>5.0788E-2</v>
      </c>
      <c r="N3196" s="1477">
        <v>2.1260717690453048</v>
      </c>
      <c r="O3196" s="1477"/>
    </row>
    <row r="3197" spans="11:15">
      <c r="K3197" s="1473">
        <v>45254</v>
      </c>
      <c r="L3197" s="1477" t="s">
        <v>2123</v>
      </c>
      <c r="M3197" s="853">
        <v>5.0788E-2</v>
      </c>
      <c r="N3197" s="1477">
        <v>2.1271515583753677</v>
      </c>
      <c r="O3197" s="1477"/>
    </row>
    <row r="3198" spans="11:15">
      <c r="K3198" s="1473">
        <v>45255</v>
      </c>
      <c r="L3198" s="1477"/>
      <c r="M3198" s="853">
        <v>0</v>
      </c>
      <c r="N3198" s="1477">
        <v>2.1271515583753677</v>
      </c>
      <c r="O3198" s="1477"/>
    </row>
    <row r="3199" spans="11:15">
      <c r="K3199" s="1473">
        <v>45256</v>
      </c>
      <c r="L3199" s="1477"/>
      <c r="M3199" s="853">
        <v>0</v>
      </c>
      <c r="N3199" s="1477">
        <v>2.1271515583753677</v>
      </c>
      <c r="O3199" s="1477"/>
    </row>
    <row r="3200" spans="11:15">
      <c r="K3200" s="1473">
        <v>45257</v>
      </c>
      <c r="L3200" s="1477" t="s">
        <v>2123</v>
      </c>
      <c r="M3200" s="853">
        <v>5.0788E-2</v>
      </c>
      <c r="N3200" s="1477">
        <v>2.1282318961088356</v>
      </c>
      <c r="O3200" s="1477"/>
    </row>
    <row r="3201" spans="11:15">
      <c r="K3201" s="1473">
        <v>45258</v>
      </c>
      <c r="L3201" s="1477" t="s">
        <v>2123</v>
      </c>
      <c r="M3201" s="853">
        <v>5.0788E-2</v>
      </c>
      <c r="N3201" s="1477">
        <v>2.1293127825242313</v>
      </c>
      <c r="O3201" s="1477"/>
    </row>
    <row r="3202" spans="11:15">
      <c r="K3202" s="1473">
        <v>45259</v>
      </c>
      <c r="L3202" s="1477" t="s">
        <v>2123</v>
      </c>
      <c r="M3202" s="853">
        <v>5.0788E-2</v>
      </c>
      <c r="N3202" s="1477">
        <v>2.1303942179002195</v>
      </c>
      <c r="O3202" s="1477"/>
    </row>
    <row r="3203" spans="11:15">
      <c r="K3203" s="1473">
        <v>45260</v>
      </c>
      <c r="L3203" s="1477" t="s">
        <v>2123</v>
      </c>
      <c r="M3203" s="853">
        <v>5.0788E-2</v>
      </c>
      <c r="N3203" s="1477">
        <v>2.1314762025156067</v>
      </c>
      <c r="O3203" s="1477"/>
    </row>
    <row r="3204" spans="11:15">
      <c r="K3204" s="1473">
        <v>45261</v>
      </c>
      <c r="L3204" s="1477" t="s">
        <v>2123</v>
      </c>
      <c r="M3204" s="853">
        <v>5.0788E-2</v>
      </c>
      <c r="N3204" s="1477">
        <v>2.1325587366493401</v>
      </c>
      <c r="O3204" s="1477"/>
    </row>
    <row r="3205" spans="11:15">
      <c r="K3205" s="1473">
        <v>45262</v>
      </c>
      <c r="L3205" s="1477"/>
      <c r="M3205" s="853">
        <v>0</v>
      </c>
      <c r="N3205" s="1477">
        <v>2.1325587366493401</v>
      </c>
      <c r="O3205" s="1477"/>
    </row>
    <row r="3206" spans="11:15">
      <c r="K3206" s="1473">
        <v>45263</v>
      </c>
      <c r="L3206" s="1477"/>
      <c r="M3206" s="853">
        <v>0</v>
      </c>
      <c r="N3206" s="1477">
        <v>2.1325587366493401</v>
      </c>
      <c r="O3206" s="1477"/>
    </row>
    <row r="3207" spans="11:15">
      <c r="K3207" s="1473">
        <v>45264</v>
      </c>
      <c r="L3207" s="1477" t="s">
        <v>2123</v>
      </c>
      <c r="M3207" s="853">
        <v>5.0788E-2</v>
      </c>
      <c r="N3207" s="1477">
        <v>2.1336418205805097</v>
      </c>
      <c r="O3207" s="1477"/>
    </row>
    <row r="3208" spans="11:15">
      <c r="K3208" s="1473">
        <v>45265</v>
      </c>
      <c r="L3208" s="1477" t="s">
        <v>2123</v>
      </c>
      <c r="M3208" s="853">
        <v>5.0788E-2</v>
      </c>
      <c r="N3208" s="1477">
        <v>2.1347254545883461</v>
      </c>
      <c r="O3208" s="1477"/>
    </row>
    <row r="3209" spans="11:15">
      <c r="K3209" s="1473">
        <v>45266</v>
      </c>
      <c r="L3209" s="1477" t="s">
        <v>2123</v>
      </c>
      <c r="M3209" s="853">
        <v>5.0788E-2</v>
      </c>
      <c r="N3209" s="1477">
        <v>2.1358096389522223</v>
      </c>
      <c r="O3209" s="1477"/>
    </row>
    <row r="3210" spans="11:15">
      <c r="K3210" s="1473">
        <v>45267</v>
      </c>
      <c r="L3210" s="1477" t="s">
        <v>2123</v>
      </c>
      <c r="M3210" s="853">
        <v>5.0788E-2</v>
      </c>
      <c r="N3210" s="1477">
        <v>2.1368943739516535</v>
      </c>
      <c r="O3210" s="1477"/>
    </row>
    <row r="3211" spans="11:15">
      <c r="K3211" s="1473">
        <v>45268</v>
      </c>
      <c r="L3211" s="1477" t="s">
        <v>2123</v>
      </c>
      <c r="M3211" s="853">
        <v>5.0788E-2</v>
      </c>
      <c r="N3211" s="1477">
        <v>2.1379796598662959</v>
      </c>
      <c r="O3211" s="1477"/>
    </row>
    <row r="3212" spans="11:15">
      <c r="K3212" s="1473">
        <v>45269</v>
      </c>
      <c r="L3212" s="1477"/>
      <c r="M3212" s="853">
        <v>0</v>
      </c>
      <c r="N3212" s="1477">
        <v>2.1379796598662959</v>
      </c>
      <c r="O3212" s="1477"/>
    </row>
    <row r="3213" spans="11:15">
      <c r="K3213" s="1473">
        <v>45270</v>
      </c>
      <c r="L3213" s="1477"/>
      <c r="M3213" s="853">
        <v>0</v>
      </c>
      <c r="N3213" s="1477">
        <v>2.1379796598662959</v>
      </c>
      <c r="O3213" s="1477"/>
    </row>
    <row r="3214" spans="11:15">
      <c r="K3214" s="1473">
        <v>45271</v>
      </c>
      <c r="L3214" s="1477" t="s">
        <v>2123</v>
      </c>
      <c r="M3214" s="853">
        <v>5.0788E-2</v>
      </c>
      <c r="N3214" s="1477">
        <v>2.1390654969759488</v>
      </c>
      <c r="O3214" s="1477"/>
    </row>
    <row r="3215" spans="11:15">
      <c r="K3215" s="1473">
        <v>45272</v>
      </c>
      <c r="L3215" s="1" t="s">
        <v>2123</v>
      </c>
      <c r="M3215" s="1">
        <v>5.0788E-2</v>
      </c>
      <c r="N3215" s="1">
        <v>2.1401518855605528</v>
      </c>
    </row>
    <row r="3216" spans="11:15">
      <c r="K3216" s="1473">
        <v>45273</v>
      </c>
      <c r="L3216" s="1" t="s">
        <v>2123</v>
      </c>
      <c r="M3216" s="1">
        <v>5.0788E-2</v>
      </c>
      <c r="N3216" s="1">
        <v>2.1412388259001913</v>
      </c>
    </row>
    <row r="3217" spans="11:14">
      <c r="K3217" s="1473">
        <v>45274</v>
      </c>
      <c r="L3217" s="1" t="s">
        <v>2123</v>
      </c>
      <c r="M3217" s="1">
        <v>5.0788E-2</v>
      </c>
      <c r="N3217" s="1">
        <v>2.1423263182750896</v>
      </c>
    </row>
    <row r="3218" spans="11:14">
      <c r="K3218" s="1473">
        <v>45275</v>
      </c>
      <c r="L3218" s="1" t="s">
        <v>2123</v>
      </c>
      <c r="M3218" s="1">
        <v>5.0788E-2</v>
      </c>
      <c r="N3218" s="1">
        <v>2.1434143629656153</v>
      </c>
    </row>
    <row r="3219" spans="11:14">
      <c r="K3219" s="1473">
        <v>45276</v>
      </c>
      <c r="M3219" s="1">
        <v>0</v>
      </c>
      <c r="N3219" s="1">
        <v>2.1434143629656153</v>
      </c>
    </row>
    <row r="3220" spans="11:14">
      <c r="K3220" s="1473">
        <v>45277</v>
      </c>
      <c r="M3220" s="1">
        <v>0</v>
      </c>
      <c r="N3220" s="1">
        <v>2.1434143629656153</v>
      </c>
    </row>
    <row r="3221" spans="11:14">
      <c r="K3221" s="1473">
        <v>45278</v>
      </c>
      <c r="L3221" s="1" t="s">
        <v>2123</v>
      </c>
      <c r="M3221" s="1">
        <v>5.0788E-2</v>
      </c>
      <c r="N3221" s="1">
        <v>2.1445029602522783</v>
      </c>
    </row>
    <row r="3222" spans="11:14">
      <c r="K3222" s="1473">
        <v>45279</v>
      </c>
      <c r="L3222" s="1" t="s">
        <v>2123</v>
      </c>
      <c r="M3222" s="1">
        <v>5.0788E-2</v>
      </c>
      <c r="N3222" s="1">
        <v>2.1455921104157314</v>
      </c>
    </row>
    <row r="3223" spans="11:14">
      <c r="K3223" s="1473">
        <v>45280</v>
      </c>
      <c r="L3223" s="1" t="s">
        <v>2123</v>
      </c>
      <c r="M3223" s="1">
        <v>5.0788E-2</v>
      </c>
      <c r="N3223" s="1">
        <v>2.1466818137367696</v>
      </c>
    </row>
    <row r="3224" spans="11:14">
      <c r="K3224" s="1473">
        <v>45281</v>
      </c>
      <c r="L3224" s="1" t="s">
        <v>2123</v>
      </c>
      <c r="M3224" s="1">
        <v>5.0788E-2</v>
      </c>
      <c r="N3224" s="1">
        <v>2.1477720704963303</v>
      </c>
    </row>
    <row r="3225" spans="11:14">
      <c r="K3225" s="1473">
        <v>45282</v>
      </c>
      <c r="L3225" s="1" t="s">
        <v>2123</v>
      </c>
      <c r="M3225" s="1">
        <v>5.0788E-2</v>
      </c>
      <c r="N3225" s="1">
        <v>2.1488628809754942</v>
      </c>
    </row>
    <row r="3226" spans="11:14">
      <c r="K3226" s="1473">
        <v>45283</v>
      </c>
      <c r="M3226" s="1">
        <v>0</v>
      </c>
      <c r="N3226" s="1">
        <v>2.1488628809754942</v>
      </c>
    </row>
    <row r="3227" spans="11:14">
      <c r="K3227" s="1473">
        <v>45284</v>
      </c>
      <c r="M3227" s="1">
        <v>0</v>
      </c>
      <c r="N3227" s="1">
        <v>2.1488628809754942</v>
      </c>
    </row>
    <row r="3228" spans="11:14">
      <c r="K3228" s="1473">
        <v>45285</v>
      </c>
      <c r="M3228" s="1">
        <v>0</v>
      </c>
      <c r="N3228" s="1">
        <v>2.1488628809754942</v>
      </c>
    </row>
    <row r="3229" spans="11:14">
      <c r="K3229" s="1473">
        <v>45286</v>
      </c>
      <c r="L3229" s="1" t="s">
        <v>2123</v>
      </c>
      <c r="M3229" s="1">
        <v>5.0788E-2</v>
      </c>
      <c r="N3229" s="1">
        <v>2.1499542454554841</v>
      </c>
    </row>
    <row r="3230" spans="11:14">
      <c r="K3230" s="1473">
        <v>45287</v>
      </c>
      <c r="L3230" s="1" t="s">
        <v>2123</v>
      </c>
      <c r="M3230" s="1">
        <v>5.0788E-2</v>
      </c>
      <c r="N3230" s="1">
        <v>2.1510461642176661</v>
      </c>
    </row>
    <row r="3231" spans="11:14">
      <c r="K3231" s="1473">
        <v>45288</v>
      </c>
      <c r="L3231" s="1" t="s">
        <v>2123</v>
      </c>
      <c r="M3231" s="1">
        <v>5.0788E-2</v>
      </c>
      <c r="N3231" s="1">
        <v>2.1521386375435489</v>
      </c>
    </row>
    <row r="3232" spans="11:14">
      <c r="K3232" s="1473">
        <v>45289</v>
      </c>
      <c r="L3232" s="1" t="s">
        <v>2123</v>
      </c>
      <c r="M3232" s="1">
        <v>5.0788E-2</v>
      </c>
      <c r="N3232" s="1">
        <v>2.1532316657147845</v>
      </c>
    </row>
    <row r="3233" spans="11:14">
      <c r="K3233" s="1473">
        <v>45290</v>
      </c>
      <c r="M3233" s="1">
        <v>0</v>
      </c>
      <c r="N3233" s="1">
        <v>2.1532316657147845</v>
      </c>
    </row>
    <row r="3234" spans="11:14">
      <c r="K3234" s="1473">
        <v>45291</v>
      </c>
      <c r="M3234" s="1">
        <v>0</v>
      </c>
      <c r="N3234" s="1">
        <v>2.1532316657147845</v>
      </c>
    </row>
    <row r="3235" spans="11:14">
      <c r="K3235" s="1473">
        <v>45292</v>
      </c>
      <c r="M3235" s="1">
        <v>0</v>
      </c>
      <c r="N3235" s="1">
        <v>2.1532316657147845</v>
      </c>
    </row>
    <row r="3236" spans="11:14">
      <c r="K3236" s="1473">
        <v>45293</v>
      </c>
      <c r="L3236" s="1" t="s">
        <v>2123</v>
      </c>
      <c r="M3236" s="1">
        <v>5.0788E-2</v>
      </c>
      <c r="N3236" s="1">
        <v>2.1543252490131679</v>
      </c>
    </row>
    <row r="3237" spans="11:14">
      <c r="K3237" s="1473">
        <v>45294</v>
      </c>
      <c r="L3237" s="1" t="s">
        <v>2123</v>
      </c>
      <c r="M3237" s="1">
        <v>5.0788E-2</v>
      </c>
      <c r="N3237" s="1">
        <v>2.1554193877206367</v>
      </c>
    </row>
    <row r="3238" spans="11:14">
      <c r="K3238" s="1473">
        <v>45295</v>
      </c>
      <c r="L3238" s="1" t="s">
        <v>2123</v>
      </c>
      <c r="M3238" s="1">
        <v>5.0788E-2</v>
      </c>
      <c r="N3238" s="1">
        <v>2.1565140821192723</v>
      </c>
    </row>
    <row r="3239" spans="11:14">
      <c r="K3239" s="1473">
        <v>45296</v>
      </c>
      <c r="L3239" s="1" t="s">
        <v>2123</v>
      </c>
      <c r="M3239" s="1">
        <v>5.0788E-2</v>
      </c>
      <c r="N3239" s="1">
        <v>2.1576093324912993</v>
      </c>
    </row>
    <row r="3240" spans="11:14">
      <c r="K3240" s="1473">
        <v>45297</v>
      </c>
      <c r="M3240" s="1">
        <v>0</v>
      </c>
      <c r="N3240" s="1">
        <v>2.1576093324912993</v>
      </c>
    </row>
    <row r="3241" spans="11:14">
      <c r="K3241" s="1473">
        <v>45298</v>
      </c>
      <c r="M3241" s="1">
        <v>0</v>
      </c>
      <c r="N3241" s="1">
        <v>2.1576093324912993</v>
      </c>
    </row>
    <row r="3242" spans="11:14">
      <c r="K3242" s="1473">
        <v>45299</v>
      </c>
      <c r="L3242" s="1" t="s">
        <v>2123</v>
      </c>
      <c r="M3242" s="1">
        <v>5.0788E-2</v>
      </c>
      <c r="N3242" s="1">
        <v>2.158705139119085</v>
      </c>
    </row>
    <row r="3243" spans="11:14">
      <c r="K3243" s="1473">
        <v>45300</v>
      </c>
      <c r="L3243" s="1" t="s">
        <v>2123</v>
      </c>
      <c r="M3243" s="1">
        <v>5.0788E-2</v>
      </c>
      <c r="N3243" s="1">
        <v>2.1598015022851409</v>
      </c>
    </row>
    <row r="3244" spans="11:14">
      <c r="K3244" s="1473">
        <v>45301</v>
      </c>
      <c r="L3244" s="1" t="s">
        <v>2123</v>
      </c>
      <c r="M3244" s="1">
        <v>5.0788E-2</v>
      </c>
      <c r="N3244" s="1">
        <v>2.1608984222721217</v>
      </c>
    </row>
    <row r="3245" spans="11:14">
      <c r="K3245" s="1473">
        <v>45302</v>
      </c>
      <c r="L3245" s="1" t="s">
        <v>2123</v>
      </c>
      <c r="M3245" s="1">
        <v>5.0788E-2</v>
      </c>
      <c r="N3245" s="1">
        <v>2.1619958993628252</v>
      </c>
    </row>
    <row r="3246" spans="11:14">
      <c r="K3246" s="1473">
        <v>45303</v>
      </c>
      <c r="L3246" s="1" t="s">
        <v>2123</v>
      </c>
      <c r="M3246" s="1">
        <v>5.0788E-2</v>
      </c>
      <c r="N3246" s="1">
        <v>2.1630939338401936</v>
      </c>
    </row>
    <row r="3247" spans="11:14">
      <c r="K3247" s="1473">
        <v>45304</v>
      </c>
      <c r="M3247" s="1">
        <v>0</v>
      </c>
      <c r="N3247" s="1">
        <v>2.1630939338401936</v>
      </c>
    </row>
    <row r="3248" spans="11:14">
      <c r="K3248" s="1473">
        <v>45305</v>
      </c>
      <c r="M3248" s="1">
        <v>0</v>
      </c>
      <c r="N3248" s="1">
        <v>2.1630939338401936</v>
      </c>
    </row>
    <row r="3249" spans="11:14">
      <c r="K3249" s="1473">
        <v>45306</v>
      </c>
      <c r="L3249" s="1" t="s">
        <v>2123</v>
      </c>
      <c r="M3249" s="1">
        <v>5.0788E-2</v>
      </c>
      <c r="N3249" s="1">
        <v>2.1641925259873123</v>
      </c>
    </row>
    <row r="3250" spans="11:14">
      <c r="K3250" s="1473">
        <v>45307</v>
      </c>
      <c r="L3250" s="1" t="s">
        <v>2123</v>
      </c>
      <c r="M3250" s="1">
        <v>5.0788E-2</v>
      </c>
      <c r="N3250" s="1">
        <v>2.1652916760874108</v>
      </c>
    </row>
    <row r="3251" spans="11:14">
      <c r="K3251" s="1473">
        <v>45308</v>
      </c>
      <c r="L3251" s="1" t="s">
        <v>2123</v>
      </c>
      <c r="M3251" s="1">
        <v>5.0788E-2</v>
      </c>
      <c r="N3251" s="1">
        <v>2.166391384423862</v>
      </c>
    </row>
    <row r="3252" spans="11:14">
      <c r="K3252" s="1473">
        <v>45309</v>
      </c>
      <c r="L3252" s="1" t="s">
        <v>2123</v>
      </c>
      <c r="M3252" s="1">
        <v>5.0788E-2</v>
      </c>
      <c r="N3252" s="1">
        <v>2.1674916512801832</v>
      </c>
    </row>
    <row r="3253" spans="11:14">
      <c r="K3253" s="1473">
        <v>45310</v>
      </c>
      <c r="L3253" s="1" t="s">
        <v>2123</v>
      </c>
      <c r="M3253" s="1">
        <v>5.0788E-2</v>
      </c>
      <c r="N3253" s="1">
        <v>2.1685924769400353</v>
      </c>
    </row>
    <row r="3254" spans="11:14">
      <c r="K3254" s="1473">
        <v>45311</v>
      </c>
      <c r="M3254" s="1">
        <v>0</v>
      </c>
      <c r="N3254" s="1">
        <v>2.1685924769400353</v>
      </c>
    </row>
    <row r="3255" spans="11:14">
      <c r="K3255" s="1473">
        <v>45312</v>
      </c>
      <c r="M3255" s="1">
        <v>0</v>
      </c>
      <c r="N3255" s="1">
        <v>2.1685924769400353</v>
      </c>
    </row>
    <row r="3256" spans="11:14">
      <c r="K3256" s="1473">
        <v>45313</v>
      </c>
      <c r="L3256" s="1" t="s">
        <v>2123</v>
      </c>
      <c r="M3256" s="1">
        <v>5.0788E-2</v>
      </c>
      <c r="N3256" s="1">
        <v>2.1696938616872234</v>
      </c>
    </row>
    <row r="3257" spans="11:14">
      <c r="K3257" s="1473">
        <v>45314</v>
      </c>
      <c r="L3257" s="1" t="s">
        <v>2123</v>
      </c>
      <c r="M3257" s="1">
        <v>5.0788E-2</v>
      </c>
      <c r="N3257" s="1">
        <v>2.1707958058056973</v>
      </c>
    </row>
    <row r="3258" spans="11:14">
      <c r="K3258" s="1473">
        <v>45315</v>
      </c>
      <c r="L3258" s="1" t="s">
        <v>2123</v>
      </c>
      <c r="M3258" s="1">
        <v>5.0788E-2</v>
      </c>
      <c r="N3258" s="1">
        <v>2.1718983095795501</v>
      </c>
    </row>
    <row r="3259" spans="11:14">
      <c r="K3259" s="1473">
        <v>45316</v>
      </c>
      <c r="L3259" s="1" t="s">
        <v>2123</v>
      </c>
      <c r="M3259" s="1">
        <v>5.0788E-2</v>
      </c>
      <c r="N3259" s="1">
        <v>2.1730013732930193</v>
      </c>
    </row>
    <row r="3260" spans="11:14">
      <c r="K3260" s="1473">
        <v>45317</v>
      </c>
      <c r="L3260" s="1" t="s">
        <v>2123</v>
      </c>
      <c r="M3260" s="1">
        <v>5.0788E-2</v>
      </c>
      <c r="N3260" s="1">
        <v>2.1741049972304873</v>
      </c>
    </row>
    <row r="3261" spans="11:14">
      <c r="K3261" s="1473">
        <v>45318</v>
      </c>
      <c r="M3261" s="1">
        <v>0</v>
      </c>
      <c r="N3261" s="1">
        <v>2.1741049972304873</v>
      </c>
    </row>
    <row r="3262" spans="11:14">
      <c r="K3262" s="1473">
        <v>45319</v>
      </c>
      <c r="M3262" s="1">
        <v>0</v>
      </c>
      <c r="N3262" s="1">
        <v>2.1741049972304873</v>
      </c>
    </row>
    <row r="3263" spans="11:14">
      <c r="K3263" s="1473">
        <v>45320</v>
      </c>
      <c r="L3263" s="1" t="s">
        <v>2123</v>
      </c>
      <c r="M3263" s="1">
        <v>5.0788E-2</v>
      </c>
      <c r="N3263" s="1">
        <v>2.1752091816764807</v>
      </c>
    </row>
    <row r="3264" spans="11:14">
      <c r="K3264" s="1473">
        <v>45321</v>
      </c>
      <c r="L3264" s="1" t="s">
        <v>2123</v>
      </c>
      <c r="M3264" s="1">
        <v>5.0788E-2</v>
      </c>
      <c r="N3264" s="1">
        <v>2.1763139269156704</v>
      </c>
    </row>
    <row r="3265" spans="11:14">
      <c r="K3265" s="1473">
        <v>45322</v>
      </c>
      <c r="L3265" s="1" t="s">
        <v>2123</v>
      </c>
      <c r="M3265" s="1">
        <v>5.0788E-2</v>
      </c>
      <c r="N3265" s="1">
        <v>2.1774192332328726</v>
      </c>
    </row>
    <row r="3266" spans="11:14">
      <c r="K3266" s="1473">
        <v>45323</v>
      </c>
      <c r="L3266" s="1" t="s">
        <v>2123</v>
      </c>
      <c r="M3266" s="1">
        <v>5.0788E-2</v>
      </c>
      <c r="N3266" s="1">
        <v>2.1785251009130469</v>
      </c>
    </row>
    <row r="3267" spans="11:14">
      <c r="K3267" s="1473">
        <v>45324</v>
      </c>
      <c r="L3267" s="1" t="s">
        <v>2123</v>
      </c>
      <c r="M3267" s="1">
        <v>5.0788E-2</v>
      </c>
      <c r="N3267" s="1">
        <v>2.1796315302412985</v>
      </c>
    </row>
    <row r="3268" spans="11:14">
      <c r="K3268" s="1473">
        <v>45325</v>
      </c>
      <c r="M3268" s="1">
        <v>0</v>
      </c>
      <c r="N3268" s="1">
        <v>2.1796315302412985</v>
      </c>
    </row>
    <row r="3269" spans="11:14">
      <c r="K3269" s="1473">
        <v>45326</v>
      </c>
      <c r="M3269" s="1">
        <v>0</v>
      </c>
      <c r="N3269" s="1">
        <v>2.1796315302412985</v>
      </c>
    </row>
    <row r="3270" spans="11:14">
      <c r="K3270" s="1473">
        <v>45327</v>
      </c>
      <c r="L3270" s="1" t="s">
        <v>2123</v>
      </c>
      <c r="M3270" s="1">
        <v>5.0788E-2</v>
      </c>
      <c r="N3270" s="1">
        <v>2.1807385215028776</v>
      </c>
    </row>
    <row r="3271" spans="11:14">
      <c r="K3271" s="1473">
        <v>45328</v>
      </c>
      <c r="L3271" s="1" t="s">
        <v>2123</v>
      </c>
      <c r="M3271" s="1">
        <v>5.0788E-2</v>
      </c>
      <c r="N3271" s="1">
        <v>2.1818460749831785</v>
      </c>
    </row>
    <row r="3272" spans="11:14">
      <c r="K3272" s="1473">
        <v>45329</v>
      </c>
      <c r="L3272" s="1" t="s">
        <v>2123</v>
      </c>
      <c r="M3272" s="1">
        <v>5.0788E-2</v>
      </c>
      <c r="N3272" s="1">
        <v>2.1829541909677408</v>
      </c>
    </row>
    <row r="3273" spans="11:14">
      <c r="K3273" s="1473">
        <v>45330</v>
      </c>
      <c r="L3273" s="1" t="s">
        <v>2123</v>
      </c>
      <c r="M3273" s="1">
        <v>5.0788E-2</v>
      </c>
      <c r="N3273" s="1">
        <v>2.1840628697422497</v>
      </c>
    </row>
    <row r="3274" spans="11:14">
      <c r="K3274" s="1473">
        <v>45331</v>
      </c>
      <c r="L3274" s="1" t="s">
        <v>2123</v>
      </c>
      <c r="M3274" s="1">
        <v>5.0788E-2</v>
      </c>
      <c r="N3274" s="1">
        <v>2.1851721115925344</v>
      </c>
    </row>
    <row r="3275" spans="11:14">
      <c r="K3275" s="1473">
        <v>45332</v>
      </c>
      <c r="M3275" s="1">
        <v>0</v>
      </c>
      <c r="N3275" s="1">
        <v>2.1851721115925344</v>
      </c>
    </row>
    <row r="3276" spans="11:14">
      <c r="K3276" s="1473">
        <v>45333</v>
      </c>
      <c r="M3276" s="1">
        <v>0</v>
      </c>
      <c r="N3276" s="1">
        <v>2.1851721115925344</v>
      </c>
    </row>
    <row r="3277" spans="11:14">
      <c r="K3277" s="1473">
        <v>45334</v>
      </c>
      <c r="M3277" s="1">
        <v>0</v>
      </c>
      <c r="N3277" s="1">
        <v>2.1851721115925344</v>
      </c>
    </row>
    <row r="3278" spans="11:14">
      <c r="K3278" s="1473">
        <v>45335</v>
      </c>
      <c r="M3278" s="1">
        <v>0</v>
      </c>
      <c r="N3278" s="1">
        <v>2.1851721115925344</v>
      </c>
    </row>
    <row r="3279" spans="11:14">
      <c r="K3279" s="1473">
        <v>45336</v>
      </c>
      <c r="L3279" s="1" t="s">
        <v>2123</v>
      </c>
      <c r="M3279" s="1">
        <v>5.0788E-2</v>
      </c>
      <c r="N3279" s="1">
        <v>2.1862819168045702</v>
      </c>
    </row>
    <row r="3280" spans="11:14">
      <c r="K3280" s="1473">
        <v>45337</v>
      </c>
      <c r="L3280" s="1" t="s">
        <v>2123</v>
      </c>
      <c r="M3280" s="1">
        <v>5.0788E-2</v>
      </c>
      <c r="N3280" s="1">
        <v>2.187392285664477</v>
      </c>
    </row>
    <row r="3281" spans="11:14">
      <c r="K3281" s="1473">
        <v>45338</v>
      </c>
      <c r="L3281" s="1" t="s">
        <v>2123</v>
      </c>
      <c r="M3281" s="1">
        <v>5.0788E-2</v>
      </c>
      <c r="N3281" s="1">
        <v>2.1885032184585205</v>
      </c>
    </row>
    <row r="3282" spans="11:14">
      <c r="K3282" s="1473">
        <v>45339</v>
      </c>
      <c r="M3282" s="1">
        <v>0</v>
      </c>
      <c r="N3282" s="1">
        <v>2.1885032184585205</v>
      </c>
    </row>
    <row r="3283" spans="11:14">
      <c r="K3283" s="1473">
        <v>45340</v>
      </c>
      <c r="M3283" s="1">
        <v>0</v>
      </c>
      <c r="N3283" s="1">
        <v>2.1885032184585205</v>
      </c>
    </row>
    <row r="3284" spans="11:14">
      <c r="K3284" s="1473">
        <v>45341</v>
      </c>
      <c r="L3284" s="1" t="s">
        <v>2123</v>
      </c>
      <c r="M3284" s="1">
        <v>5.0788E-2</v>
      </c>
      <c r="N3284" s="1">
        <v>2.1896147154731112</v>
      </c>
    </row>
    <row r="3285" spans="11:14">
      <c r="K3285" s="1473">
        <v>45342</v>
      </c>
      <c r="L3285" s="1" t="s">
        <v>2123</v>
      </c>
      <c r="M3285" s="1">
        <v>5.0788E-2</v>
      </c>
      <c r="N3285" s="1">
        <v>2.1907267769948056</v>
      </c>
    </row>
    <row r="3286" spans="11:14">
      <c r="K3286" s="1473">
        <v>45343</v>
      </c>
      <c r="L3286" s="1" t="s">
        <v>2123</v>
      </c>
      <c r="M3286" s="1">
        <v>5.0788E-2</v>
      </c>
      <c r="N3286" s="1">
        <v>2.1918394033103059</v>
      </c>
    </row>
    <row r="3287" spans="11:14">
      <c r="K3287" s="1473">
        <v>45344</v>
      </c>
      <c r="L3287" s="1" t="s">
        <v>2123</v>
      </c>
      <c r="M3287" s="1">
        <v>5.0788E-2</v>
      </c>
      <c r="N3287" s="1">
        <v>2.1929525947064592</v>
      </c>
    </row>
    <row r="3288" spans="11:14">
      <c r="K3288" s="1473">
        <v>45345</v>
      </c>
      <c r="L3288" s="1" t="s">
        <v>2123</v>
      </c>
      <c r="M3288" s="1">
        <v>5.0788E-2</v>
      </c>
      <c r="N3288" s="1">
        <v>2.194066351470259</v>
      </c>
    </row>
    <row r="3289" spans="11:14">
      <c r="K3289" s="1473">
        <v>45346</v>
      </c>
      <c r="M3289" s="1">
        <v>0</v>
      </c>
      <c r="N3289" s="1">
        <v>2.194066351470259</v>
      </c>
    </row>
    <row r="3290" spans="11:14">
      <c r="K3290" s="1473">
        <v>45347</v>
      </c>
      <c r="M3290" s="1">
        <v>0</v>
      </c>
      <c r="N3290" s="1">
        <v>2.194066351470259</v>
      </c>
    </row>
    <row r="3291" spans="11:14">
      <c r="K3291" s="1473">
        <v>45348</v>
      </c>
      <c r="L3291" s="1" t="s">
        <v>2123</v>
      </c>
      <c r="M3291" s="1">
        <v>5.0788E-2</v>
      </c>
      <c r="N3291" s="1">
        <v>2.1951806738888435</v>
      </c>
    </row>
    <row r="3292" spans="11:14">
      <c r="K3292" s="1473">
        <v>45349</v>
      </c>
      <c r="L3292" s="1" t="s">
        <v>2123</v>
      </c>
      <c r="M3292" s="1">
        <v>5.0788E-2</v>
      </c>
      <c r="N3292" s="1">
        <v>2.1962955622494982</v>
      </c>
    </row>
    <row r="3293" spans="11:14">
      <c r="K3293" s="1473">
        <v>45350</v>
      </c>
      <c r="L3293" s="1" t="s">
        <v>2123</v>
      </c>
      <c r="M3293" s="1">
        <v>5.0788E-2</v>
      </c>
      <c r="N3293" s="1">
        <v>2.1974110168396535</v>
      </c>
    </row>
    <row r="3294" spans="11:14">
      <c r="K3294" s="1473">
        <v>45351</v>
      </c>
      <c r="L3294" s="1" t="s">
        <v>2123</v>
      </c>
      <c r="M3294" s="1">
        <v>5.0788E-2</v>
      </c>
      <c r="N3294" s="1">
        <v>2.198527037946886</v>
      </c>
    </row>
    <row r="3295" spans="11:14">
      <c r="K3295" s="1473">
        <v>45352</v>
      </c>
      <c r="L3295" s="1" t="s">
        <v>2123</v>
      </c>
      <c r="M3295" s="1">
        <v>5.0788E-2</v>
      </c>
      <c r="N3295" s="1">
        <v>2.1996436258589185</v>
      </c>
    </row>
    <row r="3296" spans="11:14">
      <c r="K3296" s="1473">
        <v>45353</v>
      </c>
      <c r="M3296" s="1">
        <v>0</v>
      </c>
      <c r="N3296" s="1">
        <v>2.1996436258589185</v>
      </c>
    </row>
    <row r="3297" spans="11:14">
      <c r="K3297" s="1473">
        <v>45354</v>
      </c>
      <c r="M3297" s="1">
        <v>0</v>
      </c>
      <c r="N3297" s="1">
        <v>2.1996436258589185</v>
      </c>
    </row>
    <row r="3298" spans="11:14">
      <c r="K3298" s="1473">
        <v>45355</v>
      </c>
      <c r="L3298" s="1" t="s">
        <v>2123</v>
      </c>
      <c r="M3298" s="1">
        <v>5.0788E-2</v>
      </c>
      <c r="N3298" s="1">
        <v>2.2007607808636198</v>
      </c>
    </row>
    <row r="3299" spans="11:14">
      <c r="K3299" s="1473">
        <v>45356</v>
      </c>
      <c r="L3299" s="1" t="s">
        <v>2123</v>
      </c>
      <c r="M3299" s="1">
        <v>5.0788E-2</v>
      </c>
      <c r="N3299" s="1">
        <v>2.2018785032490049</v>
      </c>
    </row>
    <row r="3300" spans="11:14">
      <c r="K3300" s="1473">
        <v>45357</v>
      </c>
      <c r="L3300" s="1" t="s">
        <v>2123</v>
      </c>
      <c r="M3300" s="1">
        <v>5.0788E-2</v>
      </c>
      <c r="N3300" s="1">
        <v>2.2029967933032348</v>
      </c>
    </row>
    <row r="3301" spans="11:14">
      <c r="K3301" s="1473">
        <v>45358</v>
      </c>
      <c r="L3301" s="1" t="s">
        <v>2123</v>
      </c>
      <c r="M3301" s="1">
        <v>5.0788E-2</v>
      </c>
      <c r="N3301" s="1">
        <v>2.2041156513146176</v>
      </c>
    </row>
    <row r="3302" spans="11:14">
      <c r="K3302" s="1473">
        <v>45359</v>
      </c>
      <c r="L3302" s="1" t="s">
        <v>2123</v>
      </c>
      <c r="M3302" s="1">
        <v>5.0788E-2</v>
      </c>
      <c r="N3302" s="1">
        <v>2.2052350775716074</v>
      </c>
    </row>
    <row r="3303" spans="11:14">
      <c r="K3303" s="1473">
        <v>45360</v>
      </c>
      <c r="M3303" s="1">
        <v>0</v>
      </c>
      <c r="N3303" s="1">
        <v>2.2052350775716074</v>
      </c>
    </row>
    <row r="3304" spans="11:14">
      <c r="K3304" s="1473">
        <v>45361</v>
      </c>
      <c r="M3304" s="1">
        <v>0</v>
      </c>
      <c r="N3304" s="1">
        <v>2.2052350775716074</v>
      </c>
    </row>
    <row r="3305" spans="11:14">
      <c r="K3305" s="1473">
        <v>45362</v>
      </c>
      <c r="L3305" s="1" t="s">
        <v>2123</v>
      </c>
      <c r="M3305" s="1">
        <v>5.0788E-2</v>
      </c>
      <c r="N3305" s="1">
        <v>2.2063550723628045</v>
      </c>
    </row>
    <row r="3306" spans="11:14">
      <c r="K3306" s="1473">
        <v>45363</v>
      </c>
      <c r="L3306" s="1" t="s">
        <v>2123</v>
      </c>
      <c r="M3306" s="1">
        <v>5.0788E-2</v>
      </c>
      <c r="N3306" s="1">
        <v>2.2074756359769561</v>
      </c>
    </row>
    <row r="3307" spans="11:14">
      <c r="K3307" s="1473">
        <v>45364</v>
      </c>
      <c r="L3307" s="1" t="s">
        <v>2123</v>
      </c>
      <c r="M3307" s="1">
        <v>5.0788E-2</v>
      </c>
      <c r="N3307" s="1">
        <v>2.208596768702956</v>
      </c>
    </row>
    <row r="3308" spans="11:14">
      <c r="K3308" s="1473">
        <v>45365</v>
      </c>
      <c r="L3308" s="1" t="s">
        <v>2123</v>
      </c>
      <c r="M3308" s="1">
        <v>5.0788E-2</v>
      </c>
      <c r="N3308" s="1">
        <v>2.209718470829845</v>
      </c>
    </row>
    <row r="3309" spans="11:14">
      <c r="K3309" s="1473">
        <v>45366</v>
      </c>
      <c r="L3309" s="1" t="s">
        <v>2123</v>
      </c>
      <c r="M3309" s="1">
        <v>5.0788E-2</v>
      </c>
      <c r="N3309" s="1">
        <v>2.21084074264681</v>
      </c>
    </row>
    <row r="3310" spans="11:14">
      <c r="K3310" s="1473">
        <v>45367</v>
      </c>
      <c r="M3310" s="1">
        <v>0</v>
      </c>
      <c r="N3310" s="1">
        <v>2.21084074264681</v>
      </c>
    </row>
    <row r="3311" spans="11:14">
      <c r="K3311" s="1473">
        <v>45368</v>
      </c>
      <c r="M3311" s="1">
        <v>0</v>
      </c>
      <c r="N3311" s="1">
        <v>2.21084074264681</v>
      </c>
    </row>
    <row r="3312" spans="11:14">
      <c r="K3312" s="1473">
        <v>45369</v>
      </c>
      <c r="L3312" s="1" t="s">
        <v>2123</v>
      </c>
      <c r="M3312" s="1">
        <v>5.0788E-2</v>
      </c>
      <c r="N3312" s="1">
        <v>2.2119635844431853</v>
      </c>
    </row>
    <row r="3313" spans="11:14">
      <c r="K3313" s="1473">
        <v>45370</v>
      </c>
      <c r="L3313" s="1" t="s">
        <v>2123</v>
      </c>
      <c r="M3313" s="1">
        <v>5.0788E-2</v>
      </c>
      <c r="N3313" s="1">
        <v>2.2130869965084523</v>
      </c>
    </row>
    <row r="3314" spans="11:14">
      <c r="K3314" s="1473">
        <v>45371</v>
      </c>
      <c r="L3314" s="1" t="s">
        <v>2123</v>
      </c>
      <c r="M3314" s="1">
        <v>5.0788E-2</v>
      </c>
      <c r="N3314" s="1">
        <v>2.2142109791322389</v>
      </c>
    </row>
    <row r="3315" spans="11:14">
      <c r="K3315" s="1473">
        <v>45372</v>
      </c>
      <c r="L3315" s="1" t="s">
        <v>2123</v>
      </c>
      <c r="M3315" s="1">
        <v>5.0788E-2</v>
      </c>
      <c r="N3315" s="1">
        <v>2.2153355326043207</v>
      </c>
    </row>
    <row r="3316" spans="11:14">
      <c r="K3316" s="1473">
        <v>45373</v>
      </c>
      <c r="L3316" s="1" t="s">
        <v>2123</v>
      </c>
      <c r="M3316" s="1">
        <v>5.0788E-2</v>
      </c>
      <c r="N3316" s="1">
        <v>2.2164606572146197</v>
      </c>
    </row>
    <row r="3317" spans="11:14">
      <c r="K3317" s="1473"/>
    </row>
    <row r="3318" spans="11:14">
      <c r="K3318" s="1473"/>
    </row>
    <row r="3319" spans="11:14">
      <c r="K3319" s="1473"/>
    </row>
    <row r="3320" spans="11:14">
      <c r="K3320" s="1473"/>
    </row>
    <row r="3321" spans="11:14">
      <c r="K3321" s="1473"/>
    </row>
    <row r="3322" spans="11:14">
      <c r="K3322" s="1473"/>
    </row>
    <row r="3323" spans="11:14">
      <c r="K3323" s="1473"/>
    </row>
    <row r="3324" spans="11:14">
      <c r="K3324" s="1473"/>
    </row>
    <row r="3325" spans="11:14">
      <c r="K3325" s="1473"/>
    </row>
    <row r="3326" spans="11:14">
      <c r="K3326" s="1473"/>
    </row>
    <row r="3327" spans="11:14">
      <c r="K3327" s="1473"/>
    </row>
    <row r="3328" spans="11:14">
      <c r="K3328" s="1473"/>
    </row>
    <row r="3329" spans="11:11">
      <c r="K3329" s="1473"/>
    </row>
    <row r="3330" spans="11:11">
      <c r="K3330" s="1473"/>
    </row>
    <row r="3331" spans="11:11">
      <c r="K3331" s="1473"/>
    </row>
    <row r="3332" spans="11:11">
      <c r="K3332" s="1473"/>
    </row>
    <row r="3333" spans="11:11">
      <c r="K3333" s="1473"/>
    </row>
    <row r="3334" spans="11:11">
      <c r="K3334" s="1473"/>
    </row>
    <row r="3335" spans="11:11">
      <c r="K3335" s="1473"/>
    </row>
    <row r="3336" spans="11:11">
      <c r="K3336" s="1473"/>
    </row>
    <row r="3337" spans="11:11">
      <c r="K3337" s="1473"/>
    </row>
    <row r="3338" spans="11:11">
      <c r="K3338" s="1473"/>
    </row>
    <row r="3339" spans="11:11">
      <c r="K3339" s="1473"/>
    </row>
    <row r="3340" spans="11:11">
      <c r="K3340" s="1473"/>
    </row>
    <row r="3341" spans="11:11">
      <c r="K3341" s="1473"/>
    </row>
    <row r="3342" spans="11:11">
      <c r="K3342" s="1473"/>
    </row>
    <row r="3343" spans="11:11">
      <c r="K3343" s="1473"/>
    </row>
    <row r="3344" spans="11:11">
      <c r="K3344" s="1473"/>
    </row>
    <row r="3345" spans="11:11">
      <c r="K3345" s="1473"/>
    </row>
    <row r="3346" spans="11:11">
      <c r="K3346" s="1473"/>
    </row>
    <row r="3347" spans="11:11">
      <c r="K3347" s="1473"/>
    </row>
    <row r="3348" spans="11:11">
      <c r="K3348" s="1473"/>
    </row>
    <row r="3349" spans="11:11">
      <c r="K3349" s="1473"/>
    </row>
    <row r="3350" spans="11:11">
      <c r="K3350" s="1473"/>
    </row>
    <row r="3351" spans="11:11">
      <c r="K3351" s="1473"/>
    </row>
    <row r="3352" spans="11:11">
      <c r="K3352" s="1473"/>
    </row>
    <row r="3353" spans="11:11">
      <c r="K3353" s="1473"/>
    </row>
    <row r="3354" spans="11:11">
      <c r="K3354" s="1473"/>
    </row>
    <row r="3355" spans="11:11">
      <c r="K3355" s="1473"/>
    </row>
    <row r="3356" spans="11:11">
      <c r="K3356" s="1473"/>
    </row>
    <row r="3357" spans="11:11">
      <c r="K3357" s="1473"/>
    </row>
    <row r="3358" spans="11:11">
      <c r="K3358" s="1473"/>
    </row>
    <row r="3359" spans="11:11">
      <c r="K3359" s="1473"/>
    </row>
    <row r="3360" spans="11:11">
      <c r="K3360" s="1473"/>
    </row>
    <row r="3361" spans="11:11">
      <c r="K3361" s="1473"/>
    </row>
    <row r="3362" spans="11:11">
      <c r="K3362" s="1473"/>
    </row>
    <row r="3363" spans="11:11">
      <c r="K3363" s="1473"/>
    </row>
    <row r="3364" spans="11:11">
      <c r="K3364" s="1473"/>
    </row>
    <row r="3365" spans="11:11">
      <c r="K3365" s="1473"/>
    </row>
    <row r="3366" spans="11:11">
      <c r="K3366" s="1473"/>
    </row>
    <row r="3367" spans="11:11">
      <c r="K3367" s="1473"/>
    </row>
    <row r="3368" spans="11:11">
      <c r="K3368" s="1473"/>
    </row>
    <row r="3369" spans="11:11">
      <c r="K3369" s="1473"/>
    </row>
    <row r="3370" spans="11:11">
      <c r="K3370" s="1473"/>
    </row>
    <row r="3371" spans="11:11">
      <c r="K3371" s="1473"/>
    </row>
    <row r="3372" spans="11:11">
      <c r="K3372" s="1473"/>
    </row>
    <row r="3373" spans="11:11">
      <c r="K3373" s="1473"/>
    </row>
    <row r="3374" spans="11:11">
      <c r="K3374" s="1473"/>
    </row>
    <row r="3375" spans="11:11">
      <c r="K3375" s="1473"/>
    </row>
    <row r="3376" spans="11:11">
      <c r="K3376" s="1473"/>
    </row>
    <row r="3377" spans="11:11">
      <c r="K3377" s="1473"/>
    </row>
    <row r="3378" spans="11:11">
      <c r="K3378" s="1473"/>
    </row>
    <row r="3379" spans="11:11">
      <c r="K3379" s="1473"/>
    </row>
    <row r="3380" spans="11:11">
      <c r="K3380" s="1473"/>
    </row>
    <row r="3381" spans="11:11">
      <c r="K3381" s="1473"/>
    </row>
    <row r="3382" spans="11:11">
      <c r="K3382" s="1473"/>
    </row>
    <row r="3383" spans="11:11">
      <c r="K3383" s="1473"/>
    </row>
    <row r="3384" spans="11:11">
      <c r="K3384" s="1473"/>
    </row>
    <row r="3385" spans="11:11">
      <c r="K3385" s="1473"/>
    </row>
    <row r="3386" spans="11:11">
      <c r="K3386" s="1473"/>
    </row>
    <row r="3387" spans="11:11">
      <c r="K3387" s="1473"/>
    </row>
    <row r="3388" spans="11:11">
      <c r="K3388" s="1473"/>
    </row>
    <row r="3389" spans="11:11">
      <c r="K3389" s="1473"/>
    </row>
    <row r="3390" spans="11:11">
      <c r="K3390" s="1473"/>
    </row>
    <row r="3391" spans="11:11">
      <c r="K3391" s="1473"/>
    </row>
    <row r="3392" spans="11:11">
      <c r="K3392" s="1473"/>
    </row>
    <row r="3393" spans="11:11">
      <c r="K3393" s="1473"/>
    </row>
    <row r="3394" spans="11:11">
      <c r="K3394" s="1473"/>
    </row>
    <row r="3395" spans="11:11">
      <c r="K3395" s="1473"/>
    </row>
    <row r="3396" spans="11:11">
      <c r="K3396" s="1473"/>
    </row>
    <row r="3397" spans="11:11">
      <c r="K3397" s="1473"/>
    </row>
    <row r="3398" spans="11:11">
      <c r="K3398" s="1473"/>
    </row>
    <row r="3399" spans="11:11">
      <c r="K3399" s="1473"/>
    </row>
    <row r="3400" spans="11:11">
      <c r="K3400" s="1473"/>
    </row>
    <row r="3401" spans="11:11">
      <c r="K3401" s="1473"/>
    </row>
    <row r="3402" spans="11:11">
      <c r="K3402" s="1473"/>
    </row>
    <row r="3403" spans="11:11">
      <c r="K3403" s="1473"/>
    </row>
    <row r="3404" spans="11:11">
      <c r="K3404" s="1473"/>
    </row>
    <row r="3405" spans="11:11">
      <c r="K3405" s="1473"/>
    </row>
    <row r="3406" spans="11:11">
      <c r="K3406" s="1473"/>
    </row>
    <row r="3407" spans="11:11">
      <c r="K3407" s="1473"/>
    </row>
    <row r="3408" spans="11:11">
      <c r="K3408" s="1473"/>
    </row>
    <row r="3409" spans="11:11">
      <c r="K3409" s="1473"/>
    </row>
    <row r="3410" spans="11:11">
      <c r="K3410" s="1473"/>
    </row>
    <row r="3411" spans="11:11">
      <c r="K3411" s="1473"/>
    </row>
    <row r="3412" spans="11:11">
      <c r="K3412" s="1473"/>
    </row>
    <row r="3413" spans="11:11">
      <c r="K3413" s="1473"/>
    </row>
    <row r="3414" spans="11:11">
      <c r="K3414" s="1473"/>
    </row>
    <row r="3415" spans="11:11">
      <c r="K3415" s="1473"/>
    </row>
    <row r="3416" spans="11:11">
      <c r="K3416" s="1473"/>
    </row>
    <row r="3417" spans="11:11">
      <c r="K3417" s="1473"/>
    </row>
    <row r="3418" spans="11:11">
      <c r="K3418" s="1473"/>
    </row>
    <row r="3419" spans="11:11">
      <c r="K3419" s="1473"/>
    </row>
    <row r="3420" spans="11:11">
      <c r="K3420" s="1473"/>
    </row>
    <row r="3421" spans="11:11">
      <c r="K3421" s="1473"/>
    </row>
    <row r="3422" spans="11:11">
      <c r="K3422" s="1473"/>
    </row>
    <row r="3423" spans="11:11">
      <c r="K3423" s="1473"/>
    </row>
    <row r="3424" spans="11:11">
      <c r="K3424" s="1473"/>
    </row>
    <row r="3425" spans="11:11">
      <c r="K3425" s="1473"/>
    </row>
    <row r="3426" spans="11:11">
      <c r="K3426" s="1473"/>
    </row>
    <row r="3427" spans="11:11">
      <c r="K3427" s="1473"/>
    </row>
    <row r="3428" spans="11:11">
      <c r="K3428" s="1473"/>
    </row>
    <row r="3429" spans="11:11">
      <c r="K3429" s="1473"/>
    </row>
    <row r="3430" spans="11:11">
      <c r="K3430" s="1473"/>
    </row>
    <row r="3431" spans="11:11">
      <c r="K3431" s="1473"/>
    </row>
    <row r="3432" spans="11:11">
      <c r="K3432" s="1473"/>
    </row>
    <row r="3433" spans="11:11">
      <c r="K3433" s="1473"/>
    </row>
    <row r="3434" spans="11:11">
      <c r="K3434" s="1473"/>
    </row>
    <row r="3435" spans="11:11">
      <c r="K3435" s="1473"/>
    </row>
    <row r="3436" spans="11:11">
      <c r="K3436" s="1473"/>
    </row>
    <row r="3437" spans="11:11">
      <c r="K3437" s="1473"/>
    </row>
    <row r="3438" spans="11:11">
      <c r="K3438" s="1473"/>
    </row>
    <row r="3439" spans="11:11">
      <c r="K3439" s="1473"/>
    </row>
    <row r="3440" spans="11:11">
      <c r="K3440" s="1473"/>
    </row>
    <row r="3441" spans="11:11">
      <c r="K3441" s="1473"/>
    </row>
    <row r="3442" spans="11:11">
      <c r="K3442" s="1473"/>
    </row>
    <row r="3443" spans="11:11">
      <c r="K3443" s="1473"/>
    </row>
    <row r="3444" spans="11:11">
      <c r="K3444" s="1473"/>
    </row>
    <row r="3445" spans="11:11">
      <c r="K3445" s="1473"/>
    </row>
    <row r="3446" spans="11:11">
      <c r="K3446" s="1473"/>
    </row>
    <row r="3447" spans="11:11">
      <c r="K3447" s="1473"/>
    </row>
    <row r="3448" spans="11:11">
      <c r="K3448" s="1473"/>
    </row>
    <row r="3449" spans="11:11">
      <c r="K3449" s="1473"/>
    </row>
    <row r="3450" spans="11:11">
      <c r="K3450" s="1473"/>
    </row>
    <row r="3451" spans="11:11">
      <c r="K3451" s="1473"/>
    </row>
    <row r="3452" spans="11:11">
      <c r="K3452" s="1473"/>
    </row>
    <row r="3453" spans="11:11">
      <c r="K3453" s="1473"/>
    </row>
    <row r="3454" spans="11:11">
      <c r="K3454" s="1473"/>
    </row>
    <row r="3455" spans="11:11">
      <c r="K3455" s="1473"/>
    </row>
    <row r="3456" spans="11:11">
      <c r="K3456" s="1473"/>
    </row>
    <row r="3457" spans="11:11">
      <c r="K3457" s="1473"/>
    </row>
    <row r="3458" spans="11:11">
      <c r="K3458" s="1473"/>
    </row>
    <row r="3459" spans="11:11">
      <c r="K3459" s="1473"/>
    </row>
    <row r="3460" spans="11:11">
      <c r="K3460" s="1473"/>
    </row>
    <row r="3461" spans="11:11">
      <c r="K3461" s="1473"/>
    </row>
    <row r="3462" spans="11:11">
      <c r="K3462" s="1473"/>
    </row>
    <row r="3463" spans="11:11">
      <c r="K3463" s="1473"/>
    </row>
    <row r="3464" spans="11:11">
      <c r="K3464" s="1473"/>
    </row>
    <row r="3465" spans="11:11">
      <c r="K3465" s="1473"/>
    </row>
    <row r="3466" spans="11:11">
      <c r="K3466" s="1473"/>
    </row>
    <row r="3467" spans="11:11">
      <c r="K3467" s="1473"/>
    </row>
    <row r="3468" spans="11:11">
      <c r="K3468" s="1473"/>
    </row>
    <row r="3469" spans="11:11">
      <c r="K3469" s="1473"/>
    </row>
    <row r="3470" spans="11:11">
      <c r="K3470" s="1473"/>
    </row>
    <row r="3471" spans="11:11">
      <c r="K3471" s="1473"/>
    </row>
    <row r="3472" spans="11:11">
      <c r="K3472" s="1473"/>
    </row>
    <row r="3473" spans="11:11">
      <c r="K3473" s="1473"/>
    </row>
    <row r="3474" spans="11:11">
      <c r="K3474" s="1473"/>
    </row>
    <row r="3475" spans="11:11">
      <c r="K3475" s="1473"/>
    </row>
    <row r="3476" spans="11:11">
      <c r="K3476" s="1473"/>
    </row>
    <row r="3477" spans="11:11">
      <c r="K3477" s="1473"/>
    </row>
    <row r="3478" spans="11:11">
      <c r="K3478" s="1473"/>
    </row>
    <row r="3479" spans="11:11">
      <c r="K3479" s="1473"/>
    </row>
    <row r="3480" spans="11:11">
      <c r="K3480" s="1473"/>
    </row>
    <row r="3481" spans="11:11">
      <c r="K3481" s="1473"/>
    </row>
    <row r="3482" spans="11:11">
      <c r="K3482" s="1473"/>
    </row>
    <row r="3483" spans="11:11">
      <c r="K3483" s="1473"/>
    </row>
    <row r="3484" spans="11:11">
      <c r="K3484" s="1473"/>
    </row>
    <row r="3485" spans="11:11">
      <c r="K3485" s="1473"/>
    </row>
    <row r="3486" spans="11:11">
      <c r="K3486" s="1473"/>
    </row>
    <row r="3487" spans="11:11">
      <c r="K3487" s="1473"/>
    </row>
    <row r="3488" spans="11:11">
      <c r="K3488" s="1473"/>
    </row>
    <row r="3489" spans="11:11">
      <c r="K3489" s="1473"/>
    </row>
    <row r="3490" spans="11:11">
      <c r="K3490" s="1473"/>
    </row>
    <row r="3491" spans="11:11">
      <c r="K3491" s="1473"/>
    </row>
    <row r="3492" spans="11:11">
      <c r="K3492" s="1473"/>
    </row>
    <row r="3493" spans="11:11">
      <c r="K3493" s="1473"/>
    </row>
    <row r="3494" spans="11:11">
      <c r="K3494" s="1473"/>
    </row>
    <row r="3495" spans="11:11">
      <c r="K3495" s="1473"/>
    </row>
    <row r="3496" spans="11:11">
      <c r="K3496" s="1473"/>
    </row>
    <row r="3497" spans="11:11">
      <c r="K3497" s="1473"/>
    </row>
    <row r="3498" spans="11:11">
      <c r="K3498" s="1473"/>
    </row>
    <row r="3499" spans="11:11">
      <c r="K3499" s="1473"/>
    </row>
    <row r="3500" spans="11:11">
      <c r="K3500" s="1473"/>
    </row>
    <row r="3501" spans="11:11">
      <c r="K3501" s="1473"/>
    </row>
    <row r="3502" spans="11:11">
      <c r="K3502" s="1473"/>
    </row>
    <row r="3503" spans="11:11">
      <c r="K3503" s="1473"/>
    </row>
    <row r="3504" spans="11:11">
      <c r="K3504" s="1473"/>
    </row>
    <row r="3505" spans="11:11">
      <c r="K3505" s="1473"/>
    </row>
    <row r="3506" spans="11:11">
      <c r="K3506" s="1473"/>
    </row>
    <row r="3507" spans="11:11">
      <c r="K3507" s="1473"/>
    </row>
    <row r="3508" spans="11:11">
      <c r="K3508" s="1473"/>
    </row>
    <row r="3509" spans="11:11">
      <c r="K3509" s="1473"/>
    </row>
    <row r="3510" spans="11:11">
      <c r="K3510" s="1473"/>
    </row>
    <row r="3511" spans="11:11">
      <c r="K3511" s="1473"/>
    </row>
    <row r="3512" spans="11:11">
      <c r="K3512" s="1473"/>
    </row>
    <row r="3513" spans="11:11">
      <c r="K3513" s="1473"/>
    </row>
    <row r="3514" spans="11:11">
      <c r="K3514" s="1473"/>
    </row>
    <row r="3515" spans="11:11">
      <c r="K3515" s="1473"/>
    </row>
    <row r="3516" spans="11:11">
      <c r="K3516" s="1473"/>
    </row>
    <row r="3517" spans="11:11">
      <c r="K3517" s="1473"/>
    </row>
    <row r="3518" spans="11:11">
      <c r="K3518" s="1473"/>
    </row>
    <row r="3519" spans="11:11">
      <c r="K3519" s="1473"/>
    </row>
    <row r="3520" spans="11:11">
      <c r="K3520" s="1473"/>
    </row>
    <row r="3521" spans="11:11">
      <c r="K3521" s="1473"/>
    </row>
    <row r="3522" spans="11:11">
      <c r="K3522" s="1473"/>
    </row>
    <row r="3523" spans="11:11">
      <c r="K3523" s="1473"/>
    </row>
    <row r="3524" spans="11:11">
      <c r="K3524" s="1473"/>
    </row>
    <row r="3525" spans="11:11">
      <c r="K3525" s="1473"/>
    </row>
    <row r="3526" spans="11:11">
      <c r="K3526" s="1473"/>
    </row>
    <row r="3527" spans="11:11">
      <c r="K3527" s="1473"/>
    </row>
    <row r="3528" spans="11:11">
      <c r="K3528" s="1473"/>
    </row>
    <row r="3529" spans="11:11">
      <c r="K3529" s="1473"/>
    </row>
    <row r="3530" spans="11:11">
      <c r="K3530" s="1473"/>
    </row>
    <row r="3531" spans="11:11">
      <c r="K3531" s="1473"/>
    </row>
    <row r="3532" spans="11:11">
      <c r="K3532" s="1473"/>
    </row>
    <row r="3533" spans="11:11">
      <c r="K3533" s="1473"/>
    </row>
    <row r="3534" spans="11:11">
      <c r="K3534" s="1473"/>
    </row>
    <row r="3535" spans="11:11">
      <c r="K3535" s="1473"/>
    </row>
    <row r="3536" spans="11:11">
      <c r="K3536" s="1473"/>
    </row>
    <row r="3537" spans="11:11">
      <c r="K3537" s="1473"/>
    </row>
    <row r="3538" spans="11:11">
      <c r="K3538" s="1473"/>
    </row>
    <row r="3539" spans="11:11">
      <c r="K3539" s="1473"/>
    </row>
    <row r="3540" spans="11:11">
      <c r="K3540" s="1473"/>
    </row>
    <row r="3541" spans="11:11">
      <c r="K3541" s="1473"/>
    </row>
    <row r="3542" spans="11:11">
      <c r="K3542" s="1473"/>
    </row>
    <row r="3543" spans="11:11">
      <c r="K3543" s="1473"/>
    </row>
    <row r="3544" spans="11:11">
      <c r="K3544" s="1473"/>
    </row>
    <row r="3545" spans="11:11">
      <c r="K3545" s="1473"/>
    </row>
    <row r="3546" spans="11:11">
      <c r="K3546" s="1473"/>
    </row>
    <row r="3547" spans="11:11">
      <c r="K3547" s="1473"/>
    </row>
    <row r="3548" spans="11:11">
      <c r="K3548" s="1473"/>
    </row>
    <row r="3549" spans="11:11">
      <c r="K3549" s="1473"/>
    </row>
    <row r="3550" spans="11:11">
      <c r="K3550" s="1473"/>
    </row>
    <row r="3551" spans="11:11">
      <c r="K3551" s="1473"/>
    </row>
    <row r="3552" spans="11:11">
      <c r="K3552" s="1473"/>
    </row>
    <row r="3553" spans="11:11">
      <c r="K3553" s="1473"/>
    </row>
    <row r="3554" spans="11:11">
      <c r="K3554" s="1473"/>
    </row>
    <row r="3555" spans="11:11">
      <c r="K3555" s="1473"/>
    </row>
    <row r="3556" spans="11:11">
      <c r="K3556" s="1473"/>
    </row>
    <row r="3557" spans="11:11">
      <c r="K3557" s="1473"/>
    </row>
    <row r="3558" spans="11:11">
      <c r="K3558" s="1473"/>
    </row>
    <row r="3559" spans="11:11">
      <c r="K3559" s="1473"/>
    </row>
    <row r="3560" spans="11:11">
      <c r="K3560" s="1473"/>
    </row>
    <row r="3561" spans="11:11">
      <c r="K3561" s="1473"/>
    </row>
    <row r="3562" spans="11:11">
      <c r="K3562" s="1473"/>
    </row>
    <row r="3563" spans="11:11">
      <c r="K3563" s="1473"/>
    </row>
    <row r="3564" spans="11:11">
      <c r="K3564" s="1473"/>
    </row>
    <row r="3565" spans="11:11">
      <c r="K3565" s="1473"/>
    </row>
    <row r="3566" spans="11:11">
      <c r="K3566" s="1473"/>
    </row>
    <row r="3567" spans="11:11">
      <c r="K3567" s="1473"/>
    </row>
    <row r="3568" spans="11:11">
      <c r="K3568" s="1473"/>
    </row>
    <row r="3569" spans="11:11">
      <c r="K3569" s="1473"/>
    </row>
    <row r="3570" spans="11:11">
      <c r="K3570" s="1473"/>
    </row>
    <row r="3571" spans="11:11">
      <c r="K3571" s="1473"/>
    </row>
    <row r="3572" spans="11:11">
      <c r="K3572" s="1473"/>
    </row>
    <row r="3573" spans="11:11">
      <c r="K3573" s="1473"/>
    </row>
    <row r="3574" spans="11:11">
      <c r="K3574" s="1473"/>
    </row>
    <row r="3575" spans="11:11">
      <c r="K3575" s="1473"/>
    </row>
    <row r="3576" spans="11:11">
      <c r="K3576" s="1473"/>
    </row>
    <row r="3577" spans="11:11">
      <c r="K3577" s="1473"/>
    </row>
    <row r="3578" spans="11:11">
      <c r="K3578" s="1473"/>
    </row>
    <row r="3579" spans="11:11">
      <c r="K3579" s="1473"/>
    </row>
    <row r="3580" spans="11:11">
      <c r="K3580" s="1473"/>
    </row>
    <row r="3581" spans="11:11">
      <c r="K3581" s="1473"/>
    </row>
    <row r="3582" spans="11:11">
      <c r="K3582" s="1473"/>
    </row>
    <row r="3583" spans="11:11">
      <c r="K3583" s="1473"/>
    </row>
    <row r="3584" spans="11:11">
      <c r="K3584" s="1473"/>
    </row>
    <row r="3585" spans="11:11">
      <c r="K3585" s="1473"/>
    </row>
    <row r="3586" spans="11:11">
      <c r="K3586" s="1473"/>
    </row>
    <row r="3587" spans="11:11">
      <c r="K3587" s="1473"/>
    </row>
    <row r="3588" spans="11:11">
      <c r="K3588" s="1473"/>
    </row>
    <row r="3589" spans="11:11">
      <c r="K3589" s="1473"/>
    </row>
    <row r="3590" spans="11:11">
      <c r="K3590" s="1473"/>
    </row>
    <row r="3591" spans="11:11">
      <c r="K3591" s="1473"/>
    </row>
    <row r="3592" spans="11:11">
      <c r="K3592" s="1473"/>
    </row>
    <row r="3593" spans="11:11">
      <c r="K3593" s="1473"/>
    </row>
    <row r="3594" spans="11:11">
      <c r="K3594" s="1473"/>
    </row>
    <row r="3595" spans="11:11">
      <c r="K3595" s="1473"/>
    </row>
    <row r="3596" spans="11:11">
      <c r="K3596" s="1473"/>
    </row>
    <row r="3597" spans="11:11">
      <c r="K3597" s="1473"/>
    </row>
    <row r="3598" spans="11:11">
      <c r="K3598" s="1473"/>
    </row>
    <row r="3599" spans="11:11">
      <c r="K3599" s="1473"/>
    </row>
    <row r="3600" spans="11:11">
      <c r="K3600" s="1473"/>
    </row>
    <row r="3601" spans="11:11">
      <c r="K3601" s="1473"/>
    </row>
    <row r="3602" spans="11:11">
      <c r="K3602" s="1473"/>
    </row>
    <row r="3603" spans="11:11">
      <c r="K3603" s="1473"/>
    </row>
    <row r="3604" spans="11:11">
      <c r="K3604" s="1473"/>
    </row>
    <row r="3605" spans="11:11">
      <c r="K3605" s="1473"/>
    </row>
    <row r="3606" spans="11:11">
      <c r="K3606" s="1473"/>
    </row>
    <row r="3607" spans="11:11">
      <c r="K3607" s="1473"/>
    </row>
    <row r="3608" spans="11:11">
      <c r="K3608" s="1473"/>
    </row>
    <row r="3609" spans="11:11">
      <c r="K3609" s="1473"/>
    </row>
    <row r="3610" spans="11:11">
      <c r="K3610" s="1473"/>
    </row>
    <row r="3611" spans="11:11">
      <c r="K3611" s="1473"/>
    </row>
    <row r="3612" spans="11:11">
      <c r="K3612" s="1473"/>
    </row>
    <row r="3613" spans="11:11">
      <c r="K3613" s="1473"/>
    </row>
    <row r="3614" spans="11:11">
      <c r="K3614" s="1473"/>
    </row>
    <row r="3615" spans="11:11">
      <c r="K3615" s="1473"/>
    </row>
    <row r="3616" spans="11:11">
      <c r="K3616" s="1473"/>
    </row>
    <row r="3617" spans="11:11">
      <c r="K3617" s="1473"/>
    </row>
    <row r="3618" spans="11:11">
      <c r="K3618" s="1473"/>
    </row>
    <row r="3619" spans="11:11">
      <c r="K3619" s="1473"/>
    </row>
    <row r="3620" spans="11:11">
      <c r="K3620" s="1473"/>
    </row>
    <row r="3621" spans="11:11">
      <c r="K3621" s="1473"/>
    </row>
    <row r="3622" spans="11:11">
      <c r="K3622" s="1473"/>
    </row>
    <row r="3623" spans="11:11">
      <c r="K3623" s="1473"/>
    </row>
    <row r="3624" spans="11:11">
      <c r="K3624" s="1473"/>
    </row>
    <row r="3625" spans="11:11">
      <c r="K3625" s="1473"/>
    </row>
    <row r="3626" spans="11:11">
      <c r="K3626" s="1473"/>
    </row>
    <row r="3627" spans="11:11">
      <c r="K3627" s="1473"/>
    </row>
    <row r="3628" spans="11:11">
      <c r="K3628" s="1473"/>
    </row>
    <row r="3629" spans="11:11">
      <c r="K3629" s="1473"/>
    </row>
    <row r="3630" spans="11:11">
      <c r="K3630" s="1473"/>
    </row>
    <row r="3631" spans="11:11">
      <c r="K3631" s="1473"/>
    </row>
    <row r="3632" spans="11:11">
      <c r="K3632" s="1473"/>
    </row>
    <row r="3633" spans="11:11">
      <c r="K3633" s="1473"/>
    </row>
    <row r="3634" spans="11:11">
      <c r="K3634" s="1473"/>
    </row>
    <row r="3635" spans="11:11">
      <c r="K3635" s="1473"/>
    </row>
    <row r="3636" spans="11:11">
      <c r="K3636" s="1473"/>
    </row>
    <row r="3637" spans="11:11">
      <c r="K3637" s="1473"/>
    </row>
    <row r="3638" spans="11:11">
      <c r="K3638" s="1473"/>
    </row>
    <row r="3639" spans="11:11">
      <c r="K3639" s="1473"/>
    </row>
    <row r="3640" spans="11:11">
      <c r="K3640" s="1473"/>
    </row>
    <row r="3641" spans="11:11">
      <c r="K3641" s="1473"/>
    </row>
    <row r="3642" spans="11:11">
      <c r="K3642" s="1473"/>
    </row>
    <row r="3643" spans="11:11">
      <c r="K3643" s="1473"/>
    </row>
    <row r="3644" spans="11:11">
      <c r="K3644" s="1473"/>
    </row>
    <row r="3645" spans="11:11">
      <c r="K3645" s="1473"/>
    </row>
    <row r="3646" spans="11:11">
      <c r="K3646" s="1473"/>
    </row>
    <row r="3647" spans="11:11">
      <c r="K3647" s="1473"/>
    </row>
    <row r="3648" spans="11:11">
      <c r="K3648" s="1473"/>
    </row>
    <row r="3649" spans="11:11">
      <c r="K3649" s="1473"/>
    </row>
    <row r="3650" spans="11:11">
      <c r="K3650" s="1473"/>
    </row>
    <row r="3651" spans="11:11">
      <c r="K3651" s="1473"/>
    </row>
    <row r="3652" spans="11:11">
      <c r="K3652" s="1473"/>
    </row>
    <row r="3653" spans="11:11">
      <c r="K3653" s="1473"/>
    </row>
    <row r="3654" spans="11:11">
      <c r="K3654" s="1473"/>
    </row>
    <row r="3655" spans="11:11">
      <c r="K3655" s="1473"/>
    </row>
    <row r="3656" spans="11:11">
      <c r="K3656" s="1473"/>
    </row>
    <row r="3657" spans="11:11">
      <c r="K3657" s="1473"/>
    </row>
    <row r="3658" spans="11:11">
      <c r="K3658" s="1473"/>
    </row>
    <row r="3659" spans="11:11">
      <c r="K3659" s="1473"/>
    </row>
    <row r="3660" spans="11:11">
      <c r="K3660" s="1473"/>
    </row>
    <row r="3661" spans="11:11">
      <c r="K3661" s="1473"/>
    </row>
    <row r="3662" spans="11:11">
      <c r="K3662" s="1473"/>
    </row>
    <row r="3663" spans="11:11">
      <c r="K3663" s="1473"/>
    </row>
    <row r="3664" spans="11:11">
      <c r="K3664" s="1473"/>
    </row>
    <row r="3665" spans="11:11">
      <c r="K3665" s="1473"/>
    </row>
    <row r="3666" spans="11:11">
      <c r="K3666" s="1473"/>
    </row>
    <row r="3667" spans="11:11">
      <c r="K3667" s="1473"/>
    </row>
    <row r="3668" spans="11:11">
      <c r="K3668" s="1473"/>
    </row>
    <row r="3669" spans="11:11">
      <c r="K3669" s="1473"/>
    </row>
    <row r="3670" spans="11:11">
      <c r="K3670" s="1473"/>
    </row>
    <row r="3671" spans="11:11">
      <c r="K3671" s="1473"/>
    </row>
    <row r="3672" spans="11:11">
      <c r="K3672" s="1473"/>
    </row>
    <row r="3673" spans="11:11">
      <c r="K3673" s="1473"/>
    </row>
    <row r="3674" spans="11:11">
      <c r="K3674" s="1473"/>
    </row>
    <row r="3675" spans="11:11">
      <c r="K3675" s="1473"/>
    </row>
    <row r="3676" spans="11:11">
      <c r="K3676" s="1473"/>
    </row>
    <row r="3677" spans="11:11">
      <c r="K3677" s="1473"/>
    </row>
    <row r="3678" spans="11:11">
      <c r="K3678" s="1473"/>
    </row>
    <row r="3679" spans="11:11">
      <c r="K3679" s="1473"/>
    </row>
    <row r="3680" spans="11:11">
      <c r="K3680" s="1473"/>
    </row>
    <row r="3681" spans="11:11">
      <c r="K3681" s="1473"/>
    </row>
    <row r="3682" spans="11:11">
      <c r="K3682" s="1473"/>
    </row>
    <row r="3683" spans="11:11">
      <c r="K3683" s="1473"/>
    </row>
    <row r="3684" spans="11:11">
      <c r="K3684" s="1473"/>
    </row>
    <row r="3685" spans="11:11">
      <c r="K3685" s="1473"/>
    </row>
    <row r="3686" spans="11:11">
      <c r="K3686" s="1473"/>
    </row>
    <row r="3687" spans="11:11">
      <c r="K3687" s="1473"/>
    </row>
    <row r="3688" spans="11:11">
      <c r="K3688" s="1473"/>
    </row>
    <row r="3689" spans="11:11">
      <c r="K3689" s="1473"/>
    </row>
    <row r="3690" spans="11:11">
      <c r="K3690" s="1473"/>
    </row>
    <row r="3691" spans="11:11">
      <c r="K3691" s="1473"/>
    </row>
    <row r="3692" spans="11:11">
      <c r="K3692" s="1473"/>
    </row>
  </sheetData>
  <autoFilter ref="B6:F500" xr:uid="{00000000-0009-0000-0000-000011000000}"/>
  <phoneticPr fontId="46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5" t="s">
        <v>2198</v>
      </c>
      <c r="B9" s="1585" t="s">
        <v>2199</v>
      </c>
      <c r="C9" s="1585"/>
      <c r="D9" s="1585" t="s">
        <v>2200</v>
      </c>
      <c r="E9" s="1710" t="s">
        <v>2225</v>
      </c>
      <c r="F9" s="1710" t="s">
        <v>2224</v>
      </c>
      <c r="G9" s="1710" t="s">
        <v>36</v>
      </c>
    </row>
    <row r="10" spans="1:11">
      <c r="A10" s="1858" t="s">
        <v>753</v>
      </c>
      <c r="B10" s="1858" t="s">
        <v>2077</v>
      </c>
      <c r="C10" s="1586">
        <v>12</v>
      </c>
      <c r="D10" s="1586" t="s">
        <v>2036</v>
      </c>
      <c r="E10" s="1711">
        <f>Encargos!I20</f>
        <v>1856987.5503404515</v>
      </c>
      <c r="F10" s="1711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-17026.32732051827</v>
      </c>
      <c r="G10" s="1711">
        <f>(SUMIFS(Financeiros[Valor],Financeiros[iddet1],19,Financeiros[iddet2],60,Financeiros[id_Detalhe_Grupo_TARIFA],C10))</f>
        <v>0</v>
      </c>
      <c r="K10" s="9"/>
    </row>
    <row r="11" spans="1:11">
      <c r="A11" s="1859"/>
      <c r="B11" s="1858"/>
      <c r="C11" s="1586">
        <v>14</v>
      </c>
      <c r="D11" s="1586" t="s">
        <v>40</v>
      </c>
      <c r="E11" s="1711">
        <f ca="1">Resultado!D17</f>
        <v>56515.376889096988</v>
      </c>
      <c r="F11" s="1711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-537.79841689214891</v>
      </c>
      <c r="G11" s="1711">
        <f>(SUMIFS(Financeiros[Valor],Financeiros[iddet1],19,Financeiros[iddet2],60,Financeiros[id_Detalhe_Grupo_TARIFA],C11))</f>
        <v>0</v>
      </c>
    </row>
    <row r="12" spans="1:11">
      <c r="A12" s="1859"/>
      <c r="B12" s="1858"/>
      <c r="C12" s="1586">
        <v>19</v>
      </c>
      <c r="D12" s="1586" t="s">
        <v>48</v>
      </c>
      <c r="E12" s="1711">
        <f ca="1">Resultado!D22-E38</f>
        <v>0</v>
      </c>
      <c r="F12" s="1711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11">
        <f>(SUMIFS(Financeiros[Valor],Financeiros[iddet1],19,Financeiros[iddet2],60,Financeiros[id_Detalhe_Grupo_TARIFA],C12))</f>
        <v>0</v>
      </c>
    </row>
    <row r="13" spans="1:11">
      <c r="A13" s="1859"/>
      <c r="B13" s="1858"/>
      <c r="C13" s="1586">
        <v>20</v>
      </c>
      <c r="D13" s="1586" t="s">
        <v>49</v>
      </c>
      <c r="E13" s="1711">
        <f>Resultado!D23</f>
        <v>0</v>
      </c>
      <c r="F13" s="1711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11">
        <f>(SUMIFS(Financeiros[Valor],Financeiros[iddet1],19,Financeiros[iddet2],60,Financeiros[id_Detalhe_Grupo_TARIFA],C13))</f>
        <v>0</v>
      </c>
    </row>
    <row r="14" spans="1:11">
      <c r="A14" s="1859"/>
      <c r="B14" s="1858"/>
      <c r="C14" s="1586">
        <v>13</v>
      </c>
      <c r="D14" s="1586" t="s">
        <v>39</v>
      </c>
      <c r="E14" s="1711">
        <f>Resultado!D16</f>
        <v>0</v>
      </c>
      <c r="F14" s="1711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11">
        <f>(SUMIFS(Financeiros[Valor],Financeiros[iddet1],19,Financeiros[iddet2],60,Financeiros[id_Detalhe_Grupo_TARIFA],C14))</f>
        <v>0</v>
      </c>
    </row>
    <row r="15" spans="1:11">
      <c r="A15" s="1859"/>
      <c r="B15" s="1858"/>
      <c r="C15" s="1586">
        <v>15</v>
      </c>
      <c r="D15" s="1586" t="s">
        <v>41</v>
      </c>
      <c r="E15" s="1711">
        <f ca="1">Encargos!I19</f>
        <v>14178019.505329996</v>
      </c>
      <c r="F15" s="1711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-89284.939796970168</v>
      </c>
      <c r="G15" s="1711">
        <f>(SUMIFS(Financeiros[Valor],Financeiros[iddet1],19,Financeiros[iddet2],60,Financeiros[id_Detalhe_Grupo_TARIFA],C15))</f>
        <v>0</v>
      </c>
    </row>
    <row r="16" spans="1:11">
      <c r="A16" s="1859"/>
      <c r="B16" s="1858"/>
      <c r="C16" s="1586">
        <v>18</v>
      </c>
      <c r="D16" s="1586" t="s">
        <v>47</v>
      </c>
      <c r="E16" s="1711">
        <f ca="1">Resultado!D21</f>
        <v>2572360.1980199995</v>
      </c>
      <c r="F16" s="1711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-16855.927409038261</v>
      </c>
      <c r="G16" s="1711">
        <f>(SUMIFS(Financeiros[Valor],Financeiros[iddet1],19,Financeiros[iddet2],60,Financeiros[id_Detalhe_Grupo_TARIFA],C16))</f>
        <v>0</v>
      </c>
    </row>
    <row r="17" spans="1:7">
      <c r="A17" s="1859"/>
      <c r="B17" s="1858"/>
      <c r="C17" s="1586"/>
      <c r="D17" s="1586" t="s">
        <v>2201</v>
      </c>
      <c r="E17" s="1711">
        <v>0</v>
      </c>
      <c r="F17" s="1711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11">
        <v>0</v>
      </c>
    </row>
    <row r="18" spans="1:7">
      <c r="A18" s="1859"/>
      <c r="B18" s="1858"/>
      <c r="C18" s="1586"/>
      <c r="D18" s="1694" t="s">
        <v>2202</v>
      </c>
      <c r="E18" s="1711">
        <f ca="1">SUM(E10:E17)</f>
        <v>18663882.630579542</v>
      </c>
      <c r="F18" s="1711">
        <f t="shared" ref="F18:G18" ca="1" si="0">SUM(F10:F17)</f>
        <v>-123704.99294341885</v>
      </c>
      <c r="G18" s="1711">
        <f t="shared" si="0"/>
        <v>0</v>
      </c>
    </row>
    <row r="19" spans="1:7">
      <c r="A19" s="1859"/>
      <c r="B19" s="1858" t="s">
        <v>2203</v>
      </c>
      <c r="C19" s="1586">
        <v>1</v>
      </c>
      <c r="D19" s="1586" t="s">
        <v>2204</v>
      </c>
      <c r="E19" s="1711">
        <f>Resultado!D25</f>
        <v>0</v>
      </c>
      <c r="F19" s="1711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11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59"/>
      <c r="B20" s="1858"/>
      <c r="C20" s="1586">
        <v>2</v>
      </c>
      <c r="D20" s="1586" t="s">
        <v>2205</v>
      </c>
      <c r="E20" s="1711">
        <f>Resultado!D26</f>
        <v>0</v>
      </c>
      <c r="F20" s="1711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11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59"/>
      <c r="B21" s="1858"/>
      <c r="C21" s="1586">
        <v>3</v>
      </c>
      <c r="D21" s="1586" t="s">
        <v>2206</v>
      </c>
      <c r="E21" s="1711">
        <f>Resultado!D31</f>
        <v>0</v>
      </c>
      <c r="F21" s="1711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11">
        <f>(SUMIFS(Financeiros[Valor],Financeiros[iddet1],19,Financeiros[iddet2],60,Financeiros[id_Detalhe_Grupo_TARIFA],C21))</f>
        <v>0</v>
      </c>
    </row>
    <row r="22" spans="1:7">
      <c r="A22" s="1859"/>
      <c r="B22" s="1858"/>
      <c r="C22" s="1586">
        <v>4</v>
      </c>
      <c r="D22" s="1586" t="s">
        <v>2207</v>
      </c>
      <c r="E22" s="1711">
        <f>0</f>
        <v>0</v>
      </c>
      <c r="F22" s="1711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11">
        <f>(SUMIFS(Financeiros[Valor],Financeiros[iddet1],19,Financeiros[iddet2],60,Financeiros[id_Detalhe_Grupo_TARIFA],C22))</f>
        <v>0</v>
      </c>
    </row>
    <row r="23" spans="1:7">
      <c r="A23" s="1859"/>
      <c r="B23" s="1858"/>
      <c r="C23" s="1586">
        <v>7</v>
      </c>
      <c r="D23" s="1586" t="s">
        <v>952</v>
      </c>
      <c r="E23" s="1711">
        <f>Resultado!D32</f>
        <v>10910249.227</v>
      </c>
      <c r="F23" s="1711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356920.86616963765</v>
      </c>
      <c r="G23" s="1711">
        <f>(SUMIFS(Financeiros[Valor],Financeiros[iddet1],19,Financeiros[iddet2],60,Financeiros[id_Detalhe_Grupo_TARIFA],C23))</f>
        <v>0</v>
      </c>
    </row>
    <row r="24" spans="1:7">
      <c r="A24" s="1859"/>
      <c r="B24" s="1858"/>
      <c r="C24" s="1586">
        <v>6</v>
      </c>
      <c r="D24" s="1586" t="s">
        <v>2208</v>
      </c>
      <c r="E24" s="1711">
        <f>Resultado!D28</f>
        <v>0</v>
      </c>
      <c r="F24" s="1711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11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59"/>
      <c r="B25" s="1858"/>
      <c r="C25" s="1586">
        <v>5</v>
      </c>
      <c r="D25" s="1586" t="s">
        <v>2209</v>
      </c>
      <c r="E25" s="1711">
        <f>Resultado!D27</f>
        <v>0</v>
      </c>
      <c r="F25" s="1711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11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59"/>
      <c r="B26" s="1858"/>
      <c r="C26" s="1586"/>
      <c r="D26" s="1694" t="s">
        <v>2202</v>
      </c>
      <c r="E26" s="1711">
        <f>SUM(E19:E25)</f>
        <v>10910249.227</v>
      </c>
      <c r="F26" s="1711">
        <f t="shared" ref="F26:G26" si="1">SUM(F19:F25)</f>
        <v>356920.86616963765</v>
      </c>
      <c r="G26" s="1711">
        <f t="shared" si="1"/>
        <v>0</v>
      </c>
    </row>
    <row r="27" spans="1:7">
      <c r="A27" s="1859"/>
      <c r="B27" s="1858" t="s">
        <v>2210</v>
      </c>
      <c r="C27" s="1586">
        <v>999</v>
      </c>
      <c r="D27" s="1586" t="s">
        <v>953</v>
      </c>
      <c r="E27" s="1711">
        <f>LnkTXTIParcelaBcomSub</f>
        <v>12993300.34</v>
      </c>
      <c r="F27" s="1711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-236428.2922565667</v>
      </c>
      <c r="G27" s="1711">
        <v>0</v>
      </c>
    </row>
    <row r="28" spans="1:7">
      <c r="A28" s="1859"/>
      <c r="B28" s="1858"/>
      <c r="C28" s="1586"/>
      <c r="D28" s="1694" t="s">
        <v>2202</v>
      </c>
      <c r="E28" s="1711">
        <f>SUM(E27)</f>
        <v>12993300.34</v>
      </c>
      <c r="F28" s="1711">
        <f t="shared" ref="F28:G28" ca="1" si="2">SUM(F27)</f>
        <v>-236428.2922565667</v>
      </c>
      <c r="G28" s="1711">
        <f t="shared" si="2"/>
        <v>0</v>
      </c>
    </row>
    <row r="29" spans="1:7">
      <c r="A29" s="1859"/>
      <c r="B29" s="1858" t="s">
        <v>2211</v>
      </c>
      <c r="C29" s="1586">
        <v>179</v>
      </c>
      <c r="D29" s="1586" t="s">
        <v>2212</v>
      </c>
      <c r="E29" s="1711">
        <v>0</v>
      </c>
      <c r="F29" s="1711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11">
        <v>0</v>
      </c>
    </row>
    <row r="30" spans="1:7">
      <c r="A30" s="1859"/>
      <c r="B30" s="1858"/>
      <c r="C30" s="1586"/>
      <c r="D30" s="1586" t="s">
        <v>949</v>
      </c>
      <c r="E30" s="1711">
        <v>0</v>
      </c>
      <c r="F30" s="1711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11">
        <v>0</v>
      </c>
    </row>
    <row r="31" spans="1:7">
      <c r="A31" s="1859"/>
      <c r="B31" s="1858"/>
      <c r="C31" s="1586"/>
      <c r="D31" s="1694" t="s">
        <v>2202</v>
      </c>
      <c r="E31" s="1711">
        <f>SUM(E29:E30)</f>
        <v>0</v>
      </c>
      <c r="F31" s="1711">
        <f t="shared" ref="F31:G31" ca="1" si="3">SUM(F29:F30)</f>
        <v>0</v>
      </c>
      <c r="G31" s="1711">
        <f t="shared" si="3"/>
        <v>0</v>
      </c>
    </row>
    <row r="32" spans="1:7">
      <c r="A32" s="1859"/>
      <c r="B32" s="1858" t="s">
        <v>2213</v>
      </c>
      <c r="C32" s="1586">
        <v>8</v>
      </c>
      <c r="D32" s="1586" t="s">
        <v>2214</v>
      </c>
      <c r="E32" s="1711">
        <f ca="1">Energia!D11*Energia!D14</f>
        <v>1373524.4464386136</v>
      </c>
      <c r="F32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-9518.478630742693</v>
      </c>
      <c r="G32" s="1711">
        <f>(SUMIFS(Financeiros[Valor],Financeiros[iddet1],19,Financeiros[iddet2],60,Financeiros[id_Detalhe_Grupo_TARIFA],C32))</f>
        <v>0</v>
      </c>
    </row>
    <row r="33" spans="1:7">
      <c r="A33" s="1859"/>
      <c r="B33" s="1858"/>
      <c r="C33" s="1586">
        <v>10</v>
      </c>
      <c r="D33" s="1586" t="s">
        <v>2215</v>
      </c>
      <c r="E33" s="1711">
        <f ca="1">Energia!D12*Energia!D14</f>
        <v>45584.72661494014</v>
      </c>
      <c r="F33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-315.90063598620299</v>
      </c>
      <c r="G33" s="1711">
        <f>(SUMIFS(Financeiros[Valor],Financeiros[iddet1],19,Financeiros[iddet2],60,Financeiros[id_Detalhe_Grupo_TARIFA],C33))</f>
        <v>0</v>
      </c>
    </row>
    <row r="34" spans="1:7">
      <c r="A34" s="1859"/>
      <c r="B34" s="1858"/>
      <c r="C34" s="1586">
        <v>9</v>
      </c>
      <c r="D34" s="1586" t="s">
        <v>2216</v>
      </c>
      <c r="E34" s="1711">
        <f ca="1">Energia!D10*Energia!D14</f>
        <v>0</v>
      </c>
      <c r="F34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11">
        <f>(SUMIFS(Financeiros[Valor],Financeiros[iddet1],19,Financeiros[iddet2],60,Financeiros[id_Detalhe_Grupo_TARIFA],C34))</f>
        <v>0</v>
      </c>
    </row>
    <row r="35" spans="1:7">
      <c r="A35" s="1859"/>
      <c r="B35" s="1858"/>
      <c r="C35" s="1586">
        <v>999</v>
      </c>
      <c r="D35" s="1586" t="s">
        <v>989</v>
      </c>
      <c r="E35" s="1711"/>
      <c r="F35" s="1711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11">
        <f>(SUMIFS(Financeiros[Valor],Financeiros[iddet1],19,Financeiros[iddet2],60,Financeiros[id_Detalhe_Grupo_TARIFA],C35))</f>
        <v>0</v>
      </c>
    </row>
    <row r="36" spans="1:7">
      <c r="A36" s="1859"/>
      <c r="B36" s="1858"/>
      <c r="C36" s="1586"/>
      <c r="D36" s="1694" t="s">
        <v>2202</v>
      </c>
      <c r="E36" s="1711">
        <f ca="1">SUM(E32:E35)</f>
        <v>1419109.1730535538</v>
      </c>
      <c r="F36" s="1711">
        <f t="shared" ref="F36:G36" ca="1" si="4">SUM(F32:F35)</f>
        <v>-9834.3792667288963</v>
      </c>
      <c r="G36" s="1711">
        <f t="shared" si="4"/>
        <v>0</v>
      </c>
    </row>
    <row r="37" spans="1:7">
      <c r="A37" s="1859"/>
      <c r="B37" s="1860" t="s">
        <v>2202</v>
      </c>
      <c r="C37" s="1860"/>
      <c r="D37" s="1860"/>
      <c r="E37" s="1711">
        <f ca="1">SUM(E18,E26,E28,E36,E31)</f>
        <v>43986541.370633103</v>
      </c>
      <c r="F37" s="1711">
        <f ca="1">SUM(F18,F26,F28,F36,F31)</f>
        <v>-13046.798297076793</v>
      </c>
      <c r="G37" s="1711">
        <f>SUM(G18,G26,G28,G36,G31)</f>
        <v>0</v>
      </c>
    </row>
    <row r="38" spans="1:7">
      <c r="A38" s="1858" t="s">
        <v>971</v>
      </c>
      <c r="B38" s="1858" t="s">
        <v>2077</v>
      </c>
      <c r="C38" s="1586">
        <v>19</v>
      </c>
      <c r="D38" s="1586" t="s">
        <v>48</v>
      </c>
      <c r="E38" s="1711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11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11">
        <f>(SUMIFS(Financeiros[Valor],Financeiros[iddet1],19,Financeiros[iddet2],60,Financeiros[id_Detalhe_Grupo_TARIFA],C38))</f>
        <v>0</v>
      </c>
    </row>
    <row r="39" spans="1:7">
      <c r="A39" s="1859"/>
      <c r="B39" s="1858"/>
      <c r="C39" s="1586">
        <v>17</v>
      </c>
      <c r="D39" s="1586" t="s">
        <v>46</v>
      </c>
      <c r="E39" s="1711">
        <f>Encargos!C9</f>
        <v>4685193.28</v>
      </c>
      <c r="F39" s="1711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740511.19447495916</v>
      </c>
      <c r="G39" s="1711">
        <f>(SUMIFS(Financeiros[Valor],Financeiros[iddet1],19,Financeiros[iddet2],60,Financeiros[id_Detalhe_Grupo_TARIFA],C39))</f>
        <v>0</v>
      </c>
    </row>
    <row r="40" spans="1:7">
      <c r="A40" s="1859"/>
      <c r="B40" s="1858"/>
      <c r="C40" s="1586">
        <v>16</v>
      </c>
      <c r="D40" s="1586" t="s">
        <v>112</v>
      </c>
      <c r="E40" s="1711">
        <f>Encargos!C8</f>
        <v>0</v>
      </c>
      <c r="F40" s="1711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11">
        <f>(SUMIFS(Financeiros[Valor],Financeiros[iddet1],19,Financeiros[iddet2],60,Financeiros[id_Detalhe_Grupo_TARIFA],C40))</f>
        <v>0</v>
      </c>
    </row>
    <row r="41" spans="1:7">
      <c r="A41" s="1859"/>
      <c r="B41" s="1858"/>
      <c r="C41" s="1586">
        <v>25</v>
      </c>
      <c r="D41" s="1586" t="s">
        <v>2217</v>
      </c>
      <c r="E41" s="1711">
        <v>0</v>
      </c>
      <c r="F41" s="1711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11">
        <f>(SUMIFS(Financeiros[Valor],Financeiros[iddet1],19,Financeiros[iddet2],60,Financeiros[id_Detalhe_Grupo_TARIFA],C41))</f>
        <v>0</v>
      </c>
    </row>
    <row r="42" spans="1:7">
      <c r="A42" s="1859"/>
      <c r="B42" s="1858"/>
      <c r="C42" s="1586">
        <v>28</v>
      </c>
      <c r="D42" s="1586" t="s">
        <v>2056</v>
      </c>
      <c r="E42" s="1711">
        <f>Encargos!I21</f>
        <v>-2436745.54</v>
      </c>
      <c r="F42" s="1711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11">
        <f>(SUMIFS(Financeiros[Valor],Financeiros[iddet1],19,Financeiros[iddet2],60,Financeiros[id_Detalhe_Grupo_TARIFA],C42))</f>
        <v>0</v>
      </c>
    </row>
    <row r="43" spans="1:7">
      <c r="A43" s="1859"/>
      <c r="B43" s="1858"/>
      <c r="C43" s="1586"/>
      <c r="D43" s="1694" t="s">
        <v>2202</v>
      </c>
      <c r="E43" s="1711">
        <f ca="1">SUM(E38:E42)</f>
        <v>2248447.7400000002</v>
      </c>
      <c r="F43" s="1711">
        <f ca="1">SUM(F38:F42)</f>
        <v>740511.19447495916</v>
      </c>
      <c r="G43" s="1711">
        <f>SUM(G38:G42)</f>
        <v>0</v>
      </c>
    </row>
    <row r="44" spans="1:7">
      <c r="A44" s="1859"/>
      <c r="B44" s="1858" t="s">
        <v>2078</v>
      </c>
      <c r="C44" s="1586">
        <v>11</v>
      </c>
      <c r="D44" s="1586" t="s">
        <v>2218</v>
      </c>
      <c r="E44" s="1711">
        <f ca="1">Energia!D6*Energia!D14</f>
        <v>31589334.37731776</v>
      </c>
      <c r="F44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-218913.03428163845</v>
      </c>
      <c r="G44" s="1711">
        <f>(SUMIFS(Financeiros[Valor],Financeiros[iddet1],19,Financeiros[iddet2],60,Financeiros[id_Detalhe_Grupo_TARIFA],C44))</f>
        <v>0</v>
      </c>
    </row>
    <row r="45" spans="1:7">
      <c r="A45" s="1859"/>
      <c r="B45" s="1858"/>
      <c r="C45" s="1586"/>
      <c r="D45" s="1694" t="s">
        <v>2202</v>
      </c>
      <c r="E45" s="1711">
        <f ca="1">SUM(E44)</f>
        <v>31589334.37731776</v>
      </c>
      <c r="F45" s="1711">
        <f ca="1">SUM(F44)</f>
        <v>-218913.03428163845</v>
      </c>
      <c r="G45" s="1711">
        <f>SUM(G44)</f>
        <v>0</v>
      </c>
    </row>
    <row r="46" spans="1:7">
      <c r="A46" s="1859"/>
      <c r="B46" s="1858" t="s">
        <v>2203</v>
      </c>
      <c r="C46" s="1586">
        <v>21</v>
      </c>
      <c r="D46" s="1586" t="s">
        <v>975</v>
      </c>
      <c r="E46" s="1711">
        <f>Resultado!D29</f>
        <v>0</v>
      </c>
      <c r="F46" s="1711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11">
        <f>(SUMIFS(Financeiros[Valor],Financeiros[iddet1],19,Financeiros[iddet2],60,Financeiros[id_Detalhe_Grupo_TARIFA],C46))</f>
        <v>0</v>
      </c>
    </row>
    <row r="47" spans="1:7">
      <c r="A47" s="1859"/>
      <c r="B47" s="1858"/>
      <c r="C47" s="1586">
        <v>23</v>
      </c>
      <c r="D47" s="1586" t="s">
        <v>2219</v>
      </c>
      <c r="E47" s="1711">
        <f>Resultado!D30</f>
        <v>0</v>
      </c>
      <c r="F47" s="1711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11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59"/>
      <c r="B48" s="1858"/>
      <c r="C48" s="1586">
        <v>22</v>
      </c>
      <c r="D48" s="1586" t="s">
        <v>2220</v>
      </c>
      <c r="E48" s="1711">
        <f>0</f>
        <v>0</v>
      </c>
      <c r="F48" s="1711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11">
        <f>(SUMIFS(Financeiros[Valor],Financeiros[iddet1],19,Financeiros[iddet2],60,Financeiros[id_Detalhe_Grupo_TARIFA],C48))</f>
        <v>0</v>
      </c>
    </row>
    <row r="49" spans="1:7">
      <c r="A49" s="1859"/>
      <c r="B49" s="1858"/>
      <c r="C49" s="1586"/>
      <c r="D49" s="1694" t="s">
        <v>2202</v>
      </c>
      <c r="E49" s="1711">
        <f>SUM(E46:E48)</f>
        <v>0</v>
      </c>
      <c r="F49" s="1711">
        <f>SUM(F46:F48)</f>
        <v>0</v>
      </c>
      <c r="G49" s="1711">
        <f>SUM(G46:G48)</f>
        <v>0</v>
      </c>
    </row>
    <row r="50" spans="1:7">
      <c r="A50" s="1859"/>
      <c r="B50" s="1858" t="s">
        <v>2211</v>
      </c>
      <c r="C50" s="1586">
        <v>179</v>
      </c>
      <c r="D50" s="1586" t="s">
        <v>2212</v>
      </c>
      <c r="E50" s="1711">
        <v>0</v>
      </c>
      <c r="F50" s="1711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11">
        <f>SUMIFS(Financeiros[Valor],Financeiros[iddet1],19,Financeiros[iddet2],60,Financeiros[id_Detalhe_Grupo_TARIFA],C50)</f>
        <v>0</v>
      </c>
    </row>
    <row r="51" spans="1:7">
      <c r="A51" s="1859"/>
      <c r="B51" s="1858"/>
      <c r="C51" s="1586"/>
      <c r="D51" s="1586" t="s">
        <v>2202</v>
      </c>
      <c r="E51" s="1711">
        <f>SUM(E50)</f>
        <v>0</v>
      </c>
      <c r="F51" s="1711">
        <f ca="1">SUM(F50)</f>
        <v>0</v>
      </c>
      <c r="G51" s="1711">
        <f>SUM(G50)</f>
        <v>0</v>
      </c>
    </row>
    <row r="52" spans="1:7">
      <c r="A52" s="1859"/>
      <c r="B52" s="1858" t="s">
        <v>2213</v>
      </c>
      <c r="C52" s="1586">
        <v>24</v>
      </c>
      <c r="D52" s="1586" t="s">
        <v>2221</v>
      </c>
      <c r="E52" s="1711">
        <f ca="1">Energia!D13*Energia!D14</f>
        <v>1048391.3666565507</v>
      </c>
      <c r="F52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-7265.3172253687271</v>
      </c>
      <c r="G52" s="1711">
        <f>(SUMIFS(Financeiros[Valor],Financeiros[iddet1],19,Financeiros[iddet2],60,Financeiros[id_Detalhe_Grupo_TARIFA],C52))</f>
        <v>0</v>
      </c>
    </row>
    <row r="53" spans="1:7">
      <c r="A53" s="1859"/>
      <c r="B53" s="1858"/>
      <c r="C53" s="1586"/>
      <c r="D53" s="1694" t="s">
        <v>2202</v>
      </c>
      <c r="E53" s="1711">
        <f ca="1">SUM(E52)</f>
        <v>1048391.3666565507</v>
      </c>
      <c r="F53" s="1711">
        <f t="shared" ref="F53:G53" ca="1" si="5">SUM(F52)</f>
        <v>-7265.3172253687271</v>
      </c>
      <c r="G53" s="1711">
        <f t="shared" si="5"/>
        <v>0</v>
      </c>
    </row>
    <row r="54" spans="1:7">
      <c r="A54" s="1859"/>
      <c r="B54" s="1860" t="s">
        <v>2202</v>
      </c>
      <c r="C54" s="1860"/>
      <c r="D54" s="1860"/>
      <c r="E54" s="1711">
        <f ca="1">SUM(E43,E45,E49,E53,E51)</f>
        <v>34886173.483974308</v>
      </c>
      <c r="F54" s="1711">
        <f t="shared" ref="F54:G54" ca="1" si="6">SUM(F43,F45,F49,F53,F51)</f>
        <v>514332.84296795196</v>
      </c>
      <c r="G54" s="1711">
        <f t="shared" si="6"/>
        <v>0</v>
      </c>
    </row>
    <row r="55" spans="1:7">
      <c r="A55" s="1858" t="s">
        <v>760</v>
      </c>
      <c r="B55" s="1858"/>
      <c r="C55" s="1858"/>
      <c r="D55" s="1858"/>
      <c r="E55" s="1711">
        <f ca="1">E37+E54</f>
        <v>78872714.854607403</v>
      </c>
      <c r="F55" s="1711">
        <f t="shared" ref="F55:G55" ca="1" si="7">F37+F54</f>
        <v>501286.04467087518</v>
      </c>
      <c r="G55" s="1711">
        <f t="shared" si="7"/>
        <v>0</v>
      </c>
    </row>
    <row r="56" spans="1:7">
      <c r="E56" s="1712"/>
      <c r="F56" s="1712"/>
      <c r="G56" s="1712"/>
    </row>
    <row r="57" spans="1:7">
      <c r="D57" s="1694" t="s">
        <v>2277</v>
      </c>
      <c r="E57" s="1711">
        <f ca="1">Resultado!C5</f>
        <v>78872714.854607403</v>
      </c>
      <c r="F57" s="1711">
        <f ca="1">(SUMIFS(Financeiros[Valor],Financeiros[iddet1],20)+SUMIFS(Financeiros[Valor],Financeiros[iddet1],22)+SUMIFS(Financeiros[Valor],Financeiros[iddet1],19,Financeiros[iddet2],64))</f>
        <v>501286.04467087606</v>
      </c>
      <c r="G57" s="1711">
        <f>(SUMIFS(Financeiros[Valor],Financeiros[iddet1],19,Financeiros[iddet2],60))</f>
        <v>0</v>
      </c>
    </row>
    <row r="58" spans="1:7">
      <c r="D58" s="1694" t="s">
        <v>2222</v>
      </c>
      <c r="E58" s="1711" t="str">
        <f ca="1">IF(ABS(E55-E57)&gt;1,"verificar sparta","ok")</f>
        <v>ok</v>
      </c>
      <c r="F58" s="1711" t="str">
        <f t="shared" ref="F58" ca="1" si="8">IF(ABS(F55-F57)&gt;1,"verificar sparta","ok")</f>
        <v>ok</v>
      </c>
      <c r="G58" s="1711" t="str">
        <f>IF(ABS(G55-G57)&gt;1,"verificar sparta","ok")</f>
        <v>ok</v>
      </c>
    </row>
    <row r="59" spans="1:7">
      <c r="E59" s="1712"/>
      <c r="F59" s="1712"/>
      <c r="G59" s="1712"/>
    </row>
    <row r="60" spans="1:7">
      <c r="D60" s="1694" t="s">
        <v>2223</v>
      </c>
      <c r="E60" s="1711">
        <f ca="1">SUMIFS(TabelaBadNet[valor],TabelaBadNet[id_Natureza_dado],2,TabelaBadNet[id_Detalhe_Natureza],1,TabelaBadNet[id_Unidade],3,TabelaBadNet[idDet1],51)</f>
        <v>78872714.854607403</v>
      </c>
      <c r="F60" s="1711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501286.04467087606</v>
      </c>
      <c r="G60" s="1711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94" t="s">
        <v>2222</v>
      </c>
      <c r="E61" s="1711" t="str">
        <f ca="1">IF(ABS(E60-E55)&gt;1,"verificar badnet","ok")</f>
        <v>ok</v>
      </c>
      <c r="F61" s="1711" t="str">
        <f t="shared" ref="F61:G61" ca="1" si="9">IF(ABS(F60-F55)&gt;1,"verificar badnet","ok")</f>
        <v>ok</v>
      </c>
      <c r="G61" s="1711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A212" zoomScaleNormal="100" workbookViewId="0">
      <selection activeCell="I237" sqref="I237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1389</v>
      </c>
      <c r="B1" t="s">
        <v>1407</v>
      </c>
      <c r="C1" t="s">
        <v>22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1286</v>
      </c>
      <c r="J1" t="s">
        <v>1287</v>
      </c>
      <c r="K1" t="s">
        <v>1288</v>
      </c>
      <c r="L1" t="s">
        <v>1413</v>
      </c>
      <c r="M1" t="s">
        <v>1414</v>
      </c>
      <c r="N1" t="s">
        <v>1415</v>
      </c>
      <c r="O1" t="s">
        <v>1416</v>
      </c>
      <c r="P1" t="s">
        <v>1417</v>
      </c>
      <c r="Q1" t="s">
        <v>1418</v>
      </c>
    </row>
    <row r="2" spans="1:17" s="13" customFormat="1" ht="15.75">
      <c r="A2" t="s">
        <v>696</v>
      </c>
      <c r="B2" t="s">
        <v>1419</v>
      </c>
      <c r="C2" t="s">
        <v>1403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1419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1419</v>
      </c>
      <c r="C4" t="s">
        <v>1403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1419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0.15570000000000001</v>
      </c>
      <c r="Q6" s="232">
        <f ca="1">Resultado!C7</f>
        <v>0.15570000000000001</v>
      </c>
    </row>
    <row r="7" spans="1:17" s="13" customFormat="1" ht="15.75">
      <c r="A7" t="s">
        <v>696</v>
      </c>
      <c r="B7" t="s">
        <v>1419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7.3000000000000001E-3</v>
      </c>
      <c r="Q7" s="232">
        <f ca="1">Resultado!C8</f>
        <v>7.3000000000000001E-3</v>
      </c>
    </row>
    <row r="8" spans="1:17" s="13" customFormat="1" ht="15.75">
      <c r="A8" t="s">
        <v>696</v>
      </c>
      <c r="B8" t="s">
        <v>1419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0.16300000000000001</v>
      </c>
      <c r="Q8" s="232">
        <f ca="1">Resultado!C9</f>
        <v>0.16300000000000001</v>
      </c>
    </row>
    <row r="9" spans="1:17" s="13" customFormat="1" ht="15.75">
      <c r="A9" t="s">
        <v>696</v>
      </c>
      <c r="B9" t="s">
        <v>1419</v>
      </c>
      <c r="C9" t="s">
        <v>1420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0.27244898201761553</v>
      </c>
      <c r="Q9" s="232">
        <f ca="1">IF(ISERROR(LnkTXTICMS),0,LnkTXTICMS)</f>
        <v>0.27244898201761553</v>
      </c>
    </row>
    <row r="10" spans="1:17" s="13" customFormat="1" ht="15.75">
      <c r="A10" t="s">
        <v>696</v>
      </c>
      <c r="B10" t="s">
        <v>1419</v>
      </c>
      <c r="C10" t="s">
        <v>1421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0</v>
      </c>
      <c r="Q10" s="232">
        <f ca="1">IF(ISERROR(LNKTXTPercPISCOFINS),0,LNKTXTPercPISCOFINS)</f>
        <v>0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56515.376889096988</v>
      </c>
      <c r="Q13" s="232">
        <f ca="1">Resultado!D17</f>
        <v>56515.376889096988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14178019.505329996</v>
      </c>
      <c r="Q14" s="232">
        <f ca="1">Encargos!I19</f>
        <v>14178019.505329996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4685193.28</v>
      </c>
      <c r="Q16" s="232">
        <f>Resultado!D20</f>
        <v>4685193.28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2572360.1980199995</v>
      </c>
      <c r="Q17" s="232">
        <f ca="1">Resultado!D21</f>
        <v>2572360.1980199995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10910249.227</v>
      </c>
      <c r="Q21" s="232">
        <f>Q22/(1-Q20)</f>
        <v>10910249.227</v>
      </c>
    </row>
    <row r="22" spans="1:17" ht="15.75">
      <c r="A22" t="s">
        <v>696</v>
      </c>
      <c r="B22" t="s">
        <v>717</v>
      </c>
      <c r="C22" t="s">
        <v>1424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10910249.227</v>
      </c>
      <c r="Q22" s="232">
        <f>CUSD!C3</f>
        <v>10910249.227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1429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197311.52174999996</v>
      </c>
      <c r="Q31" s="232">
        <f ca="1">Energia!D5</f>
        <v>197311.52174999996</v>
      </c>
    </row>
    <row r="32" spans="1:17" ht="15.75">
      <c r="A32" t="s">
        <v>696</v>
      </c>
      <c r="B32" t="s">
        <v>108</v>
      </c>
      <c r="C32" t="s">
        <v>1430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7957.6449000000139</v>
      </c>
      <c r="Q32" s="232">
        <f ca="1">Energia!N17</f>
        <v>7957.6449000000139</v>
      </c>
    </row>
    <row r="33" spans="1:17" ht="15.75">
      <c r="A33" t="s">
        <v>696</v>
      </c>
      <c r="B33" t="s">
        <v>108</v>
      </c>
      <c r="C33" t="s">
        <v>1431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264.0994619395625</v>
      </c>
      <c r="Q34" s="232">
        <f ca="1">Energia!N18</f>
        <v>264.0994619395625</v>
      </c>
    </row>
    <row r="35" spans="1:17" ht="15.75">
      <c r="A35" t="s">
        <v>696</v>
      </c>
      <c r="B35" t="s">
        <v>108</v>
      </c>
      <c r="C35" t="s">
        <v>1433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6073.9553880604362</v>
      </c>
      <c r="Q35" s="232">
        <f ca="1">Energia!N19</f>
        <v>6073.9553880604362</v>
      </c>
    </row>
    <row r="36" spans="1:17" ht="15.75">
      <c r="A36" t="s">
        <v>696</v>
      </c>
      <c r="B36" t="s">
        <v>108</v>
      </c>
      <c r="C36" t="s">
        <v>1434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4.1668850805158711E-2</v>
      </c>
      <c r="Q36" s="232">
        <f ca="1">Energia!N14</f>
        <v>4.1668850805158711E-2</v>
      </c>
    </row>
    <row r="37" spans="1:17" s="12" customFormat="1" ht="15.75">
      <c r="A37" t="s">
        <v>696</v>
      </c>
      <c r="B37" t="s">
        <v>108</v>
      </c>
      <c r="C37" t="s">
        <v>1435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3.3188143635255962E-2</v>
      </c>
      <c r="Q38" s="232">
        <f ca="1">Energia!N15</f>
        <v>3.3188143635255962E-2</v>
      </c>
    </row>
    <row r="39" spans="1:17" s="15" customFormat="1" ht="15.75">
      <c r="A39" t="s">
        <v>696</v>
      </c>
      <c r="B39" t="s">
        <v>108</v>
      </c>
      <c r="C39" t="s">
        <v>1437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34056834.917027861</v>
      </c>
      <c r="Q39" s="232">
        <f ca="1">Energia!D15</f>
        <v>34056834.917027861</v>
      </c>
    </row>
    <row r="40" spans="1:17" ht="15.75">
      <c r="A40" t="s">
        <v>695</v>
      </c>
      <c r="B40" t="s">
        <v>108</v>
      </c>
      <c r="C40" t="s">
        <v>1438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172.60439033144232</v>
      </c>
      <c r="Q40" s="232">
        <f ca="1">Energia!D14</f>
        <v>172.60439033144232</v>
      </c>
    </row>
    <row r="41" spans="1:17" ht="15.75">
      <c r="A41" t="s">
        <v>695</v>
      </c>
      <c r="B41" t="s">
        <v>108</v>
      </c>
      <c r="C41" t="s">
        <v>1439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3159.0104146825497</v>
      </c>
      <c r="Q41" s="232">
        <f>Energia!C20</f>
        <v>3159.0104146825497</v>
      </c>
    </row>
    <row r="42" spans="1:17" ht="15.75">
      <c r="A42" t="s">
        <v>696</v>
      </c>
      <c r="B42" t="s">
        <v>108</v>
      </c>
      <c r="C42" t="s">
        <v>1440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147151.67389717791</v>
      </c>
      <c r="Q42" s="232">
        <f ca="1">Energia!C23</f>
        <v>147151.67389717791</v>
      </c>
    </row>
    <row r="43" spans="1:17" ht="15.75">
      <c r="A43" t="s">
        <v>696</v>
      </c>
      <c r="B43" t="s">
        <v>108</v>
      </c>
      <c r="C43" s="9" t="s">
        <v>1441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25634393.615485448</v>
      </c>
      <c r="Q43" s="232">
        <f ca="1">Energia!F23</f>
        <v>25634393.615485448</v>
      </c>
    </row>
    <row r="44" spans="1:17" s="12" customFormat="1" ht="15.75">
      <c r="A44" t="s">
        <v>696</v>
      </c>
      <c r="B44" t="s">
        <v>108</v>
      </c>
      <c r="C44" t="s">
        <v>1442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2</v>
      </c>
      <c r="M47">
        <v>9</v>
      </c>
      <c r="N47">
        <v>4</v>
      </c>
      <c r="O47">
        <f>VALUE(Energia!A28)</f>
        <v>5697</v>
      </c>
      <c r="P47" s="232">
        <f t="shared" si="0"/>
        <v>0</v>
      </c>
      <c r="Q47" s="232">
        <f>Energia!F28</f>
        <v>0</v>
      </c>
    </row>
    <row r="48" spans="1:17" s="12" customFormat="1" ht="15.75">
      <c r="A48" t="s">
        <v>696</v>
      </c>
      <c r="B48" t="s">
        <v>108</v>
      </c>
      <c r="C48" s="9" t="s">
        <v>1445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183015.82199999996</v>
      </c>
      <c r="Q52" s="232">
        <f ca="1">FornecimentoE</f>
        <v>183015.82199999996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1450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1451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146123.73299999995</v>
      </c>
      <c r="Q62" s="232">
        <f ca="1">Calc_Mercado!C13</f>
        <v>146123.73299999995</v>
      </c>
    </row>
    <row r="63" spans="1:17" s="12" customFormat="1" ht="15.75">
      <c r="A63" t="s">
        <v>696</v>
      </c>
      <c r="B63" t="s">
        <v>895</v>
      </c>
      <c r="C63" t="s">
        <v>1454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36892.089</v>
      </c>
      <c r="Q64" s="232">
        <f ca="1">FornecimentoE_BT</f>
        <v>36892.089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68234943.710620001</v>
      </c>
      <c r="Q65" s="232">
        <f ca="1">Calc_Mercado!D8</f>
        <v>68234943.710620001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14418</v>
      </c>
      <c r="Q70" s="232">
        <f ca="1">Calc_Mercado!D21</f>
        <v>14418</v>
      </c>
    </row>
    <row r="71" spans="1:17" ht="15.75">
      <c r="A71" t="s">
        <v>696</v>
      </c>
      <c r="B71" t="s">
        <v>895</v>
      </c>
      <c r="C71" t="s">
        <v>1449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1450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1451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53364850.632400014</v>
      </c>
      <c r="Q75" s="232">
        <f ca="1">Calc_Mercado!D13</f>
        <v>53364850.632400014</v>
      </c>
    </row>
    <row r="76" spans="1:17" ht="15.75">
      <c r="A76" t="s">
        <v>696</v>
      </c>
      <c r="B76" t="s">
        <v>895</v>
      </c>
      <c r="C76" t="s">
        <v>1454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14870093.078219993</v>
      </c>
      <c r="Q77" s="232">
        <f ca="1">Calc_Mercado!D15</f>
        <v>14870093.078219993</v>
      </c>
    </row>
    <row r="78" spans="1:17" ht="15.75">
      <c r="A78" t="s">
        <v>696</v>
      </c>
      <c r="B78" t="s">
        <v>895</v>
      </c>
      <c r="C78" t="s">
        <v>1456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183015.82199999996</v>
      </c>
      <c r="Q80" s="232">
        <f ca="1">LnkTXTEV</f>
        <v>183015.82199999996</v>
      </c>
    </row>
    <row r="81" spans="1:17" ht="15.75">
      <c r="A81" t="s">
        <v>696</v>
      </c>
      <c r="B81" t="s">
        <v>104</v>
      </c>
      <c r="C81" t="s">
        <v>1459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12993300.34</v>
      </c>
      <c r="Q81" s="232">
        <f>Resultado!D39</f>
        <v>12993300.34</v>
      </c>
    </row>
    <row r="82" spans="1:17" ht="15.75">
      <c r="A82" t="s">
        <v>696</v>
      </c>
      <c r="B82" t="s">
        <v>72</v>
      </c>
      <c r="C82" t="s">
        <v>1460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1461</v>
      </c>
      <c r="B83" t="s">
        <v>1462</v>
      </c>
      <c r="C83" t="s">
        <v>1463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1461</v>
      </c>
      <c r="B84" t="s">
        <v>1462</v>
      </c>
      <c r="C84" t="s">
        <v>1464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1</v>
      </c>
      <c r="Q84" s="232">
        <f ca="1">IF(CAPA!C110="Revisão",1,0)</f>
        <v>1</v>
      </c>
    </row>
    <row r="85" spans="1:17" ht="15.75">
      <c r="A85" t="s">
        <v>1461</v>
      </c>
      <c r="B85" t="s">
        <v>1462</v>
      </c>
      <c r="C85" t="s">
        <v>1465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1466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197311.52174999996</v>
      </c>
      <c r="Q87" s="232">
        <f ca="1">Energia!D5</f>
        <v>197311.52174999996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34056834.917027861</v>
      </c>
      <c r="Q88" s="232">
        <f ca="1">Energia!D15</f>
        <v>34056834.917027861</v>
      </c>
    </row>
    <row r="89" spans="1:17" ht="15.75">
      <c r="A89" s="16" t="s">
        <v>696</v>
      </c>
      <c r="B89" s="16" t="s">
        <v>1467</v>
      </c>
      <c r="C89" s="16" t="s">
        <v>1468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65879414.5146074</v>
      </c>
      <c r="Q89" s="232">
        <f ca="1">Resultado!D34</f>
        <v>65879414.5146074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12993300.34</v>
      </c>
      <c r="Q90" s="232">
        <f>Resultado!D39</f>
        <v>12993300.34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20912330.370579544</v>
      </c>
      <c r="Q91" s="232">
        <f ca="1">Resultado!D14</f>
        <v>20912330.370579544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10910249.227</v>
      </c>
      <c r="Q92" s="232">
        <f>Resultado!D24</f>
        <v>10910249.227</v>
      </c>
    </row>
    <row r="93" spans="1:17" ht="15.75">
      <c r="A93" s="16" t="s">
        <v>696</v>
      </c>
      <c r="B93" s="16" t="s">
        <v>1467</v>
      </c>
      <c r="C93" s="16" t="s">
        <v>1469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78872714.854607403</v>
      </c>
      <c r="Q93" s="232">
        <f ca="1">Resultado!C5</f>
        <v>78872714.854607403</v>
      </c>
    </row>
    <row r="94" spans="1:17" ht="15.75">
      <c r="A94" s="16" t="s">
        <v>696</v>
      </c>
      <c r="B94" s="16" t="s">
        <v>108</v>
      </c>
      <c r="C94" s="16" t="s">
        <v>1470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3.3188143635255962E-2</v>
      </c>
      <c r="Q94" s="232">
        <f ca="1">Energia!N15</f>
        <v>3.3188143635255962E-2</v>
      </c>
    </row>
    <row r="95" spans="1:17" ht="15.75">
      <c r="A95" s="16" t="s">
        <v>696</v>
      </c>
      <c r="B95" s="16" t="s">
        <v>108</v>
      </c>
      <c r="C95" s="16" t="s">
        <v>1471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6338.0548499999986</v>
      </c>
      <c r="Q95" s="232">
        <f ca="1">Energia!N18+Energia!N19</f>
        <v>6338.0548499999986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31660728.081992824</v>
      </c>
      <c r="Q96" s="232">
        <f ca="1">Resultado!C33</f>
        <v>31660728.081992824</v>
      </c>
    </row>
    <row r="97" spans="1:17" ht="15.75">
      <c r="A97" s="16" t="s">
        <v>695</v>
      </c>
      <c r="B97" s="16" t="s">
        <v>1467</v>
      </c>
      <c r="C97" s="16" t="s">
        <v>1472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68249361.710620001</v>
      </c>
      <c r="Q97" s="232">
        <f ca="1">Mercado_RA0_Reais</f>
        <v>68249361.710620001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501286.04467087536</v>
      </c>
      <c r="Q98" s="232">
        <f ca="1">Financeiros!D7</f>
        <v>501286.04467087536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7.3449191627073095E-3</v>
      </c>
      <c r="Q99" s="232">
        <f ca="1">Financeiros!E7</f>
        <v>7.3449191627073095E-3</v>
      </c>
    </row>
    <row r="100" spans="1:17" ht="15.75">
      <c r="A100" s="16" t="s">
        <v>696</v>
      </c>
      <c r="B100" s="16" t="s">
        <v>1473</v>
      </c>
      <c r="C100" s="16" t="s">
        <v>1474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79374000.899278283</v>
      </c>
      <c r="Q100" s="232">
        <f ca="1">Resultado!C5+Financeiros!D7/(1+IF(Q86&gt;0,Q86,0))</f>
        <v>79374000.899278283</v>
      </c>
    </row>
    <row r="101" spans="1:17" ht="15.75">
      <c r="A101" t="s">
        <v>696</v>
      </c>
      <c r="B101" t="s">
        <v>72</v>
      </c>
      <c r="C101" t="s">
        <v>1460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197311.52174999996</v>
      </c>
      <c r="Q102" s="232">
        <f ca="1">Energia!D5</f>
        <v>197311.52174999996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34056834.917027861</v>
      </c>
      <c r="Q103" s="232">
        <f ca="1">Energia!D15</f>
        <v>34056834.917027861</v>
      </c>
    </row>
    <row r="104" spans="1:17" ht="15.75">
      <c r="A104" t="s">
        <v>696</v>
      </c>
      <c r="B104" t="s">
        <v>108</v>
      </c>
      <c r="C104" t="s">
        <v>1476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14295.699750000013</v>
      </c>
      <c r="Q104" s="232">
        <f ca="1">SUM(LnkTXTPerdas)</f>
        <v>14295.699750000013</v>
      </c>
    </row>
    <row r="105" spans="1:17" ht="15.75">
      <c r="A105" s="16" t="s">
        <v>696</v>
      </c>
      <c r="B105" s="16" t="s">
        <v>1473</v>
      </c>
      <c r="C105" s="16" t="s">
        <v>1477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686197</v>
      </c>
      <c r="Q105" s="232">
        <f ca="1">SUM(INDIRECT("dados_MercadoBase[D]"))</f>
        <v>686197</v>
      </c>
    </row>
    <row r="106" spans="1:17" ht="15.75">
      <c r="A106" t="s">
        <v>696</v>
      </c>
      <c r="B106" t="s">
        <v>1473</v>
      </c>
      <c r="C106" t="s">
        <v>1478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183015.82199999996</v>
      </c>
      <c r="Q106" s="232">
        <f ca="1">SUM(INDIRECT("dados_MercadoBase[TUSD_E]"))</f>
        <v>183015.82199999996</v>
      </c>
    </row>
    <row r="107" spans="1:17" ht="15.75">
      <c r="A107" s="16" t="s">
        <v>695</v>
      </c>
      <c r="B107" s="16" t="s">
        <v>717</v>
      </c>
      <c r="C107" s="16" t="s">
        <v>1479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1425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1426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1427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1480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1473</v>
      </c>
      <c r="C113" s="16" t="s">
        <v>1481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183015.82199999996</v>
      </c>
      <c r="Q113" s="232">
        <f ca="1">SUM(INDIRECT("dados_MercadoBase[TE_E]"))</f>
        <v>183015.82199999996</v>
      </c>
    </row>
    <row r="114" spans="1:19" ht="15.75">
      <c r="A114" t="s">
        <v>696</v>
      </c>
      <c r="B114" t="s">
        <v>1482</v>
      </c>
      <c r="C114" t="s">
        <v>1483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1482</v>
      </c>
      <c r="C115" s="16" t="s">
        <v>1484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1482</v>
      </c>
      <c r="C116" t="s">
        <v>1485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7082878.0199999996</v>
      </c>
      <c r="Q116" s="232">
        <f>CAPA!D32</f>
        <v>7082878.0199999996</v>
      </c>
      <c r="S116" s="9"/>
    </row>
    <row r="117" spans="1:19" ht="15.75">
      <c r="A117" s="16" t="s">
        <v>696</v>
      </c>
      <c r="B117" s="16" t="s">
        <v>1482</v>
      </c>
      <c r="C117" s="16" t="s">
        <v>1486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1482</v>
      </c>
      <c r="C118" t="s">
        <v>1487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5910422.3200000003</v>
      </c>
      <c r="Q118" s="232">
        <f>CAPA!D33</f>
        <v>5910422.3200000003</v>
      </c>
    </row>
    <row r="119" spans="1:19" ht="15.75">
      <c r="A119" s="16" t="s">
        <v>696</v>
      </c>
      <c r="B119" s="16" t="s">
        <v>1482</v>
      </c>
      <c r="C119" s="16" t="s">
        <v>1488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12993300.34</v>
      </c>
      <c r="Q119" s="232">
        <f>Resultado!D39</f>
        <v>12993300.34</v>
      </c>
    </row>
    <row r="120" spans="1:19" ht="15.75">
      <c r="A120" t="s">
        <v>696</v>
      </c>
      <c r="B120" t="s">
        <v>1482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 t="str">
        <f>VLOOKUP(LnkTXTSigla,Informacoes[],16,FALSE)</f>
        <v>-</v>
      </c>
    </row>
    <row r="121" spans="1:19" ht="15.75">
      <c r="A121" t="s">
        <v>1473</v>
      </c>
      <c r="B121" t="s">
        <v>1489</v>
      </c>
      <c r="C121" t="s">
        <v>1490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1473</v>
      </c>
      <c r="B122" t="s">
        <v>1489</v>
      </c>
      <c r="C122" t="s">
        <v>1491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0.47014358236485049</v>
      </c>
      <c r="Q122" s="232">
        <f>'Tabelas e Gráficos'!BP312</f>
        <v>0.47014358236485049</v>
      </c>
    </row>
    <row r="123" spans="1:19" ht="15.75">
      <c r="A123" t="s">
        <v>1473</v>
      </c>
      <c r="B123" t="s">
        <v>1489</v>
      </c>
      <c r="C123" t="s">
        <v>1492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1473</v>
      </c>
      <c r="B124" t="s">
        <v>1489</v>
      </c>
      <c r="C124" t="s">
        <v>1493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18.780113741576315</v>
      </c>
      <c r="Q124" s="232">
        <f>'Tabelas e Gráficos'!BP314</f>
        <v>18.780113741576315</v>
      </c>
    </row>
    <row r="125" spans="1:19" ht="15.75">
      <c r="A125" t="s">
        <v>1473</v>
      </c>
      <c r="B125" t="s">
        <v>1489</v>
      </c>
      <c r="C125" t="s">
        <v>1494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-2147.1971532116054</v>
      </c>
      <c r="Q125" s="232">
        <f>'Tabelas e Gráficos'!BP315</f>
        <v>-2147.1971532116054</v>
      </c>
    </row>
    <row r="126" spans="1:19" ht="15.75">
      <c r="A126" t="s">
        <v>1473</v>
      </c>
      <c r="B126" t="s">
        <v>1489</v>
      </c>
      <c r="C126" t="s">
        <v>1495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2792.717388839204</v>
      </c>
      <c r="Q126" s="232">
        <f>'Tabelas e Gráficos'!BP316</f>
        <v>2792.717388839204</v>
      </c>
    </row>
    <row r="127" spans="1:19" ht="15.75">
      <c r="A127" t="s">
        <v>1473</v>
      </c>
      <c r="B127" t="s">
        <v>1489</v>
      </c>
      <c r="C127" t="s">
        <v>1496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1473</v>
      </c>
      <c r="B128" t="s">
        <v>1489</v>
      </c>
      <c r="C128" t="s">
        <v>1497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724.90019962392773</v>
      </c>
      <c r="Q128" s="232">
        <f>'Tabelas e Gráficos'!BQ312</f>
        <v>724.90019962392773</v>
      </c>
    </row>
    <row r="129" spans="1:17" ht="15.75">
      <c r="A129" t="s">
        <v>1473</v>
      </c>
      <c r="B129" t="s">
        <v>1489</v>
      </c>
      <c r="C129" t="s">
        <v>1498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1473</v>
      </c>
      <c r="B130" t="s">
        <v>1489</v>
      </c>
      <c r="C130" t="s">
        <v>1499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582.16349980775169</v>
      </c>
      <c r="Q130" s="232">
        <f>'Tabelas e Gráficos'!BQ314</f>
        <v>582.16349980775169</v>
      </c>
    </row>
    <row r="131" spans="1:17" ht="15.75">
      <c r="A131" t="s">
        <v>1473</v>
      </c>
      <c r="B131" t="s">
        <v>1489</v>
      </c>
      <c r="C131" t="s">
        <v>1500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20201.777046315732</v>
      </c>
      <c r="Q131" s="232">
        <f>'Tabelas e Gráficos'!BQ315</f>
        <v>20201.777046315732</v>
      </c>
    </row>
    <row r="132" spans="1:17" ht="15.75">
      <c r="A132" t="s">
        <v>1473</v>
      </c>
      <c r="B132" t="s">
        <v>1489</v>
      </c>
      <c r="C132" t="s">
        <v>1501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19077.629587083586</v>
      </c>
      <c r="Q132" s="232">
        <f>'Tabelas e Gráficos'!BQ316</f>
        <v>19077.629587083586</v>
      </c>
    </row>
    <row r="133" spans="1:17" ht="15.75">
      <c r="A133" t="s">
        <v>1473</v>
      </c>
      <c r="B133" t="s">
        <v>1489</v>
      </c>
      <c r="C133" t="s">
        <v>1502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1473</v>
      </c>
      <c r="B134" t="s">
        <v>1489</v>
      </c>
      <c r="C134" t="s">
        <v>1503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725.37034320629255</v>
      </c>
      <c r="Q134" s="232">
        <f>'Tabelas e Gráficos'!BR312</f>
        <v>725.37034320629255</v>
      </c>
    </row>
    <row r="135" spans="1:17" ht="15.75">
      <c r="A135" t="s">
        <v>1473</v>
      </c>
      <c r="B135" t="s">
        <v>1489</v>
      </c>
      <c r="C135" t="s">
        <v>1504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1473</v>
      </c>
      <c r="B136" t="s">
        <v>1489</v>
      </c>
      <c r="C136" t="s">
        <v>1505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600.94361354932801</v>
      </c>
      <c r="Q136" s="232">
        <f>'Tabelas e Gráficos'!BR314</f>
        <v>600.94361354932801</v>
      </c>
    </row>
    <row r="137" spans="1:17" ht="15.75">
      <c r="A137" t="s">
        <v>1473</v>
      </c>
      <c r="B137" t="s">
        <v>1489</v>
      </c>
      <c r="C137" t="s">
        <v>1506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18054.579893104128</v>
      </c>
      <c r="Q137" s="232">
        <f>'Tabelas e Gráficos'!BR315</f>
        <v>18054.579893104128</v>
      </c>
    </row>
    <row r="138" spans="1:17" ht="15.75">
      <c r="A138" t="s">
        <v>1473</v>
      </c>
      <c r="B138" t="s">
        <v>1489</v>
      </c>
      <c r="C138" t="s">
        <v>1507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21870.346975922788</v>
      </c>
      <c r="Q138" s="232">
        <f>'Tabelas e Gráficos'!BR316</f>
        <v>21870.346975922788</v>
      </c>
    </row>
    <row r="139" spans="1:17" ht="15.75">
      <c r="A139" s="848" t="s">
        <v>696</v>
      </c>
      <c r="B139" s="848" t="s">
        <v>72</v>
      </c>
      <c r="C139" s="848" t="s">
        <v>1508</v>
      </c>
      <c r="D139" s="848">
        <v>2</v>
      </c>
      <c r="E139" s="848">
        <v>1</v>
      </c>
      <c r="F139" s="848">
        <v>51</v>
      </c>
      <c r="G139" s="848">
        <v>73</v>
      </c>
      <c r="H139" s="848">
        <v>999</v>
      </c>
      <c r="I139" s="848">
        <v>3</v>
      </c>
      <c r="J139" s="848">
        <v>15</v>
      </c>
      <c r="K139" s="848">
        <v>1</v>
      </c>
      <c r="L139" s="848">
        <v>99</v>
      </c>
      <c r="M139" s="848">
        <v>9</v>
      </c>
      <c r="N139" s="848">
        <v>3</v>
      </c>
      <c r="O139" s="848">
        <v>99999</v>
      </c>
      <c r="P139" s="232">
        <f t="shared" si="4"/>
        <v>1856987.5503404515</v>
      </c>
      <c r="Q139" s="232">
        <f>Encargos!I20</f>
        <v>1856987.5503404515</v>
      </c>
    </row>
    <row r="140" spans="1:17" ht="15.75">
      <c r="A140" s="848" t="s">
        <v>696</v>
      </c>
      <c r="B140" s="848" t="s">
        <v>108</v>
      </c>
      <c r="C140" s="848" t="str">
        <f>Energia!$B$21</f>
        <v>Angra</v>
      </c>
      <c r="D140" s="848">
        <v>1</v>
      </c>
      <c r="E140" s="848">
        <v>1</v>
      </c>
      <c r="F140" s="848">
        <v>8</v>
      </c>
      <c r="G140" s="848">
        <v>999999</v>
      </c>
      <c r="H140" s="848">
        <v>999</v>
      </c>
      <c r="I140" s="848">
        <v>2</v>
      </c>
      <c r="J140" s="848">
        <v>999</v>
      </c>
      <c r="K140" s="848">
        <v>9</v>
      </c>
      <c r="L140" s="848">
        <v>99</v>
      </c>
      <c r="M140" s="848">
        <v>9</v>
      </c>
      <c r="N140" s="848">
        <v>2</v>
      </c>
      <c r="O140" s="848">
        <v>99999</v>
      </c>
      <c r="P140" s="910">
        <f t="shared" ref="P140:P147" ca="1" si="5">IF(ISNUMBER(Q140),Q140,0)</f>
        <v>7079.8525363058243</v>
      </c>
      <c r="Q140" s="232">
        <f ca="1">Energia!$C$21</f>
        <v>7079.8525363058243</v>
      </c>
    </row>
    <row r="141" spans="1:17" ht="15.75">
      <c r="A141" s="848" t="s">
        <v>696</v>
      </c>
      <c r="B141" s="848" t="s">
        <v>108</v>
      </c>
      <c r="C141" s="848" t="str">
        <f>Energia!B21</f>
        <v>Angra</v>
      </c>
      <c r="D141" s="848">
        <v>1</v>
      </c>
      <c r="E141" s="848">
        <v>1</v>
      </c>
      <c r="F141" s="848">
        <v>8</v>
      </c>
      <c r="G141" s="848">
        <v>999999</v>
      </c>
      <c r="H141" s="848">
        <v>999</v>
      </c>
      <c r="I141" s="848">
        <v>2</v>
      </c>
      <c r="J141" s="848">
        <v>999</v>
      </c>
      <c r="K141" s="848">
        <v>9</v>
      </c>
      <c r="L141" s="848">
        <v>99</v>
      </c>
      <c r="M141" s="848">
        <v>9</v>
      </c>
      <c r="N141" s="848">
        <v>3</v>
      </c>
      <c r="O141" s="848">
        <v>99999</v>
      </c>
      <c r="P141" s="910">
        <f t="shared" ca="1" si="5"/>
        <v>2471930.5130511783</v>
      </c>
      <c r="Q141" s="232">
        <f ca="1">Energia!$F$21</f>
        <v>2471930.5130511783</v>
      </c>
    </row>
    <row r="142" spans="1:17" ht="15.75">
      <c r="A142" s="848" t="s">
        <v>696</v>
      </c>
      <c r="B142" s="848" t="s">
        <v>108</v>
      </c>
      <c r="C142" s="848" t="str">
        <f>Energia!$B$22</f>
        <v>CCGF</v>
      </c>
      <c r="D142" s="848">
        <v>1</v>
      </c>
      <c r="E142" s="848">
        <v>1</v>
      </c>
      <c r="F142" s="848">
        <v>17</v>
      </c>
      <c r="G142" s="848">
        <v>999999</v>
      </c>
      <c r="H142" s="848">
        <v>999</v>
      </c>
      <c r="I142" s="848">
        <v>2</v>
      </c>
      <c r="J142" s="848">
        <v>999</v>
      </c>
      <c r="K142" s="848">
        <v>9</v>
      </c>
      <c r="L142" s="848">
        <v>99</v>
      </c>
      <c r="M142" s="848">
        <v>9</v>
      </c>
      <c r="N142" s="848">
        <v>2</v>
      </c>
      <c r="O142" s="848">
        <v>0</v>
      </c>
      <c r="P142" s="910">
        <f t="shared" ca="1" si="5"/>
        <v>39920.984901833675</v>
      </c>
      <c r="Q142" s="232">
        <f ca="1">Energia!$C$22</f>
        <v>39920.984901833675</v>
      </c>
    </row>
    <row r="143" spans="1:17" ht="15.75">
      <c r="A143" s="848" t="s">
        <v>696</v>
      </c>
      <c r="B143" s="848" t="s">
        <v>108</v>
      </c>
      <c r="C143" s="848" t="str">
        <f>Energia!$B$22</f>
        <v>CCGF</v>
      </c>
      <c r="D143" s="848">
        <v>1</v>
      </c>
      <c r="E143" s="848">
        <v>1</v>
      </c>
      <c r="F143" s="848">
        <v>17</v>
      </c>
      <c r="G143" s="848">
        <v>999999</v>
      </c>
      <c r="H143" s="848">
        <v>999</v>
      </c>
      <c r="I143" s="848">
        <v>2</v>
      </c>
      <c r="J143" s="848">
        <v>999</v>
      </c>
      <c r="K143" s="848">
        <v>9</v>
      </c>
      <c r="L143" s="848">
        <v>99</v>
      </c>
      <c r="M143" s="848">
        <v>9</v>
      </c>
      <c r="N143" s="848">
        <v>3</v>
      </c>
      <c r="O143" s="848">
        <v>0</v>
      </c>
      <c r="P143" s="910">
        <f t="shared" ca="1" si="5"/>
        <v>5950510.7884912305</v>
      </c>
      <c r="Q143" s="232">
        <f ca="1">Energia!$F$22</f>
        <v>5950510.7884912305</v>
      </c>
    </row>
    <row r="144" spans="1:17" ht="15.75">
      <c r="A144" s="848" t="s">
        <v>696</v>
      </c>
      <c r="B144" s="848" t="s">
        <v>72</v>
      </c>
      <c r="C144" s="848" t="s">
        <v>2054</v>
      </c>
      <c r="D144" s="848">
        <v>1</v>
      </c>
      <c r="E144" s="848">
        <v>1</v>
      </c>
      <c r="F144" s="848">
        <v>999</v>
      </c>
      <c r="G144" s="848">
        <v>999999</v>
      </c>
      <c r="H144" s="848">
        <v>999</v>
      </c>
      <c r="I144" s="848">
        <v>3</v>
      </c>
      <c r="J144" s="848">
        <v>35</v>
      </c>
      <c r="K144" s="848">
        <v>9</v>
      </c>
      <c r="L144" s="848">
        <v>99</v>
      </c>
      <c r="M144" s="848">
        <v>9</v>
      </c>
      <c r="N144" s="848">
        <v>3</v>
      </c>
      <c r="O144" s="848">
        <v>99999</v>
      </c>
      <c r="P144" s="910">
        <f>IF(ISNUMBER(Q144),Q144,0)</f>
        <v>4613800.7</v>
      </c>
      <c r="Q144" s="232">
        <f>Encargos!L17</f>
        <v>4613800.7</v>
      </c>
    </row>
    <row r="145" spans="1:17" ht="15.75">
      <c r="A145" s="848" t="s">
        <v>696</v>
      </c>
      <c r="B145" s="848" t="s">
        <v>72</v>
      </c>
      <c r="C145" s="848" t="s">
        <v>2056</v>
      </c>
      <c r="D145" s="848">
        <v>2</v>
      </c>
      <c r="E145" s="848">
        <v>1</v>
      </c>
      <c r="F145" s="848">
        <v>51</v>
      </c>
      <c r="G145" s="848">
        <v>999999</v>
      </c>
      <c r="H145" s="848">
        <v>999</v>
      </c>
      <c r="I145" s="848">
        <v>3</v>
      </c>
      <c r="J145" s="848">
        <v>28</v>
      </c>
      <c r="K145" s="848">
        <v>2</v>
      </c>
      <c r="L145" s="848">
        <v>99</v>
      </c>
      <c r="M145" s="848">
        <v>9</v>
      </c>
      <c r="N145" s="848">
        <v>3</v>
      </c>
      <c r="O145" s="848">
        <v>99999</v>
      </c>
      <c r="P145" s="910">
        <f>IF(ISNUMBER(Q145),Q145,0)</f>
        <v>-2436745.54</v>
      </c>
      <c r="Q145" s="232">
        <f>Encargos!I21</f>
        <v>-2436745.54</v>
      </c>
    </row>
    <row r="146" spans="1:17" ht="15.75">
      <c r="A146" s="848" t="s">
        <v>1461</v>
      </c>
      <c r="B146" s="848" t="s">
        <v>108</v>
      </c>
      <c r="C146" s="848" t="s">
        <v>2158</v>
      </c>
      <c r="D146" s="848">
        <v>3</v>
      </c>
      <c r="E146" s="848">
        <v>1</v>
      </c>
      <c r="F146" s="848">
        <v>37</v>
      </c>
      <c r="G146" s="848">
        <v>999999</v>
      </c>
      <c r="H146" s="848">
        <v>999</v>
      </c>
      <c r="I146" s="848">
        <v>99</v>
      </c>
      <c r="J146" s="848">
        <v>999</v>
      </c>
      <c r="K146" s="848">
        <v>9</v>
      </c>
      <c r="L146" s="848">
        <v>99</v>
      </c>
      <c r="M146" s="848">
        <v>9</v>
      </c>
      <c r="N146" s="848">
        <v>8</v>
      </c>
      <c r="O146" s="848">
        <v>99999</v>
      </c>
      <c r="P146" s="910">
        <f ca="1">IF(ISNUMBER(Q146),Q146,0)</f>
        <v>8.4092924995572069E-2</v>
      </c>
      <c r="Q146" s="232">
        <f ca="1">Energia!L35</f>
        <v>8.4092924995572069E-2</v>
      </c>
    </row>
    <row r="147" spans="1:17" ht="15.75">
      <c r="A147" s="848" t="s">
        <v>696</v>
      </c>
      <c r="B147" s="848" t="s">
        <v>1290</v>
      </c>
      <c r="C147" s="848" t="str">
        <f>Financeiros!C9</f>
        <v>Repasse de PIS COFINS CUSD</v>
      </c>
      <c r="D147" s="848">
        <v>2</v>
      </c>
      <c r="E147" s="848">
        <v>2</v>
      </c>
      <c r="F147" s="848">
        <f>Financeiros!H9</f>
        <v>22</v>
      </c>
      <c r="G147" s="848">
        <f>Financeiros!I9</f>
        <v>60</v>
      </c>
      <c r="H147" s="848">
        <f>Financeiros!J9</f>
        <v>999</v>
      </c>
      <c r="I147" s="848">
        <f>Financeiros!K9</f>
        <v>1</v>
      </c>
      <c r="J147" s="848">
        <f>Financeiros!L9</f>
        <v>7</v>
      </c>
      <c r="K147" s="848">
        <f>Financeiros!M9</f>
        <v>9</v>
      </c>
      <c r="L147" s="848">
        <v>99</v>
      </c>
      <c r="M147" s="848">
        <v>9</v>
      </c>
      <c r="N147" s="848">
        <v>3</v>
      </c>
      <c r="O147" s="848">
        <v>99999</v>
      </c>
      <c r="P147" s="910">
        <f t="shared" si="5"/>
        <v>356920.86616963765</v>
      </c>
      <c r="Q147" s="232">
        <f>Financeiros!D9</f>
        <v>356920.86616963765</v>
      </c>
    </row>
    <row r="148" spans="1:17" ht="15.75">
      <c r="A148" s="848" t="s">
        <v>696</v>
      </c>
      <c r="B148" s="848" t="s">
        <v>1290</v>
      </c>
      <c r="C148" s="848" t="str">
        <f>Financeiros!C10</f>
        <v>Repasse de PIS COFINS TE - Energia - Energia de Revenda</v>
      </c>
      <c r="D148" s="848">
        <v>2</v>
      </c>
      <c r="E148" s="848">
        <v>2</v>
      </c>
      <c r="F148" s="848">
        <f>Financeiros!H10</f>
        <v>22</v>
      </c>
      <c r="G148" s="848">
        <f>Financeiros!I10</f>
        <v>60</v>
      </c>
      <c r="H148" s="848">
        <f>Financeiros!J10</f>
        <v>999</v>
      </c>
      <c r="I148" s="848">
        <f>Financeiros!K10</f>
        <v>2</v>
      </c>
      <c r="J148" s="848">
        <f>Financeiros!L10</f>
        <v>11</v>
      </c>
      <c r="K148" s="848">
        <f>Financeiros!M10</f>
        <v>9</v>
      </c>
      <c r="L148" s="848">
        <v>99</v>
      </c>
      <c r="M148" s="848">
        <v>9</v>
      </c>
      <c r="N148" s="848">
        <v>3</v>
      </c>
      <c r="O148" s="848">
        <v>99999</v>
      </c>
      <c r="P148" s="910">
        <f t="shared" ref="P148:P211" ca="1" si="6">IF(ISNUMBER(Q148),Q148,0)</f>
        <v>227536.58613992165</v>
      </c>
      <c r="Q148" s="232">
        <f ca="1">Financeiros!D10</f>
        <v>227536.58613992165</v>
      </c>
    </row>
    <row r="149" spans="1:17" ht="15.75">
      <c r="A149" s="848" t="s">
        <v>696</v>
      </c>
      <c r="B149" s="848" t="s">
        <v>1290</v>
      </c>
      <c r="C149" s="848" t="str">
        <f>Financeiros!C11</f>
        <v>Repasse de PIS COFINS TE - Energia - Perda Não Técnica</v>
      </c>
      <c r="D149" s="848">
        <v>2</v>
      </c>
      <c r="E149" s="848">
        <v>2</v>
      </c>
      <c r="F149" s="848">
        <f>Financeiros!H11</f>
        <v>22</v>
      </c>
      <c r="G149" s="848">
        <f>Financeiros!I11</f>
        <v>60</v>
      </c>
      <c r="H149" s="848">
        <f>Financeiros!J11</f>
        <v>999</v>
      </c>
      <c r="I149" s="848">
        <f>Financeiros!K11</f>
        <v>2</v>
      </c>
      <c r="J149" s="848">
        <f>Financeiros!L11</f>
        <v>9</v>
      </c>
      <c r="K149" s="848">
        <f>Financeiros!M11</f>
        <v>9</v>
      </c>
      <c r="L149" s="848">
        <v>99</v>
      </c>
      <c r="M149" s="848">
        <v>9</v>
      </c>
      <c r="N149" s="848">
        <v>3</v>
      </c>
      <c r="O149" s="848">
        <v>99999</v>
      </c>
      <c r="P149" s="910">
        <f t="shared" ca="1" si="6"/>
        <v>0</v>
      </c>
      <c r="Q149" s="232">
        <f ca="1">Financeiros!D11</f>
        <v>0</v>
      </c>
    </row>
    <row r="150" spans="1:17" ht="15.75">
      <c r="A150" s="848" t="s">
        <v>696</v>
      </c>
      <c r="B150" s="848" t="s">
        <v>1290</v>
      </c>
      <c r="C150" s="848" t="str">
        <f>Financeiros!C12</f>
        <v>Repasse de PIS COFINS TE - Energia - Perda Técnica</v>
      </c>
      <c r="D150" s="848">
        <v>2</v>
      </c>
      <c r="E150" s="848">
        <v>2</v>
      </c>
      <c r="F150" s="848">
        <f>Financeiros!H12</f>
        <v>22</v>
      </c>
      <c r="G150" s="848">
        <f>Financeiros!I12</f>
        <v>60</v>
      </c>
      <c r="H150" s="848">
        <f>Financeiros!J12</f>
        <v>999</v>
      </c>
      <c r="I150" s="848">
        <f>Financeiros!K12</f>
        <v>2</v>
      </c>
      <c r="J150" s="848">
        <f>Financeiros!L12</f>
        <v>8</v>
      </c>
      <c r="K150" s="848">
        <f>Financeiros!M12</f>
        <v>9</v>
      </c>
      <c r="L150" s="848">
        <v>99</v>
      </c>
      <c r="M150" s="848">
        <v>9</v>
      </c>
      <c r="N150" s="848">
        <v>3</v>
      </c>
      <c r="O150" s="848">
        <v>99999</v>
      </c>
      <c r="P150" s="910">
        <f t="shared" ca="1" si="6"/>
        <v>9893.436176571453</v>
      </c>
      <c r="Q150" s="232">
        <f ca="1">Financeiros!D12</f>
        <v>9893.436176571453</v>
      </c>
    </row>
    <row r="151" spans="1:17" ht="15.75">
      <c r="A151" s="848" t="s">
        <v>696</v>
      </c>
      <c r="B151" s="848" t="s">
        <v>1290</v>
      </c>
      <c r="C151" s="848" t="str">
        <f>Financeiros!C13</f>
        <v>Repasse de PIS COFINS TE - Energia - Perda Rede Básica sobre Dist.</v>
      </c>
      <c r="D151" s="848">
        <v>2</v>
      </c>
      <c r="E151" s="848">
        <v>2</v>
      </c>
      <c r="F151" s="848">
        <f>Financeiros!H13</f>
        <v>22</v>
      </c>
      <c r="G151" s="848">
        <f>Financeiros!I13</f>
        <v>60</v>
      </c>
      <c r="H151" s="848">
        <f>Financeiros!J13</f>
        <v>999</v>
      </c>
      <c r="I151" s="848">
        <f>Financeiros!K13</f>
        <v>2</v>
      </c>
      <c r="J151" s="848">
        <f>Financeiros!L13</f>
        <v>10</v>
      </c>
      <c r="K151" s="848">
        <f>Financeiros!M13</f>
        <v>9</v>
      </c>
      <c r="L151" s="848">
        <v>99</v>
      </c>
      <c r="M151" s="848">
        <v>9</v>
      </c>
      <c r="N151" s="848">
        <v>3</v>
      </c>
      <c r="O151" s="848">
        <v>99999</v>
      </c>
      <c r="P151" s="910">
        <f t="shared" ca="1" si="6"/>
        <v>328.34478087429096</v>
      </c>
      <c r="Q151" s="232">
        <f ca="1">Financeiros!D13</f>
        <v>328.34478087429096</v>
      </c>
    </row>
    <row r="152" spans="1:17" ht="15.75">
      <c r="A152" s="848" t="s">
        <v>696</v>
      </c>
      <c r="B152" s="848" t="s">
        <v>1290</v>
      </c>
      <c r="C152" s="848" t="str">
        <f>Financeiros!C14</f>
        <v>Repasse de PIS COFINS TE - Energia - Perda Rede Básica sobre mercado Cat.</v>
      </c>
      <c r="D152" s="848">
        <v>2</v>
      </c>
      <c r="E152" s="848">
        <v>2</v>
      </c>
      <c r="F152" s="848">
        <f>Financeiros!H14</f>
        <v>22</v>
      </c>
      <c r="G152" s="848">
        <f>Financeiros!I14</f>
        <v>60</v>
      </c>
      <c r="H152" s="848">
        <f>Financeiros!J14</f>
        <v>999</v>
      </c>
      <c r="I152" s="848">
        <f>Financeiros!K14</f>
        <v>2</v>
      </c>
      <c r="J152" s="848">
        <f>Financeiros!L14</f>
        <v>24</v>
      </c>
      <c r="K152" s="848">
        <f>Financeiros!M14</f>
        <v>9</v>
      </c>
      <c r="L152" s="848">
        <v>99</v>
      </c>
      <c r="M152" s="848">
        <v>9</v>
      </c>
      <c r="N152" s="848">
        <v>3</v>
      </c>
      <c r="O152" s="848">
        <v>99999</v>
      </c>
      <c r="P152" s="910">
        <f t="shared" ca="1" si="6"/>
        <v>7551.5169030875095</v>
      </c>
      <c r="Q152" s="232">
        <f ca="1">Financeiros!D14</f>
        <v>7551.5169030875095</v>
      </c>
    </row>
    <row r="153" spans="1:17" ht="15.75">
      <c r="A153" s="848" t="s">
        <v>696</v>
      </c>
      <c r="B153" s="848" t="s">
        <v>1290</v>
      </c>
      <c r="C153" s="848" t="str">
        <f>Financeiros!C15</f>
        <v>(Neutralidade) TFSEE</v>
      </c>
      <c r="D153" s="848">
        <v>2</v>
      </c>
      <c r="E153" s="848">
        <v>2</v>
      </c>
      <c r="F153" s="848">
        <f>Financeiros!H15</f>
        <v>20</v>
      </c>
      <c r="G153" s="848">
        <f>Financeiros!I15</f>
        <v>60</v>
      </c>
      <c r="H153" s="848">
        <f>Financeiros!J15</f>
        <v>999</v>
      </c>
      <c r="I153" s="848">
        <f>Financeiros!K15</f>
        <v>3</v>
      </c>
      <c r="J153" s="848">
        <f>Financeiros!L15</f>
        <v>14</v>
      </c>
      <c r="K153" s="848">
        <f>Financeiros!M15</f>
        <v>9</v>
      </c>
      <c r="L153" s="848">
        <v>99</v>
      </c>
      <c r="M153" s="848">
        <v>9</v>
      </c>
      <c r="N153" s="848">
        <v>3</v>
      </c>
      <c r="O153" s="848">
        <v>99999</v>
      </c>
      <c r="P153" s="910">
        <f t="shared" ca="1" si="6"/>
        <v>-537.79841689214891</v>
      </c>
      <c r="Q153" s="232">
        <f ca="1">Financeiros!D15</f>
        <v>-537.79841689214891</v>
      </c>
    </row>
    <row r="154" spans="1:17" ht="15.75">
      <c r="A154" s="848" t="s">
        <v>696</v>
      </c>
      <c r="B154" s="848" t="s">
        <v>1290</v>
      </c>
      <c r="C154" s="848" t="str">
        <f>Financeiros!C16</f>
        <v>(Neutralidade) CDE</v>
      </c>
      <c r="D154" s="848">
        <v>2</v>
      </c>
      <c r="E154" s="848">
        <v>2</v>
      </c>
      <c r="F154" s="848">
        <f>Financeiros!H16</f>
        <v>20</v>
      </c>
      <c r="G154" s="848">
        <f>Financeiros!I16</f>
        <v>60</v>
      </c>
      <c r="H154" s="848">
        <f>Financeiros!J16</f>
        <v>999</v>
      </c>
      <c r="I154" s="848">
        <f>Financeiros!K16</f>
        <v>3</v>
      </c>
      <c r="J154" s="848">
        <f>Financeiros!L16</f>
        <v>15</v>
      </c>
      <c r="K154" s="848">
        <f>Financeiros!M16</f>
        <v>9</v>
      </c>
      <c r="L154" s="848">
        <v>99</v>
      </c>
      <c r="M154" s="848">
        <v>9</v>
      </c>
      <c r="N154" s="848">
        <v>3</v>
      </c>
      <c r="O154" s="848">
        <v>99999</v>
      </c>
      <c r="P154" s="910">
        <f t="shared" ca="1" si="6"/>
        <v>-89284.939796970168</v>
      </c>
      <c r="Q154" s="232">
        <f ca="1">Financeiros!D16</f>
        <v>-89284.939796970168</v>
      </c>
    </row>
    <row r="155" spans="1:17" ht="15.75">
      <c r="A155" s="848" t="s">
        <v>696</v>
      </c>
      <c r="B155" s="848" t="s">
        <v>1290</v>
      </c>
      <c r="C155" s="848" t="str">
        <f>Financeiros!C17</f>
        <v>(Neutralidade) CFURH</v>
      </c>
      <c r="D155" s="848">
        <v>2</v>
      </c>
      <c r="E155" s="848">
        <v>2</v>
      </c>
      <c r="F155" s="848">
        <f>Financeiros!H17</f>
        <v>20</v>
      </c>
      <c r="G155" s="848">
        <f>Financeiros!I17</f>
        <v>60</v>
      </c>
      <c r="H155" s="848">
        <f>Financeiros!J17</f>
        <v>999</v>
      </c>
      <c r="I155" s="848">
        <f>Financeiros!K17</f>
        <v>3</v>
      </c>
      <c r="J155" s="848">
        <f>Financeiros!L17</f>
        <v>16</v>
      </c>
      <c r="K155" s="848">
        <f>Financeiros!M17</f>
        <v>9</v>
      </c>
      <c r="L155" s="848">
        <v>99</v>
      </c>
      <c r="M155" s="848">
        <v>9</v>
      </c>
      <c r="N155" s="848">
        <v>3</v>
      </c>
      <c r="O155" s="848">
        <v>99999</v>
      </c>
      <c r="P155" s="910">
        <f t="shared" si="6"/>
        <v>0</v>
      </c>
      <c r="Q155" s="232">
        <f>Financeiros!D17</f>
        <v>0</v>
      </c>
    </row>
    <row r="156" spans="1:17" ht="15.75">
      <c r="A156" s="848" t="s">
        <v>696</v>
      </c>
      <c r="B156" s="848" t="s">
        <v>1290</v>
      </c>
      <c r="C156" s="848" t="str">
        <f>Financeiros!C18</f>
        <v>(Neutralidade) ESS/ERR</v>
      </c>
      <c r="D156" s="848">
        <v>2</v>
      </c>
      <c r="E156" s="848">
        <v>2</v>
      </c>
      <c r="F156" s="848">
        <f>Financeiros!H18</f>
        <v>20</v>
      </c>
      <c r="G156" s="848">
        <f>Financeiros!I18</f>
        <v>60</v>
      </c>
      <c r="H156" s="848">
        <f>Financeiros!J18</f>
        <v>999</v>
      </c>
      <c r="I156" s="848">
        <f>Financeiros!K18</f>
        <v>3</v>
      </c>
      <c r="J156" s="848">
        <f>Financeiros!L18</f>
        <v>17</v>
      </c>
      <c r="K156" s="848">
        <f>Financeiros!M18</f>
        <v>9</v>
      </c>
      <c r="L156" s="848">
        <v>99</v>
      </c>
      <c r="M156" s="848">
        <v>9</v>
      </c>
      <c r="N156" s="848">
        <v>3</v>
      </c>
      <c r="O156" s="848">
        <v>99999</v>
      </c>
      <c r="P156" s="910">
        <f t="shared" ca="1" si="6"/>
        <v>-13683.049005881176</v>
      </c>
      <c r="Q156" s="232">
        <f ca="1">Financeiros!D18</f>
        <v>-13683.049005881176</v>
      </c>
    </row>
    <row r="157" spans="1:17" ht="15.75">
      <c r="A157" s="848" t="s">
        <v>696</v>
      </c>
      <c r="B157" s="848" t="s">
        <v>1290</v>
      </c>
      <c r="C157" s="848" t="str">
        <f>Financeiros!C19</f>
        <v>(Neutralidade) PROINFA</v>
      </c>
      <c r="D157" s="848">
        <v>2</v>
      </c>
      <c r="E157" s="848">
        <v>2</v>
      </c>
      <c r="F157" s="848">
        <f>Financeiros!H19</f>
        <v>20</v>
      </c>
      <c r="G157" s="848">
        <f>Financeiros!I19</f>
        <v>60</v>
      </c>
      <c r="H157" s="848">
        <f>Financeiros!J19</f>
        <v>999</v>
      </c>
      <c r="I157" s="848">
        <f>Financeiros!K19</f>
        <v>3</v>
      </c>
      <c r="J157" s="848">
        <f>Financeiros!L19</f>
        <v>18</v>
      </c>
      <c r="K157" s="848">
        <f>Financeiros!M19</f>
        <v>9</v>
      </c>
      <c r="L157" s="848">
        <v>99</v>
      </c>
      <c r="M157" s="848">
        <v>9</v>
      </c>
      <c r="N157" s="848">
        <v>3</v>
      </c>
      <c r="O157" s="848">
        <v>99999</v>
      </c>
      <c r="P157" s="910">
        <f t="shared" ca="1" si="6"/>
        <v>-16855.927409038261</v>
      </c>
      <c r="Q157" s="232">
        <f ca="1">Financeiros!D19</f>
        <v>-16855.927409038261</v>
      </c>
    </row>
    <row r="158" spans="1:17" ht="15.75">
      <c r="A158" s="848" t="s">
        <v>696</v>
      </c>
      <c r="B158" s="848" t="s">
        <v>1290</v>
      </c>
      <c r="C158" s="848" t="str">
        <f>Financeiros!C20</f>
        <v>(Neutralidade) CDE COVID</v>
      </c>
      <c r="D158" s="848">
        <v>2</v>
      </c>
      <c r="E158" s="848">
        <v>2</v>
      </c>
      <c r="F158" s="848">
        <f>Financeiros!H20</f>
        <v>20</v>
      </c>
      <c r="G158" s="848">
        <f>Financeiros!I20</f>
        <v>60</v>
      </c>
      <c r="H158" s="848">
        <f>Financeiros!J20</f>
        <v>999</v>
      </c>
      <c r="I158" s="848">
        <f>Financeiros!K20</f>
        <v>3</v>
      </c>
      <c r="J158" s="848">
        <f>Financeiros!L20</f>
        <v>12</v>
      </c>
      <c r="K158" s="848">
        <f>Financeiros!M20</f>
        <v>9</v>
      </c>
      <c r="L158" s="848">
        <v>99</v>
      </c>
      <c r="M158" s="848">
        <v>9</v>
      </c>
      <c r="N158" s="848">
        <v>3</v>
      </c>
      <c r="O158" s="848">
        <v>99999</v>
      </c>
      <c r="P158" s="910">
        <f t="shared" ca="1" si="6"/>
        <v>-17026.32732051827</v>
      </c>
      <c r="Q158" s="232">
        <f ca="1">Financeiros!D20</f>
        <v>-17026.32732051827</v>
      </c>
    </row>
    <row r="159" spans="1:17" ht="15.75">
      <c r="A159" s="848" t="s">
        <v>696</v>
      </c>
      <c r="B159" s="848" t="s">
        <v>1290</v>
      </c>
      <c r="C159" s="848" t="str">
        <f>Financeiros!C21</f>
        <v>(Neutralidade) P&amp;D</v>
      </c>
      <c r="D159" s="848">
        <v>2</v>
      </c>
      <c r="E159" s="848">
        <v>2</v>
      </c>
      <c r="F159" s="848">
        <f>Financeiros!H21</f>
        <v>20</v>
      </c>
      <c r="G159" s="848">
        <f>Financeiros!I21</f>
        <v>60</v>
      </c>
      <c r="H159" s="848">
        <f>Financeiros!J21</f>
        <v>999</v>
      </c>
      <c r="I159" s="848">
        <f>Financeiros!K21</f>
        <v>3</v>
      </c>
      <c r="J159" s="848">
        <f>Financeiros!L21</f>
        <v>19</v>
      </c>
      <c r="K159" s="848">
        <f>Financeiros!M21</f>
        <v>9</v>
      </c>
      <c r="L159" s="848">
        <v>99</v>
      </c>
      <c r="M159" s="848">
        <v>9</v>
      </c>
      <c r="N159" s="848">
        <v>3</v>
      </c>
      <c r="O159" s="848">
        <v>99999</v>
      </c>
      <c r="P159" s="910">
        <f t="shared" ca="1" si="6"/>
        <v>0</v>
      </c>
      <c r="Q159" s="232">
        <f ca="1">Financeiros!D21</f>
        <v>0</v>
      </c>
    </row>
    <row r="160" spans="1:17" ht="15.75">
      <c r="A160" s="848" t="s">
        <v>696</v>
      </c>
      <c r="B160" s="848" t="s">
        <v>1290</v>
      </c>
      <c r="C160" s="848" t="str">
        <f>Financeiros!C22</f>
        <v>(Neutralidade)Financeiro Covid</v>
      </c>
      <c r="D160" s="848">
        <v>2</v>
      </c>
      <c r="E160" s="848">
        <v>2</v>
      </c>
      <c r="F160" s="848">
        <f>Financeiros!H22</f>
        <v>20</v>
      </c>
      <c r="G160" s="848">
        <f>Financeiros!I22</f>
        <v>60</v>
      </c>
      <c r="H160" s="848">
        <f>Financeiros!J22</f>
        <v>999</v>
      </c>
      <c r="I160" s="848">
        <f>Financeiros!K22</f>
        <v>4</v>
      </c>
      <c r="J160" s="848">
        <f>Financeiros!L22</f>
        <v>999</v>
      </c>
      <c r="K160" s="848">
        <f>Financeiros!M22</f>
        <v>9</v>
      </c>
      <c r="L160" s="848">
        <v>99</v>
      </c>
      <c r="M160" s="848">
        <v>9</v>
      </c>
      <c r="N160" s="848">
        <v>3</v>
      </c>
      <c r="O160" s="848">
        <v>99999</v>
      </c>
      <c r="P160" s="910">
        <f t="shared" ca="1" si="6"/>
        <v>45172.198439775719</v>
      </c>
      <c r="Q160" s="232">
        <f ca="1">Financeiros!D22</f>
        <v>45172.198439775719</v>
      </c>
    </row>
    <row r="161" spans="1:17" ht="15.75">
      <c r="A161" s="848" t="s">
        <v>696</v>
      </c>
      <c r="B161" s="848" t="s">
        <v>1290</v>
      </c>
      <c r="C161" s="848" t="str">
        <f>Financeiros!C23</f>
        <v>(Neutralidade)Crédito Pis Cofins</v>
      </c>
      <c r="D161" s="848">
        <v>2</v>
      </c>
      <c r="E161" s="848">
        <v>2</v>
      </c>
      <c r="F161" s="848">
        <f>Financeiros!H23</f>
        <v>20</v>
      </c>
      <c r="G161" s="848">
        <f>Financeiros!I23</f>
        <v>60</v>
      </c>
      <c r="H161" s="848">
        <f>Financeiros!J23</f>
        <v>179</v>
      </c>
      <c r="I161" s="848">
        <f>Financeiros!K23</f>
        <v>99</v>
      </c>
      <c r="J161" s="848">
        <f>Financeiros!L23</f>
        <v>999</v>
      </c>
      <c r="K161" s="848">
        <f>Financeiros!M23</f>
        <v>3</v>
      </c>
      <c r="L161" s="848">
        <v>99</v>
      </c>
      <c r="M161" s="848">
        <v>9</v>
      </c>
      <c r="N161" s="848">
        <v>3</v>
      </c>
      <c r="O161" s="848">
        <v>99999</v>
      </c>
      <c r="P161" s="910">
        <f t="shared" ca="1" si="6"/>
        <v>0</v>
      </c>
      <c r="Q161" s="232">
        <f ca="1">Financeiros!D23</f>
        <v>0</v>
      </c>
    </row>
    <row r="162" spans="1:17" ht="15.75">
      <c r="A162" s="848" t="s">
        <v>696</v>
      </c>
      <c r="B162" s="848" t="s">
        <v>1290</v>
      </c>
      <c r="C162" s="848" t="str">
        <f>Financeiros!C24</f>
        <v>Ajuste CUST RB + PIS Cofins RB</v>
      </c>
      <c r="D162" s="848">
        <v>2</v>
      </c>
      <c r="E162" s="848">
        <v>2</v>
      </c>
      <c r="F162" s="848">
        <f>Financeiros!H24</f>
        <v>22</v>
      </c>
      <c r="G162" s="848">
        <f>Financeiros!I24</f>
        <v>60</v>
      </c>
      <c r="H162" s="848">
        <f>Financeiros!J24</f>
        <v>999</v>
      </c>
      <c r="I162" s="848">
        <f>Financeiros!K24</f>
        <v>1</v>
      </c>
      <c r="J162" s="848">
        <f>Financeiros!L24</f>
        <v>1</v>
      </c>
      <c r="K162" s="848">
        <f>Financeiros!M24</f>
        <v>9</v>
      </c>
      <c r="L162" s="848">
        <v>99</v>
      </c>
      <c r="M162" s="848">
        <v>9</v>
      </c>
      <c r="N162" s="848">
        <v>3</v>
      </c>
      <c r="O162" s="848">
        <v>99999</v>
      </c>
      <c r="P162" s="910">
        <f t="shared" si="6"/>
        <v>0</v>
      </c>
      <c r="Q162" s="232">
        <f>Financeiros!D24</f>
        <v>0</v>
      </c>
    </row>
    <row r="163" spans="1:17" ht="15.75">
      <c r="A163" s="848" t="s">
        <v>696</v>
      </c>
      <c r="B163" s="848" t="s">
        <v>1290</v>
      </c>
      <c r="C163" s="848" t="str">
        <f>Financeiros!C25</f>
        <v>Ajuste CUST RB Fronteira + PIS Cofins RB Fronteira</v>
      </c>
      <c r="D163" s="848">
        <v>2</v>
      </c>
      <c r="E163" s="848">
        <v>2</v>
      </c>
      <c r="F163" s="848">
        <f>Financeiros!H25</f>
        <v>22</v>
      </c>
      <c r="G163" s="848">
        <f>Financeiros!I25</f>
        <v>60</v>
      </c>
      <c r="H163" s="848">
        <f>Financeiros!J25</f>
        <v>999</v>
      </c>
      <c r="I163" s="848">
        <f>Financeiros!K25</f>
        <v>1</v>
      </c>
      <c r="J163" s="848">
        <f>Financeiros!L25</f>
        <v>2</v>
      </c>
      <c r="K163" s="848">
        <f>Financeiros!M25</f>
        <v>9</v>
      </c>
      <c r="L163" s="848">
        <v>99</v>
      </c>
      <c r="M163" s="848">
        <v>9</v>
      </c>
      <c r="N163" s="848">
        <v>3</v>
      </c>
      <c r="O163" s="848">
        <v>99999</v>
      </c>
      <c r="P163" s="910">
        <f t="shared" si="6"/>
        <v>0</v>
      </c>
      <c r="Q163" s="232">
        <f>Financeiros!D25</f>
        <v>0</v>
      </c>
    </row>
    <row r="164" spans="1:17" ht="15.75">
      <c r="A164" s="848" t="s">
        <v>696</v>
      </c>
      <c r="B164" s="848" t="s">
        <v>1290</v>
      </c>
      <c r="C164" s="848" t="str">
        <f>Financeiros!C26</f>
        <v>Manual de Contabilidade do Setor Elétrico</v>
      </c>
      <c r="D164" s="848">
        <v>2</v>
      </c>
      <c r="E164" s="848">
        <v>2</v>
      </c>
      <c r="F164" s="848">
        <f>Financeiros!H26</f>
        <v>22</v>
      </c>
      <c r="G164" s="848">
        <f>Financeiros!I26</f>
        <v>60</v>
      </c>
      <c r="H164" s="848">
        <f>Financeiros!J26</f>
        <v>167</v>
      </c>
      <c r="I164" s="848">
        <f>Financeiros!K26</f>
        <v>4</v>
      </c>
      <c r="J164" s="848">
        <f>Financeiros!L26</f>
        <v>999</v>
      </c>
      <c r="K164" s="848">
        <f>Financeiros!M26</f>
        <v>9</v>
      </c>
      <c r="L164" s="848">
        <v>99</v>
      </c>
      <c r="M164" s="848">
        <v>9</v>
      </c>
      <c r="N164" s="848">
        <v>3</v>
      </c>
      <c r="O164" s="848">
        <v>99999</v>
      </c>
      <c r="P164" s="910">
        <f t="shared" si="6"/>
        <v>0</v>
      </c>
      <c r="Q164" s="232">
        <f>Financeiros!D26</f>
        <v>0</v>
      </c>
    </row>
    <row r="165" spans="1:17" ht="15.75">
      <c r="A165" s="848" t="s">
        <v>696</v>
      </c>
      <c r="B165" s="848" t="s">
        <v>1290</v>
      </c>
      <c r="C165" s="848" t="str">
        <f>Financeiros!C27</f>
        <v>Financeiro CDE Eletrobras</v>
      </c>
      <c r="D165" s="848">
        <v>2</v>
      </c>
      <c r="E165" s="848">
        <v>2</v>
      </c>
      <c r="F165" s="848">
        <f>Financeiros!H27</f>
        <v>22</v>
      </c>
      <c r="G165" s="848">
        <f>Financeiros!I27</f>
        <v>60</v>
      </c>
      <c r="H165" s="848">
        <f>Financeiros!J27</f>
        <v>999</v>
      </c>
      <c r="I165" s="848">
        <f>Financeiros!K27</f>
        <v>3</v>
      </c>
      <c r="J165" s="848">
        <f>Financeiros!L27</f>
        <v>28</v>
      </c>
      <c r="K165" s="848">
        <f>Financeiros!M27</f>
        <v>9</v>
      </c>
      <c r="L165" s="848">
        <v>99</v>
      </c>
      <c r="M165" s="848">
        <v>9</v>
      </c>
      <c r="N165" s="848">
        <v>3</v>
      </c>
      <c r="O165" s="848">
        <v>99999</v>
      </c>
      <c r="P165" s="910">
        <f t="shared" si="6"/>
        <v>0</v>
      </c>
      <c r="Q165" s="232">
        <f>Financeiros!D27</f>
        <v>0</v>
      </c>
    </row>
    <row r="166" spans="1:17" ht="15.75">
      <c r="A166" s="848" t="s">
        <v>696</v>
      </c>
      <c r="B166" s="848" t="s">
        <v>1290</v>
      </c>
      <c r="C166" s="848" t="str">
        <f>Financeiros!C28</f>
        <v>Ajustes Processos anteriores</v>
      </c>
      <c r="D166" s="848">
        <v>2</v>
      </c>
      <c r="E166" s="848">
        <v>2</v>
      </c>
      <c r="F166" s="848">
        <f>Financeiros!H28</f>
        <v>22</v>
      </c>
      <c r="G166" s="848">
        <f>Financeiros!I28</f>
        <v>60</v>
      </c>
      <c r="H166" s="848">
        <f>Financeiros!J28</f>
        <v>999</v>
      </c>
      <c r="I166" s="848">
        <f>Financeiros!K28</f>
        <v>2</v>
      </c>
      <c r="J166" s="848">
        <f>Financeiros!L28</f>
        <v>30</v>
      </c>
      <c r="K166" s="848">
        <f>Financeiros!M28</f>
        <v>9</v>
      </c>
      <c r="L166" s="848">
        <v>99</v>
      </c>
      <c r="M166" s="848">
        <v>9</v>
      </c>
      <c r="N166" s="848">
        <v>3</v>
      </c>
      <c r="O166" s="848">
        <v>99999</v>
      </c>
      <c r="P166" s="910">
        <f t="shared" si="6"/>
        <v>0</v>
      </c>
      <c r="Q166" s="232">
        <f>Financeiros!D28</f>
        <v>0</v>
      </c>
    </row>
    <row r="167" spans="1:17" ht="15.75">
      <c r="A167" s="848" t="s">
        <v>696</v>
      </c>
      <c r="B167" s="848" t="s">
        <v>1290</v>
      </c>
      <c r="C167" s="848" t="str">
        <f>Financeiros!C29</f>
        <v>Compensação DIC FIC</v>
      </c>
      <c r="D167" s="848">
        <v>2</v>
      </c>
      <c r="E167" s="848">
        <v>2</v>
      </c>
      <c r="F167" s="848">
        <f>Financeiros!H29</f>
        <v>22</v>
      </c>
      <c r="G167" s="848">
        <f>Financeiros!I29</f>
        <v>60</v>
      </c>
      <c r="H167" s="848">
        <f>Financeiros!J29</f>
        <v>178</v>
      </c>
      <c r="I167" s="848">
        <f>Financeiros!K29</f>
        <v>1</v>
      </c>
      <c r="J167" s="848">
        <f>Financeiros!L29</f>
        <v>7</v>
      </c>
      <c r="K167" s="848">
        <f>Financeiros!M29</f>
        <v>9</v>
      </c>
      <c r="L167" s="848">
        <v>99</v>
      </c>
      <c r="M167" s="848">
        <v>9</v>
      </c>
      <c r="N167" s="848">
        <v>3</v>
      </c>
      <c r="O167" s="848">
        <v>99999</v>
      </c>
      <c r="P167" s="910">
        <f t="shared" si="6"/>
        <v>0</v>
      </c>
      <c r="Q167" s="232">
        <f>Financeiros!D29</f>
        <v>0</v>
      </c>
    </row>
    <row r="168" spans="1:17" ht="15.75">
      <c r="A168" s="848" t="s">
        <v>696</v>
      </c>
      <c r="B168" s="848" t="s">
        <v>1290</v>
      </c>
      <c r="C168" s="848" t="str">
        <f>Financeiros!C30</f>
        <v>Subvenção CDE</v>
      </c>
      <c r="D168" s="848">
        <v>2</v>
      </c>
      <c r="E168" s="848">
        <v>2</v>
      </c>
      <c r="F168" s="848">
        <f>Financeiros!H30</f>
        <v>22</v>
      </c>
      <c r="G168" s="848">
        <f>Financeiros!I30</f>
        <v>60</v>
      </c>
      <c r="H168" s="848">
        <f>Financeiros!J30</f>
        <v>242</v>
      </c>
      <c r="I168" s="848">
        <f>Financeiros!K30</f>
        <v>4</v>
      </c>
      <c r="J168" s="848">
        <f>Financeiros!L30</f>
        <v>999</v>
      </c>
      <c r="K168" s="848">
        <f>Financeiros!M30</f>
        <v>9</v>
      </c>
      <c r="L168" s="848">
        <v>99</v>
      </c>
      <c r="M168" s="848">
        <v>9</v>
      </c>
      <c r="N168" s="848">
        <v>3</v>
      </c>
      <c r="O168" s="848">
        <v>99999</v>
      </c>
      <c r="P168" s="910">
        <f t="shared" ca="1" si="6"/>
        <v>0</v>
      </c>
      <c r="Q168" s="232">
        <f ca="1">Financeiros!D30</f>
        <v>0</v>
      </c>
    </row>
    <row r="169" spans="1:17" ht="15.75">
      <c r="A169" s="848" t="s">
        <v>696</v>
      </c>
      <c r="B169" s="848" t="s">
        <v>1290</v>
      </c>
      <c r="C169" s="848" t="str">
        <f>Financeiros!C31</f>
        <v>Retenção de Adicionais de Bandeiras Tarifárias</v>
      </c>
      <c r="D169" s="848">
        <v>2</v>
      </c>
      <c r="E169" s="848">
        <v>2</v>
      </c>
      <c r="F169" s="848">
        <f>Financeiros!H31</f>
        <v>22</v>
      </c>
      <c r="G169" s="848">
        <f>Financeiros!I31</f>
        <v>60</v>
      </c>
      <c r="H169" s="848">
        <f>Financeiros!J31</f>
        <v>999</v>
      </c>
      <c r="I169" s="848">
        <f>Financeiros!K31</f>
        <v>2</v>
      </c>
      <c r="J169" s="848">
        <f>Financeiros!L31</f>
        <v>30</v>
      </c>
      <c r="K169" s="848">
        <f>Financeiros!M31</f>
        <v>9</v>
      </c>
      <c r="L169" s="848">
        <v>99</v>
      </c>
      <c r="M169" s="848">
        <v>9</v>
      </c>
      <c r="N169" s="848">
        <v>3</v>
      </c>
      <c r="O169" s="848">
        <v>99999</v>
      </c>
      <c r="P169" s="910">
        <f t="shared" si="6"/>
        <v>0</v>
      </c>
      <c r="Q169" s="232">
        <f>Financeiros!D31</f>
        <v>0</v>
      </c>
    </row>
    <row r="170" spans="1:17" ht="15.75">
      <c r="A170" s="848" t="s">
        <v>696</v>
      </c>
      <c r="B170" s="848" t="s">
        <v>1290</v>
      </c>
      <c r="C170" s="848" t="str">
        <f>Financeiros!C32</f>
        <v>Multa LPT</v>
      </c>
      <c r="D170" s="848">
        <v>2</v>
      </c>
      <c r="E170" s="848">
        <v>2</v>
      </c>
      <c r="F170" s="848">
        <f>Financeiros!H32</f>
        <v>22</v>
      </c>
      <c r="G170" s="848">
        <f>Financeiros!I32</f>
        <v>60</v>
      </c>
      <c r="H170" s="848">
        <f>Financeiros!J32</f>
        <v>120</v>
      </c>
      <c r="I170" s="848">
        <f>Financeiros!K32</f>
        <v>4</v>
      </c>
      <c r="J170" s="848">
        <f>Financeiros!L32</f>
        <v>999</v>
      </c>
      <c r="K170" s="848">
        <f>Financeiros!M32</f>
        <v>9</v>
      </c>
      <c r="L170" s="848">
        <v>99</v>
      </c>
      <c r="M170" s="848">
        <v>9</v>
      </c>
      <c r="N170" s="848">
        <v>3</v>
      </c>
      <c r="O170" s="848">
        <v>99999</v>
      </c>
      <c r="P170" s="910">
        <f t="shared" si="6"/>
        <v>0</v>
      </c>
      <c r="Q170" s="232">
        <f>Financeiros!D32</f>
        <v>0</v>
      </c>
    </row>
    <row r="171" spans="1:17" ht="15.75">
      <c r="A171" s="848" t="s">
        <v>696</v>
      </c>
      <c r="B171" s="848" t="s">
        <v>1290</v>
      </c>
      <c r="C171" s="848" t="str">
        <f>Financeiros!C33</f>
        <v>Repasse de ICMS CUSD</v>
      </c>
      <c r="D171" s="848">
        <v>2</v>
      </c>
      <c r="E171" s="848">
        <v>2</v>
      </c>
      <c r="F171" s="848">
        <f>Financeiros!H33</f>
        <v>22</v>
      </c>
      <c r="G171" s="848">
        <f>Financeiros!I33</f>
        <v>60</v>
      </c>
      <c r="H171" s="848">
        <f>Financeiros!J33</f>
        <v>999</v>
      </c>
      <c r="I171" s="848">
        <f>Financeiros!K33</f>
        <v>1</v>
      </c>
      <c r="J171" s="848">
        <f>Financeiros!L33</f>
        <v>7</v>
      </c>
      <c r="K171" s="848">
        <f>Financeiros!M33</f>
        <v>9</v>
      </c>
      <c r="L171" s="848">
        <v>99</v>
      </c>
      <c r="M171" s="848">
        <v>9</v>
      </c>
      <c r="N171" s="848">
        <v>3</v>
      </c>
      <c r="O171" s="848">
        <v>99999</v>
      </c>
      <c r="P171" s="910">
        <f t="shared" si="6"/>
        <v>0</v>
      </c>
      <c r="Q171" s="232">
        <f>Financeiros!D33</f>
        <v>0</v>
      </c>
    </row>
    <row r="172" spans="1:17" ht="15.75">
      <c r="A172" s="848" t="s">
        <v>696</v>
      </c>
      <c r="B172" s="848" t="s">
        <v>1290</v>
      </c>
      <c r="C172" s="848" t="str">
        <f>Financeiros!C34</f>
        <v>Repasse de ICMS TE</v>
      </c>
      <c r="D172" s="848">
        <v>2</v>
      </c>
      <c r="E172" s="848">
        <v>2</v>
      </c>
      <c r="F172" s="848">
        <f>Financeiros!H34</f>
        <v>22</v>
      </c>
      <c r="G172" s="848">
        <f>Financeiros!I34</f>
        <v>60</v>
      </c>
      <c r="H172" s="848">
        <f>Financeiros!J34</f>
        <v>999</v>
      </c>
      <c r="I172" s="848">
        <f>Financeiros!K34</f>
        <v>2</v>
      </c>
      <c r="J172" s="848">
        <f>Financeiros!L34</f>
        <v>30</v>
      </c>
      <c r="K172" s="848">
        <f>Financeiros!M34</f>
        <v>9</v>
      </c>
      <c r="L172" s="848">
        <v>99</v>
      </c>
      <c r="M172" s="848">
        <v>9</v>
      </c>
      <c r="N172" s="848">
        <v>3</v>
      </c>
      <c r="O172" s="848">
        <v>99999</v>
      </c>
      <c r="P172" s="910">
        <f t="shared" si="6"/>
        <v>0</v>
      </c>
      <c r="Q172" s="232">
        <f>Financeiros!D34</f>
        <v>0</v>
      </c>
    </row>
    <row r="173" spans="1:17" ht="15.75">
      <c r="A173" s="848" t="s">
        <v>696</v>
      </c>
      <c r="B173" s="848" t="s">
        <v>1290</v>
      </c>
      <c r="C173" s="848" t="str">
        <f>Financeiros!C35</f>
        <v>Ressarcimento P&amp;D</v>
      </c>
      <c r="D173" s="848">
        <v>2</v>
      </c>
      <c r="E173" s="848">
        <v>2</v>
      </c>
      <c r="F173" s="848">
        <f>Financeiros!H35</f>
        <v>22</v>
      </c>
      <c r="G173" s="848">
        <f>Financeiros!I35</f>
        <v>60</v>
      </c>
      <c r="H173" s="848">
        <f>Financeiros!J35</f>
        <v>999</v>
      </c>
      <c r="I173" s="848">
        <f>Financeiros!K35</f>
        <v>3</v>
      </c>
      <c r="J173" s="848">
        <f>Financeiros!L35</f>
        <v>19</v>
      </c>
      <c r="K173" s="848">
        <f>Financeiros!M35</f>
        <v>9</v>
      </c>
      <c r="L173" s="848">
        <v>99</v>
      </c>
      <c r="M173" s="848">
        <v>9</v>
      </c>
      <c r="N173" s="848">
        <v>3</v>
      </c>
      <c r="O173" s="848">
        <v>99999</v>
      </c>
      <c r="P173" s="910">
        <f t="shared" si="6"/>
        <v>0</v>
      </c>
      <c r="Q173" s="232">
        <f>Financeiros!D35</f>
        <v>0</v>
      </c>
    </row>
    <row r="174" spans="1:17" ht="15.75">
      <c r="A174" s="848" t="s">
        <v>696</v>
      </c>
      <c r="B174" s="848" t="s">
        <v>1290</v>
      </c>
      <c r="C174" s="848" t="str">
        <f>Financeiros!C36</f>
        <v>Efeito Conta COVID</v>
      </c>
      <c r="D174" s="848">
        <v>2</v>
      </c>
      <c r="E174" s="848">
        <v>2</v>
      </c>
      <c r="F174" s="848">
        <f>Financeiros!H36</f>
        <v>22</v>
      </c>
      <c r="G174" s="848">
        <f>Financeiros!I36</f>
        <v>60</v>
      </c>
      <c r="H174" s="848">
        <f>Financeiros!J36</f>
        <v>999</v>
      </c>
      <c r="I174" s="848">
        <f>Financeiros!K36</f>
        <v>4</v>
      </c>
      <c r="J174" s="848">
        <f>Financeiros!L36</f>
        <v>999</v>
      </c>
      <c r="K174" s="848">
        <f>Financeiros!M36</f>
        <v>9</v>
      </c>
      <c r="L174" s="848">
        <v>99</v>
      </c>
      <c r="M174" s="848">
        <v>9</v>
      </c>
      <c r="N174" s="848">
        <v>3</v>
      </c>
      <c r="O174" s="848">
        <v>99999</v>
      </c>
      <c r="P174" s="910">
        <f t="shared" si="6"/>
        <v>0</v>
      </c>
      <c r="Q174" s="232">
        <f>Financeiros!D36</f>
        <v>0</v>
      </c>
    </row>
    <row r="175" spans="1:17" ht="15.75">
      <c r="A175" s="848" t="s">
        <v>696</v>
      </c>
      <c r="B175" s="848" t="s">
        <v>1290</v>
      </c>
      <c r="C175" s="848" t="str">
        <f>Financeiros!C37</f>
        <v>Diferimento Parcela B</v>
      </c>
      <c r="D175" s="848">
        <v>2</v>
      </c>
      <c r="E175" s="848">
        <v>2</v>
      </c>
      <c r="F175" s="848">
        <f>Financeiros!H37</f>
        <v>22</v>
      </c>
      <c r="G175" s="848">
        <f>Financeiros!I37</f>
        <v>60</v>
      </c>
      <c r="H175" s="848">
        <f>Financeiros!J37</f>
        <v>999</v>
      </c>
      <c r="I175" s="848">
        <f>Financeiros!K37</f>
        <v>4</v>
      </c>
      <c r="J175" s="848">
        <f>Financeiros!L37</f>
        <v>999</v>
      </c>
      <c r="K175" s="848">
        <f>Financeiros!M37</f>
        <v>9</v>
      </c>
      <c r="L175" s="848">
        <v>99</v>
      </c>
      <c r="M175" s="848">
        <v>9</v>
      </c>
      <c r="N175" s="848">
        <v>3</v>
      </c>
      <c r="O175" s="848">
        <v>99999</v>
      </c>
      <c r="P175" s="910">
        <f t="shared" si="6"/>
        <v>0</v>
      </c>
      <c r="Q175" s="232">
        <f>Financeiros!D37</f>
        <v>0</v>
      </c>
    </row>
    <row r="176" spans="1:17" ht="15.75">
      <c r="A176" s="848" t="s">
        <v>696</v>
      </c>
      <c r="B176" s="848" t="s">
        <v>1290</v>
      </c>
      <c r="C176" s="848" t="str">
        <f>Financeiros!C38</f>
        <v>Efeito COVID da Supridora</v>
      </c>
      <c r="D176" s="848">
        <v>2</v>
      </c>
      <c r="E176" s="848">
        <v>2</v>
      </c>
      <c r="F176" s="848">
        <f>Financeiros!H38</f>
        <v>22</v>
      </c>
      <c r="G176" s="848">
        <f>Financeiros!I38</f>
        <v>60</v>
      </c>
      <c r="H176" s="848">
        <f>Financeiros!J38</f>
        <v>999</v>
      </c>
      <c r="I176" s="848">
        <f>Financeiros!K38</f>
        <v>2</v>
      </c>
      <c r="J176" s="848">
        <f>Financeiros!L38</f>
        <v>30</v>
      </c>
      <c r="K176" s="848">
        <f>Financeiros!M38</f>
        <v>9</v>
      </c>
      <c r="L176" s="848">
        <v>99</v>
      </c>
      <c r="M176" s="848">
        <v>9</v>
      </c>
      <c r="N176" s="848">
        <v>3</v>
      </c>
      <c r="O176" s="848">
        <v>99999</v>
      </c>
      <c r="P176" s="910">
        <f t="shared" si="6"/>
        <v>0</v>
      </c>
      <c r="Q176" s="232">
        <f>Financeiros!D38</f>
        <v>0</v>
      </c>
    </row>
    <row r="177" spans="1:17" ht="15.75">
      <c r="A177" s="848" t="s">
        <v>696</v>
      </c>
      <c r="B177" s="848" t="s">
        <v>1290</v>
      </c>
      <c r="C177" s="848" t="str">
        <f>Financeiros!C39</f>
        <v>Crédito de Pis Cofins sobre ICMS</v>
      </c>
      <c r="D177" s="848">
        <v>2</v>
      </c>
      <c r="E177" s="848">
        <v>2</v>
      </c>
      <c r="F177" s="848">
        <f>Financeiros!H39</f>
        <v>22</v>
      </c>
      <c r="G177" s="848">
        <f>Financeiros!I39</f>
        <v>60</v>
      </c>
      <c r="H177" s="848">
        <f>Financeiros!J39</f>
        <v>179</v>
      </c>
      <c r="I177" s="848">
        <f>Financeiros!K39</f>
        <v>99</v>
      </c>
      <c r="J177" s="848">
        <f>Financeiros!L39</f>
        <v>999</v>
      </c>
      <c r="K177" s="848">
        <f>Financeiros!M39</f>
        <v>3</v>
      </c>
      <c r="L177" s="848">
        <v>99</v>
      </c>
      <c r="M177" s="848">
        <v>9</v>
      </c>
      <c r="N177" s="848">
        <v>3</v>
      </c>
      <c r="O177" s="848">
        <v>99999</v>
      </c>
      <c r="P177" s="910">
        <f t="shared" si="6"/>
        <v>0</v>
      </c>
      <c r="Q177" s="232">
        <f>Financeiros!D39</f>
        <v>0</v>
      </c>
    </row>
    <row r="178" spans="1:17" ht="15.75">
      <c r="A178" s="848" t="s">
        <v>696</v>
      </c>
      <c r="B178" s="848" t="s">
        <v>1290</v>
      </c>
      <c r="C178" s="848" t="str">
        <f>Financeiros!C40</f>
        <v>Diferimento Pis Cofins TUSD</v>
      </c>
      <c r="D178" s="848">
        <v>2</v>
      </c>
      <c r="E178" s="848">
        <v>2</v>
      </c>
      <c r="F178" s="848">
        <f>Financeiros!H40</f>
        <v>22</v>
      </c>
      <c r="G178" s="848">
        <f>Financeiros!I40</f>
        <v>60</v>
      </c>
      <c r="H178" s="848">
        <f>Financeiros!J40</f>
        <v>999</v>
      </c>
      <c r="I178" s="848">
        <f>Financeiros!K40</f>
        <v>1</v>
      </c>
      <c r="J178" s="848">
        <f>Financeiros!L40</f>
        <v>7</v>
      </c>
      <c r="K178" s="848">
        <f>Financeiros!M40</f>
        <v>9</v>
      </c>
      <c r="L178" s="848">
        <v>99</v>
      </c>
      <c r="M178" s="848">
        <v>9</v>
      </c>
      <c r="N178" s="848">
        <v>3</v>
      </c>
      <c r="O178" s="848">
        <v>99999</v>
      </c>
      <c r="P178" s="910">
        <f t="shared" si="6"/>
        <v>0</v>
      </c>
      <c r="Q178" s="232">
        <f>Financeiros!D40</f>
        <v>0</v>
      </c>
    </row>
    <row r="179" spans="1:17" ht="15.75">
      <c r="A179" s="848" t="s">
        <v>696</v>
      </c>
      <c r="B179" s="848" t="s">
        <v>1290</v>
      </c>
      <c r="C179" s="848" t="str">
        <f>Financeiros!C41</f>
        <v>Diferimento Pis Cofins TE</v>
      </c>
      <c r="D179" s="848">
        <v>2</v>
      </c>
      <c r="E179" s="848">
        <v>2</v>
      </c>
      <c r="F179" s="848">
        <f>Financeiros!H41</f>
        <v>22</v>
      </c>
      <c r="G179" s="848">
        <f>Financeiros!I41</f>
        <v>60</v>
      </c>
      <c r="H179" s="848">
        <f>Financeiros!J41</f>
        <v>999</v>
      </c>
      <c r="I179" s="848">
        <f>Financeiros!K41</f>
        <v>2</v>
      </c>
      <c r="J179" s="848">
        <f>Financeiros!L41</f>
        <v>30</v>
      </c>
      <c r="K179" s="848">
        <f>Financeiros!M41</f>
        <v>9</v>
      </c>
      <c r="L179" s="848">
        <v>99</v>
      </c>
      <c r="M179" s="848">
        <v>9</v>
      </c>
      <c r="N179" s="848">
        <v>3</v>
      </c>
      <c r="O179" s="848">
        <v>99999</v>
      </c>
      <c r="P179" s="910">
        <f t="shared" si="6"/>
        <v>0</v>
      </c>
      <c r="Q179" s="232">
        <f>Financeiros!D41</f>
        <v>0</v>
      </c>
    </row>
    <row r="180" spans="1:17" ht="15.75">
      <c r="A180" s="848" t="s">
        <v>696</v>
      </c>
      <c r="B180" s="848" t="s">
        <v>1290</v>
      </c>
      <c r="C180" s="848" t="str">
        <f>Financeiros!C42</f>
        <v>Financeiros associados ao §7º do Art. 88 da Ren 414/2021</v>
      </c>
      <c r="D180" s="848">
        <v>2</v>
      </c>
      <c r="E180" s="848">
        <v>2</v>
      </c>
      <c r="F180" s="848">
        <f>Financeiros!H42</f>
        <v>22</v>
      </c>
      <c r="G180" s="848">
        <f>Financeiros!I42</f>
        <v>60</v>
      </c>
      <c r="H180" s="848">
        <f>Financeiros!J42</f>
        <v>999</v>
      </c>
      <c r="I180" s="848">
        <f>Financeiros!K42</f>
        <v>4</v>
      </c>
      <c r="J180" s="848">
        <f>Financeiros!L42</f>
        <v>999</v>
      </c>
      <c r="K180" s="848">
        <f>Financeiros!M42</f>
        <v>9</v>
      </c>
      <c r="L180" s="848">
        <v>99</v>
      </c>
      <c r="M180" s="848">
        <v>9</v>
      </c>
      <c r="N180" s="848">
        <v>3</v>
      </c>
      <c r="O180" s="848">
        <v>99999</v>
      </c>
      <c r="P180" s="910">
        <f t="shared" si="6"/>
        <v>-3671.71</v>
      </c>
      <c r="Q180" s="232">
        <f>Financeiros!D42</f>
        <v>-3671.71</v>
      </c>
    </row>
    <row r="181" spans="1:17" ht="15.75">
      <c r="A181" s="848" t="s">
        <v>696</v>
      </c>
      <c r="B181" s="848" t="s">
        <v>1290</v>
      </c>
      <c r="C181" s="848" t="str">
        <f>Financeiros!C43</f>
        <v>Spread Conta Covid</v>
      </c>
      <c r="D181" s="848">
        <v>2</v>
      </c>
      <c r="E181" s="848">
        <v>2</v>
      </c>
      <c r="F181" s="848">
        <f>Financeiros!H43</f>
        <v>22</v>
      </c>
      <c r="G181" s="848">
        <f>Financeiros!I43</f>
        <v>60</v>
      </c>
      <c r="H181" s="848">
        <f>Financeiros!J43</f>
        <v>235</v>
      </c>
      <c r="I181" s="848">
        <f>Financeiros!K43</f>
        <v>4</v>
      </c>
      <c r="J181" s="848">
        <f>Financeiros!L43</f>
        <v>999</v>
      </c>
      <c r="K181" s="848">
        <f>Financeiros!M43</f>
        <v>9</v>
      </c>
      <c r="L181" s="848">
        <v>99</v>
      </c>
      <c r="M181" s="848">
        <v>9</v>
      </c>
      <c r="N181" s="848">
        <v>3</v>
      </c>
      <c r="O181" s="848">
        <v>99999</v>
      </c>
      <c r="P181" s="910">
        <f t="shared" si="6"/>
        <v>-228012.01857549255</v>
      </c>
      <c r="Q181" s="232">
        <f>Financeiros!D43</f>
        <v>-228012.01857549255</v>
      </c>
    </row>
    <row r="182" spans="1:17" ht="15.75">
      <c r="A182" s="848" t="s">
        <v>696</v>
      </c>
      <c r="B182" s="848" t="s">
        <v>1290</v>
      </c>
      <c r="C182" s="848" t="str">
        <f>Financeiros!C44</f>
        <v>Diferimento de Energia</v>
      </c>
      <c r="D182" s="848">
        <v>2</v>
      </c>
      <c r="E182" s="848">
        <v>2</v>
      </c>
      <c r="F182" s="848">
        <f>Financeiros!H44</f>
        <v>22</v>
      </c>
      <c r="G182" s="848">
        <f>Financeiros!I44</f>
        <v>60</v>
      </c>
      <c r="H182" s="848">
        <f>Financeiros!J44</f>
        <v>999</v>
      </c>
      <c r="I182" s="848">
        <f>Financeiros!K44</f>
        <v>4</v>
      </c>
      <c r="J182" s="848">
        <f>Financeiros!L44</f>
        <v>999</v>
      </c>
      <c r="K182" s="848">
        <f>Financeiros!M44</f>
        <v>9</v>
      </c>
      <c r="L182" s="848">
        <v>99</v>
      </c>
      <c r="M182" s="848">
        <v>9</v>
      </c>
      <c r="N182" s="848">
        <v>3</v>
      </c>
      <c r="O182" s="848">
        <v>99999</v>
      </c>
      <c r="P182" s="910">
        <f t="shared" si="6"/>
        <v>0</v>
      </c>
      <c r="Q182" s="232">
        <f>Financeiros!D44</f>
        <v>0</v>
      </c>
    </row>
    <row r="183" spans="1:17" ht="15.75">
      <c r="A183" s="848" t="s">
        <v>696</v>
      </c>
      <c r="B183" s="848" t="s">
        <v>1290</v>
      </c>
      <c r="C183" s="848" t="str">
        <f>Financeiros!C45</f>
        <v xml:space="preserve">Reversão do Diferimento de Compra de Energia </v>
      </c>
      <c r="D183" s="848">
        <v>2</v>
      </c>
      <c r="E183" s="848">
        <v>2</v>
      </c>
      <c r="F183" s="848">
        <v>999</v>
      </c>
      <c r="G183" s="848">
        <v>999999</v>
      </c>
      <c r="H183" s="848">
        <v>999</v>
      </c>
      <c r="I183" s="848">
        <v>99</v>
      </c>
      <c r="J183" s="848">
        <v>999</v>
      </c>
      <c r="K183" s="848">
        <v>9</v>
      </c>
      <c r="L183" s="848">
        <v>99</v>
      </c>
      <c r="M183" s="848">
        <v>9</v>
      </c>
      <c r="N183" s="848">
        <v>3</v>
      </c>
      <c r="O183" s="848">
        <v>99999</v>
      </c>
      <c r="P183" s="910">
        <f t="shared" si="6"/>
        <v>0</v>
      </c>
      <c r="Q183" s="232">
        <f>Financeiros!D45</f>
        <v>0</v>
      </c>
    </row>
    <row r="184" spans="1:17" ht="15.75">
      <c r="A184" s="848" t="s">
        <v>696</v>
      </c>
      <c r="B184" s="848" t="s">
        <v>1290</v>
      </c>
      <c r="C184" s="848" t="str">
        <f>Financeiros!C46</f>
        <v>Reversão do Diferimento de Parcela B</v>
      </c>
      <c r="D184" s="848">
        <v>2</v>
      </c>
      <c r="E184" s="848">
        <v>2</v>
      </c>
      <c r="F184" s="848">
        <f>Financeiros!H46</f>
        <v>22</v>
      </c>
      <c r="G184" s="848">
        <f>Financeiros!I46</f>
        <v>60</v>
      </c>
      <c r="H184" s="848">
        <f>Financeiros!J46</f>
        <v>999</v>
      </c>
      <c r="I184" s="848">
        <f>Financeiros!K46</f>
        <v>4</v>
      </c>
      <c r="J184" s="848">
        <f>Financeiros!L46</f>
        <v>999</v>
      </c>
      <c r="K184" s="848">
        <f>Financeiros!M46</f>
        <v>9</v>
      </c>
      <c r="L184" s="848">
        <v>99</v>
      </c>
      <c r="M184" s="848">
        <v>9</v>
      </c>
      <c r="N184" s="848">
        <v>3</v>
      </c>
      <c r="O184" s="848">
        <v>99999</v>
      </c>
      <c r="P184" s="910">
        <f t="shared" si="6"/>
        <v>2174545.8258524011</v>
      </c>
      <c r="Q184" s="232">
        <f>Financeiros!D46</f>
        <v>2174545.8258524011</v>
      </c>
    </row>
    <row r="185" spans="1:17" ht="15.75">
      <c r="A185" s="848" t="s">
        <v>696</v>
      </c>
      <c r="B185" s="848" t="s">
        <v>1290</v>
      </c>
      <c r="C185" s="848" t="str">
        <f>Financeiros!C47</f>
        <v>Reversão do Diferimento de Pis Cofins TUSD</v>
      </c>
      <c r="D185" s="848">
        <v>2</v>
      </c>
      <c r="E185" s="848">
        <v>2</v>
      </c>
      <c r="F185" s="848">
        <v>999</v>
      </c>
      <c r="G185" s="848">
        <v>999999</v>
      </c>
      <c r="H185" s="848">
        <v>999</v>
      </c>
      <c r="I185" s="848">
        <v>99</v>
      </c>
      <c r="J185" s="848">
        <v>999</v>
      </c>
      <c r="K185" s="848">
        <v>9</v>
      </c>
      <c r="L185" s="848">
        <v>99</v>
      </c>
      <c r="M185" s="848">
        <v>9</v>
      </c>
      <c r="N185" s="848">
        <v>3</v>
      </c>
      <c r="O185" s="848">
        <v>99999</v>
      </c>
      <c r="P185" s="910">
        <f t="shared" si="6"/>
        <v>0</v>
      </c>
      <c r="Q185" s="232">
        <f>Financeiros!D47</f>
        <v>0</v>
      </c>
    </row>
    <row r="186" spans="1:17" ht="15.75">
      <c r="A186" s="848" t="s">
        <v>696</v>
      </c>
      <c r="B186" s="848" t="s">
        <v>1290</v>
      </c>
      <c r="C186" s="848" t="str">
        <f>Financeiros!C48</f>
        <v>Reversão do Diferimento de Pis Cofins TE</v>
      </c>
      <c r="D186" s="848">
        <v>2</v>
      </c>
      <c r="E186" s="848">
        <v>2</v>
      </c>
      <c r="F186" s="848">
        <v>999</v>
      </c>
      <c r="G186" s="848">
        <v>999999</v>
      </c>
      <c r="H186" s="848">
        <v>999</v>
      </c>
      <c r="I186" s="848">
        <v>99</v>
      </c>
      <c r="J186" s="848">
        <v>999</v>
      </c>
      <c r="K186" s="848">
        <v>9</v>
      </c>
      <c r="L186" s="848">
        <v>99</v>
      </c>
      <c r="M186" s="848">
        <v>9</v>
      </c>
      <c r="N186" s="848">
        <v>3</v>
      </c>
      <c r="O186" s="848">
        <v>99999</v>
      </c>
      <c r="P186" s="910">
        <f t="shared" si="6"/>
        <v>0</v>
      </c>
      <c r="Q186" s="232">
        <f>Financeiros!D48</f>
        <v>0</v>
      </c>
    </row>
    <row r="187" spans="1:17" ht="15.75">
      <c r="A187" s="848" t="s">
        <v>696</v>
      </c>
      <c r="B187" s="848" t="s">
        <v>1290</v>
      </c>
      <c r="C187" s="848" t="str">
        <f>Financeiros!C49</f>
        <v>CVE ccc</v>
      </c>
      <c r="D187" s="848">
        <v>2</v>
      </c>
      <c r="E187" s="848">
        <v>2</v>
      </c>
      <c r="F187" s="848">
        <f>Financeiros!H49</f>
        <v>22</v>
      </c>
      <c r="G187" s="848">
        <f>Financeiros!I49</f>
        <v>60</v>
      </c>
      <c r="H187" s="848">
        <f>Financeiros!J49</f>
        <v>241</v>
      </c>
      <c r="I187" s="848">
        <f>Financeiros!K49</f>
        <v>3</v>
      </c>
      <c r="J187" s="848">
        <f>Financeiros!L49</f>
        <v>13</v>
      </c>
      <c r="K187" s="848">
        <f>Financeiros!M49</f>
        <v>9</v>
      </c>
      <c r="L187" s="848">
        <v>99</v>
      </c>
      <c r="M187" s="848">
        <v>9</v>
      </c>
      <c r="N187" s="848">
        <v>3</v>
      </c>
      <c r="O187" s="848">
        <v>99999</v>
      </c>
      <c r="P187" s="910">
        <f t="shared" si="6"/>
        <v>0</v>
      </c>
      <c r="Q187" s="232">
        <f>Financeiros!D49</f>
        <v>0</v>
      </c>
    </row>
    <row r="188" spans="1:17" ht="15.75">
      <c r="A188" s="848" t="s">
        <v>696</v>
      </c>
      <c r="B188" s="848" t="s">
        <v>1290</v>
      </c>
      <c r="C188" s="848" t="str">
        <f>Financeiros!C50</f>
        <v>CVE cde</v>
      </c>
      <c r="D188" s="848">
        <v>2</v>
      </c>
      <c r="E188" s="848">
        <v>2</v>
      </c>
      <c r="F188" s="848">
        <f>Financeiros!H50</f>
        <v>22</v>
      </c>
      <c r="G188" s="848">
        <f>Financeiros!I50</f>
        <v>60</v>
      </c>
      <c r="H188" s="848">
        <f>Financeiros!J50</f>
        <v>241</v>
      </c>
      <c r="I188" s="848">
        <f>Financeiros!K50</f>
        <v>3</v>
      </c>
      <c r="J188" s="848">
        <f>Financeiros!L50</f>
        <v>15</v>
      </c>
      <c r="K188" s="848">
        <f>Financeiros!M50</f>
        <v>9</v>
      </c>
      <c r="L188" s="848">
        <v>99</v>
      </c>
      <c r="M188" s="848">
        <v>9</v>
      </c>
      <c r="N188" s="848">
        <v>3</v>
      </c>
      <c r="O188" s="848">
        <v>99999</v>
      </c>
      <c r="P188" s="910">
        <f t="shared" si="6"/>
        <v>0</v>
      </c>
      <c r="Q188" s="232">
        <f>Financeiros!D50</f>
        <v>0</v>
      </c>
    </row>
    <row r="189" spans="1:17" ht="15.75">
      <c r="A189" s="848" t="s">
        <v>696</v>
      </c>
      <c r="B189" s="848" t="s">
        <v>1290</v>
      </c>
      <c r="C189" s="848" t="str">
        <f>Financeiros!C51</f>
        <v>CVE cde energia</v>
      </c>
      <c r="D189" s="848">
        <v>2</v>
      </c>
      <c r="E189" s="848">
        <v>2</v>
      </c>
      <c r="F189" s="848">
        <f>Financeiros!H51</f>
        <v>22</v>
      </c>
      <c r="G189" s="848">
        <f>Financeiros!I51</f>
        <v>60</v>
      </c>
      <c r="H189" s="848">
        <f>Financeiros!J51</f>
        <v>241</v>
      </c>
      <c r="I189" s="848">
        <f>Financeiros!K51</f>
        <v>3</v>
      </c>
      <c r="J189" s="848">
        <f>Financeiros!L51</f>
        <v>25</v>
      </c>
      <c r="K189" s="848">
        <f>Financeiros!M51</f>
        <v>9</v>
      </c>
      <c r="L189" s="848">
        <v>99</v>
      </c>
      <c r="M189" s="848">
        <v>9</v>
      </c>
      <c r="N189" s="848">
        <v>3</v>
      </c>
      <c r="O189" s="848">
        <v>99999</v>
      </c>
      <c r="P189" s="910">
        <f t="shared" si="6"/>
        <v>0</v>
      </c>
      <c r="Q189" s="232">
        <f>Financeiros!D51</f>
        <v>0</v>
      </c>
    </row>
    <row r="190" spans="1:17" ht="15.75">
      <c r="A190" s="848" t="s">
        <v>696</v>
      </c>
      <c r="B190" s="848" t="s">
        <v>1290</v>
      </c>
      <c r="C190" s="848" t="str">
        <f>Financeiros!C52</f>
        <v>CVE RB - Nodal</v>
      </c>
      <c r="D190" s="848">
        <v>2</v>
      </c>
      <c r="E190" s="848">
        <v>2</v>
      </c>
      <c r="F190" s="848">
        <f>Financeiros!H52</f>
        <v>22</v>
      </c>
      <c r="G190" s="848">
        <f>Financeiros!I52</f>
        <v>60</v>
      </c>
      <c r="H190" s="848">
        <f>Financeiros!J52</f>
        <v>241</v>
      </c>
      <c r="I190" s="848">
        <f>Financeiros!K52</f>
        <v>1</v>
      </c>
      <c r="J190" s="848">
        <f>Financeiros!L52</f>
        <v>1</v>
      </c>
      <c r="K190" s="848">
        <f>Financeiros!M52</f>
        <v>9</v>
      </c>
      <c r="L190" s="848">
        <v>99</v>
      </c>
      <c r="M190" s="848">
        <v>9</v>
      </c>
      <c r="N190" s="848">
        <v>3</v>
      </c>
      <c r="O190" s="848">
        <v>99999</v>
      </c>
      <c r="P190" s="910">
        <f t="shared" si="6"/>
        <v>0</v>
      </c>
      <c r="Q190" s="232">
        <f>Financeiros!D52</f>
        <v>0</v>
      </c>
    </row>
    <row r="191" spans="1:17" ht="15.75">
      <c r="A191" s="848" t="s">
        <v>696</v>
      </c>
      <c r="B191" s="848" t="s">
        <v>1290</v>
      </c>
      <c r="C191" s="848" t="str">
        <f>Financeiros!C53</f>
        <v>CVE RB - Fronteira</v>
      </c>
      <c r="D191" s="848">
        <v>2</v>
      </c>
      <c r="E191" s="848">
        <v>2</v>
      </c>
      <c r="F191" s="848">
        <f>Financeiros!H53</f>
        <v>22</v>
      </c>
      <c r="G191" s="848">
        <f>Financeiros!I53</f>
        <v>60</v>
      </c>
      <c r="H191" s="848">
        <f>Financeiros!J53</f>
        <v>241</v>
      </c>
      <c r="I191" s="848">
        <f>Financeiros!K53</f>
        <v>1</v>
      </c>
      <c r="J191" s="848">
        <f>Financeiros!L53</f>
        <v>1</v>
      </c>
      <c r="K191" s="848">
        <f>Financeiros!M53</f>
        <v>9</v>
      </c>
      <c r="L191" s="848">
        <v>99</v>
      </c>
      <c r="M191" s="848">
        <v>9</v>
      </c>
      <c r="N191" s="848">
        <v>3</v>
      </c>
      <c r="O191" s="848">
        <v>99999</v>
      </c>
      <c r="P191" s="910">
        <f t="shared" si="6"/>
        <v>0</v>
      </c>
      <c r="Q191" s="232">
        <f>Financeiros!D53</f>
        <v>0</v>
      </c>
    </row>
    <row r="192" spans="1:17" ht="15.75">
      <c r="A192" s="848" t="s">
        <v>696</v>
      </c>
      <c r="B192" s="848" t="s">
        <v>1290</v>
      </c>
      <c r="C192" s="848" t="str">
        <f>Financeiros!C54</f>
        <v>CVE RB - TUSDg EXP</v>
      </c>
      <c r="D192" s="848">
        <v>2</v>
      </c>
      <c r="E192" s="848">
        <v>2</v>
      </c>
      <c r="F192" s="848">
        <f>Financeiros!H54</f>
        <v>22</v>
      </c>
      <c r="G192" s="848">
        <f>Financeiros!I54</f>
        <v>60</v>
      </c>
      <c r="H192" s="848">
        <f>Financeiros!J54</f>
        <v>241</v>
      </c>
      <c r="I192" s="848">
        <f>Financeiros!K54</f>
        <v>1</v>
      </c>
      <c r="J192" s="848">
        <f>Financeiros!L54</f>
        <v>1</v>
      </c>
      <c r="K192" s="848">
        <f>Financeiros!M54</f>
        <v>9</v>
      </c>
      <c r="L192" s="848">
        <v>99</v>
      </c>
      <c r="M192" s="848">
        <v>9</v>
      </c>
      <c r="N192" s="848">
        <v>3</v>
      </c>
      <c r="O192" s="848">
        <v>99999</v>
      </c>
      <c r="P192" s="910">
        <f t="shared" si="6"/>
        <v>0</v>
      </c>
      <c r="Q192" s="232">
        <f>Financeiros!D54</f>
        <v>0</v>
      </c>
    </row>
    <row r="193" spans="1:17" ht="15.75">
      <c r="A193" s="848" t="s">
        <v>696</v>
      </c>
      <c r="B193" s="848" t="s">
        <v>1290</v>
      </c>
      <c r="C193" s="848" t="str">
        <f>Financeiros!C55</f>
        <v>CVE RB - TUSDg ONS</v>
      </c>
      <c r="D193" s="848">
        <v>2</v>
      </c>
      <c r="E193" s="848">
        <v>2</v>
      </c>
      <c r="F193" s="848">
        <f>Financeiros!H55</f>
        <v>22</v>
      </c>
      <c r="G193" s="848">
        <f>Financeiros!I55</f>
        <v>60</v>
      </c>
      <c r="H193" s="848">
        <f>Financeiros!J55</f>
        <v>241</v>
      </c>
      <c r="I193" s="848">
        <f>Financeiros!K55</f>
        <v>1</v>
      </c>
      <c r="J193" s="848">
        <f>Financeiros!L55</f>
        <v>1</v>
      </c>
      <c r="K193" s="848">
        <f>Financeiros!M55</f>
        <v>9</v>
      </c>
      <c r="L193" s="848">
        <v>99</v>
      </c>
      <c r="M193" s="848">
        <v>9</v>
      </c>
      <c r="N193" s="848">
        <v>3</v>
      </c>
      <c r="O193" s="848">
        <v>99999</v>
      </c>
      <c r="P193" s="910">
        <f t="shared" si="6"/>
        <v>0</v>
      </c>
      <c r="Q193" s="232">
        <f>Financeiros!D55</f>
        <v>0</v>
      </c>
    </row>
    <row r="194" spans="1:17" ht="15.75">
      <c r="A194" s="848" t="s">
        <v>696</v>
      </c>
      <c r="B194" s="848" t="s">
        <v>1290</v>
      </c>
      <c r="C194" s="848" t="str">
        <f>Financeiros!C56</f>
        <v>CVE RB - EUST Itaipu</v>
      </c>
      <c r="D194" s="848">
        <v>2</v>
      </c>
      <c r="E194" s="848">
        <v>2</v>
      </c>
      <c r="F194" s="848">
        <f>Financeiros!H56</f>
        <v>22</v>
      </c>
      <c r="G194" s="848">
        <f>Financeiros!I56</f>
        <v>60</v>
      </c>
      <c r="H194" s="848">
        <f>Financeiros!J56</f>
        <v>241</v>
      </c>
      <c r="I194" s="848">
        <f>Financeiros!K56</f>
        <v>1</v>
      </c>
      <c r="J194" s="848">
        <f>Financeiros!L56</f>
        <v>1</v>
      </c>
      <c r="K194" s="848">
        <f>Financeiros!M56</f>
        <v>9</v>
      </c>
      <c r="L194" s="848">
        <v>99</v>
      </c>
      <c r="M194" s="848">
        <v>9</v>
      </c>
      <c r="N194" s="848">
        <v>3</v>
      </c>
      <c r="O194" s="848">
        <v>99999</v>
      </c>
      <c r="P194" s="910">
        <f t="shared" si="6"/>
        <v>0</v>
      </c>
      <c r="Q194" s="232">
        <f>Financeiros!D56</f>
        <v>0</v>
      </c>
    </row>
    <row r="195" spans="1:17" ht="15.75">
      <c r="A195" s="848" t="s">
        <v>696</v>
      </c>
      <c r="B195" s="848" t="s">
        <v>1290</v>
      </c>
      <c r="C195" s="848" t="str">
        <f>Financeiros!C57</f>
        <v>CVE- Transporte Itaipu</v>
      </c>
      <c r="D195" s="848">
        <v>2</v>
      </c>
      <c r="E195" s="848">
        <v>2</v>
      </c>
      <c r="F195" s="848">
        <f>Financeiros!H57</f>
        <v>22</v>
      </c>
      <c r="G195" s="848">
        <f>Financeiros!I57</f>
        <v>60</v>
      </c>
      <c r="H195" s="848">
        <f>Financeiros!J57</f>
        <v>241</v>
      </c>
      <c r="I195" s="848">
        <f>Financeiros!K57</f>
        <v>1</v>
      </c>
      <c r="J195" s="848">
        <f>Financeiros!L57</f>
        <v>21</v>
      </c>
      <c r="K195" s="848">
        <f>Financeiros!M57</f>
        <v>9</v>
      </c>
      <c r="L195" s="848">
        <v>99</v>
      </c>
      <c r="M195" s="848">
        <v>9</v>
      </c>
      <c r="N195" s="848">
        <v>3</v>
      </c>
      <c r="O195" s="848">
        <v>99999</v>
      </c>
      <c r="P195" s="910">
        <f t="shared" si="6"/>
        <v>0</v>
      </c>
      <c r="Q195" s="232">
        <f>Financeiros!D57</f>
        <v>0</v>
      </c>
    </row>
    <row r="196" spans="1:17" ht="15.75">
      <c r="A196" s="848" t="s">
        <v>696</v>
      </c>
      <c r="B196" s="848" t="s">
        <v>1290</v>
      </c>
      <c r="C196" s="848" t="str">
        <f>Financeiros!C58</f>
        <v>CVE - Energia - Energia de Revenda</v>
      </c>
      <c r="D196" s="848">
        <v>2</v>
      </c>
      <c r="E196" s="848">
        <v>2</v>
      </c>
      <c r="F196" s="848">
        <f>Financeiros!H58</f>
        <v>22</v>
      </c>
      <c r="G196" s="848">
        <f>Financeiros!I58</f>
        <v>60</v>
      </c>
      <c r="H196" s="848">
        <f>Financeiros!J58</f>
        <v>241</v>
      </c>
      <c r="I196" s="848">
        <f>Financeiros!K58</f>
        <v>2</v>
      </c>
      <c r="J196" s="848">
        <f>Financeiros!L58</f>
        <v>11</v>
      </c>
      <c r="K196" s="848">
        <f>Financeiros!M58</f>
        <v>9</v>
      </c>
      <c r="L196" s="848">
        <v>99</v>
      </c>
      <c r="M196" s="848">
        <v>9</v>
      </c>
      <c r="N196" s="848">
        <v>3</v>
      </c>
      <c r="O196" s="848">
        <v>99999</v>
      </c>
      <c r="P196" s="910">
        <f t="shared" ca="1" si="6"/>
        <v>-429973.36492355511</v>
      </c>
      <c r="Q196" s="232">
        <f ca="1">Financeiros!D58</f>
        <v>-429973.36492355511</v>
      </c>
    </row>
    <row r="197" spans="1:17" ht="15.75">
      <c r="A197" s="848" t="s">
        <v>696</v>
      </c>
      <c r="B197" s="848" t="s">
        <v>1290</v>
      </c>
      <c r="C197" s="848" t="str">
        <f>Financeiros!C59</f>
        <v>CVE - Energia - Perda Não Técnica</v>
      </c>
      <c r="D197" s="848">
        <v>2</v>
      </c>
      <c r="E197" s="848">
        <v>2</v>
      </c>
      <c r="F197" s="848">
        <f>Financeiros!H59</f>
        <v>22</v>
      </c>
      <c r="G197" s="848">
        <f>Financeiros!I59</f>
        <v>60</v>
      </c>
      <c r="H197" s="848">
        <f>Financeiros!J59</f>
        <v>241</v>
      </c>
      <c r="I197" s="848">
        <f>Financeiros!K59</f>
        <v>2</v>
      </c>
      <c r="J197" s="848">
        <f>Financeiros!L59</f>
        <v>9</v>
      </c>
      <c r="K197" s="848">
        <f>Financeiros!M59</f>
        <v>9</v>
      </c>
      <c r="L197" s="848">
        <v>99</v>
      </c>
      <c r="M197" s="848">
        <v>9</v>
      </c>
      <c r="N197" s="848">
        <v>3</v>
      </c>
      <c r="O197" s="848">
        <v>99999</v>
      </c>
      <c r="P197" s="910">
        <f t="shared" ca="1" si="6"/>
        <v>0</v>
      </c>
      <c r="Q197" s="232">
        <f ca="1">Financeiros!D59</f>
        <v>0</v>
      </c>
    </row>
    <row r="198" spans="1:17" ht="15.75">
      <c r="A198" s="848" t="s">
        <v>696</v>
      </c>
      <c r="B198" s="848" t="s">
        <v>1290</v>
      </c>
      <c r="C198" s="848" t="str">
        <f>Financeiros!C60</f>
        <v>CVE - Energia - Perda Técnica</v>
      </c>
      <c r="D198" s="848">
        <v>2</v>
      </c>
      <c r="E198" s="848">
        <v>2</v>
      </c>
      <c r="F198" s="848">
        <f>Financeiros!H60</f>
        <v>22</v>
      </c>
      <c r="G198" s="848">
        <f>Financeiros!I60</f>
        <v>60</v>
      </c>
      <c r="H198" s="848">
        <f>Financeiros!J60</f>
        <v>241</v>
      </c>
      <c r="I198" s="848">
        <f>Financeiros!K60</f>
        <v>2</v>
      </c>
      <c r="J198" s="848">
        <f>Financeiros!L60</f>
        <v>8</v>
      </c>
      <c r="K198" s="848">
        <f>Financeiros!M60</f>
        <v>9</v>
      </c>
      <c r="L198" s="848">
        <v>99</v>
      </c>
      <c r="M198" s="848">
        <v>9</v>
      </c>
      <c r="N198" s="848">
        <v>3</v>
      </c>
      <c r="O198" s="848">
        <v>99999</v>
      </c>
      <c r="P198" s="910">
        <f t="shared" ca="1" si="6"/>
        <v>-18695.516688823627</v>
      </c>
      <c r="Q198" s="232">
        <f ca="1">Financeiros!D60</f>
        <v>-18695.516688823627</v>
      </c>
    </row>
    <row r="199" spans="1:17" ht="15.75">
      <c r="A199" s="848" t="s">
        <v>696</v>
      </c>
      <c r="B199" s="848" t="s">
        <v>1290</v>
      </c>
      <c r="C199" s="848" t="str">
        <f>Financeiros!C61</f>
        <v>CVE - Energia -  Perda de RB sobre a distribuição</v>
      </c>
      <c r="D199" s="848">
        <v>2</v>
      </c>
      <c r="E199" s="848">
        <v>2</v>
      </c>
      <c r="F199" s="848">
        <f>Financeiros!H61</f>
        <v>22</v>
      </c>
      <c r="G199" s="848">
        <f>Financeiros!I61</f>
        <v>60</v>
      </c>
      <c r="H199" s="848">
        <f>Financeiros!J61</f>
        <v>241</v>
      </c>
      <c r="I199" s="848">
        <f>Financeiros!K61</f>
        <v>2</v>
      </c>
      <c r="J199" s="848">
        <f>Financeiros!L61</f>
        <v>10</v>
      </c>
      <c r="K199" s="848">
        <f>Financeiros!M61</f>
        <v>9</v>
      </c>
      <c r="L199" s="848">
        <v>99</v>
      </c>
      <c r="M199" s="848">
        <v>9</v>
      </c>
      <c r="N199" s="848">
        <v>3</v>
      </c>
      <c r="O199" s="848">
        <v>99999</v>
      </c>
      <c r="P199" s="910">
        <f t="shared" ca="1" si="6"/>
        <v>-620.46949320400336</v>
      </c>
      <c r="Q199" s="232">
        <f ca="1">Financeiros!D61</f>
        <v>-620.46949320400336</v>
      </c>
    </row>
    <row r="200" spans="1:17" ht="15.75">
      <c r="A200" s="848" t="s">
        <v>696</v>
      </c>
      <c r="B200" s="848" t="s">
        <v>1290</v>
      </c>
      <c r="C200" s="848" t="str">
        <f>Financeiros!C62</f>
        <v>CVE - Energia -  Perda de RB sobre o mercado cativo</v>
      </c>
      <c r="D200" s="848">
        <v>2</v>
      </c>
      <c r="E200" s="848">
        <v>2</v>
      </c>
      <c r="F200" s="848">
        <f>Financeiros!H62</f>
        <v>22</v>
      </c>
      <c r="G200" s="848">
        <f>Financeiros!I62</f>
        <v>60</v>
      </c>
      <c r="H200" s="848">
        <f>Financeiros!J62</f>
        <v>241</v>
      </c>
      <c r="I200" s="848">
        <f>Financeiros!K62</f>
        <v>2</v>
      </c>
      <c r="J200" s="848">
        <f>Financeiros!L62</f>
        <v>24</v>
      </c>
      <c r="K200" s="848">
        <f>Financeiros!M62</f>
        <v>9</v>
      </c>
      <c r="L200" s="848">
        <v>99</v>
      </c>
      <c r="M200" s="848">
        <v>9</v>
      </c>
      <c r="N200" s="848">
        <v>3</v>
      </c>
      <c r="O200" s="848">
        <v>99999</v>
      </c>
      <c r="P200" s="910">
        <f t="shared" ca="1" si="6"/>
        <v>-14270.017794417274</v>
      </c>
      <c r="Q200" s="232">
        <f ca="1">Financeiros!D62</f>
        <v>-14270.017794417274</v>
      </c>
    </row>
    <row r="201" spans="1:17" ht="15.75">
      <c r="A201" s="848" t="s">
        <v>696</v>
      </c>
      <c r="B201" s="848" t="s">
        <v>1290</v>
      </c>
      <c r="C201" s="848" t="str">
        <f>Financeiros!C63</f>
        <v>CVE - Encargos - PROINFA</v>
      </c>
      <c r="D201" s="848">
        <v>2</v>
      </c>
      <c r="E201" s="848">
        <v>2</v>
      </c>
      <c r="F201" s="848">
        <f>Financeiros!H63</f>
        <v>22</v>
      </c>
      <c r="G201" s="848">
        <f>Financeiros!I63</f>
        <v>60</v>
      </c>
      <c r="H201" s="848">
        <f>Financeiros!J63</f>
        <v>241</v>
      </c>
      <c r="I201" s="848">
        <f>Financeiros!K63</f>
        <v>3</v>
      </c>
      <c r="J201" s="848">
        <f>Financeiros!L63</f>
        <v>18</v>
      </c>
      <c r="K201" s="848">
        <f>Financeiros!M63</f>
        <v>9</v>
      </c>
      <c r="L201" s="848">
        <v>99</v>
      </c>
      <c r="M201" s="848">
        <v>9</v>
      </c>
      <c r="N201" s="848">
        <v>3</v>
      </c>
      <c r="O201" s="848">
        <v>99999</v>
      </c>
      <c r="P201" s="910">
        <f t="shared" si="6"/>
        <v>0</v>
      </c>
      <c r="Q201" s="232">
        <f>Financeiros!D63</f>
        <v>0</v>
      </c>
    </row>
    <row r="202" spans="1:17" ht="15.75">
      <c r="A202" s="848" t="s">
        <v>696</v>
      </c>
      <c r="B202" s="848" t="s">
        <v>1290</v>
      </c>
      <c r="C202" s="848" t="str">
        <f>Financeiros!C64</f>
        <v>CVE - Encargos - CFURH</v>
      </c>
      <c r="D202" s="848">
        <v>2</v>
      </c>
      <c r="E202" s="848">
        <v>2</v>
      </c>
      <c r="F202" s="848">
        <f>Financeiros!H64</f>
        <v>22</v>
      </c>
      <c r="G202" s="848">
        <f>Financeiros!I64</f>
        <v>60</v>
      </c>
      <c r="H202" s="848">
        <f>Financeiros!J64</f>
        <v>241</v>
      </c>
      <c r="I202" s="848">
        <f>Financeiros!K64</f>
        <v>3</v>
      </c>
      <c r="J202" s="848">
        <f>Financeiros!L64</f>
        <v>16</v>
      </c>
      <c r="K202" s="848">
        <f>Financeiros!M64</f>
        <v>9</v>
      </c>
      <c r="L202" s="848">
        <v>99</v>
      </c>
      <c r="M202" s="848">
        <v>9</v>
      </c>
      <c r="N202" s="848">
        <v>3</v>
      </c>
      <c r="O202" s="848">
        <v>99999</v>
      </c>
      <c r="P202" s="910">
        <f t="shared" si="6"/>
        <v>0</v>
      </c>
      <c r="Q202" s="232">
        <f>Financeiros!D64</f>
        <v>0</v>
      </c>
    </row>
    <row r="203" spans="1:17" ht="15.75">
      <c r="A203" s="848" t="s">
        <v>696</v>
      </c>
      <c r="B203" s="848" t="s">
        <v>1290</v>
      </c>
      <c r="C203" s="848" t="str">
        <f>Financeiros!C65</f>
        <v>CVE - Encargos - ESS/EER</v>
      </c>
      <c r="D203" s="848">
        <v>2</v>
      </c>
      <c r="E203" s="848">
        <v>2</v>
      </c>
      <c r="F203" s="848">
        <f>Financeiros!H65</f>
        <v>22</v>
      </c>
      <c r="G203" s="848">
        <f>Financeiros!I65</f>
        <v>60</v>
      </c>
      <c r="H203" s="848">
        <f>Financeiros!J65</f>
        <v>241</v>
      </c>
      <c r="I203" s="848">
        <f>Financeiros!K65</f>
        <v>3</v>
      </c>
      <c r="J203" s="848">
        <f>Financeiros!L65</f>
        <v>17</v>
      </c>
      <c r="K203" s="848">
        <f>Financeiros!M65</f>
        <v>9</v>
      </c>
      <c r="L203" s="848">
        <v>99</v>
      </c>
      <c r="M203" s="848">
        <v>9</v>
      </c>
      <c r="N203" s="848">
        <v>3</v>
      </c>
      <c r="O203" s="848">
        <v>99999</v>
      </c>
      <c r="P203" s="910">
        <f t="shared" si="6"/>
        <v>1620612.8811000001</v>
      </c>
      <c r="Q203" s="232">
        <f>Financeiros!D65</f>
        <v>1620612.8811000001</v>
      </c>
    </row>
    <row r="204" spans="1:17" ht="15.75">
      <c r="A204" s="848" t="s">
        <v>696</v>
      </c>
      <c r="B204" s="848" t="s">
        <v>1290</v>
      </c>
      <c r="C204" s="848" t="str">
        <f>Financeiros!C66</f>
        <v>Conta Escassez H. - Importação julho- agosto/2021 - RTA 2022 - Energia de Revenda</v>
      </c>
      <c r="D204" s="848">
        <v>2</v>
      </c>
      <c r="E204" s="848">
        <v>2</v>
      </c>
      <c r="F204" s="848">
        <f>Financeiros!H66</f>
        <v>22</v>
      </c>
      <c r="G204" s="848">
        <f>Financeiros!I66</f>
        <v>60</v>
      </c>
      <c r="H204" s="848">
        <f>Financeiros!J66</f>
        <v>240</v>
      </c>
      <c r="I204" s="848">
        <f>Financeiros!K66</f>
        <v>2</v>
      </c>
      <c r="J204" s="848">
        <f>Financeiros!L66</f>
        <v>11</v>
      </c>
      <c r="K204" s="848">
        <f>Financeiros!M66</f>
        <v>9</v>
      </c>
      <c r="L204" s="848">
        <v>99</v>
      </c>
      <c r="M204" s="848">
        <v>9</v>
      </c>
      <c r="N204" s="848">
        <v>3</v>
      </c>
      <c r="O204" s="848">
        <v>99999</v>
      </c>
      <c r="P204" s="910">
        <f t="shared" ca="1" si="6"/>
        <v>0</v>
      </c>
      <c r="Q204" s="232">
        <f ca="1">Financeiros!D66</f>
        <v>0</v>
      </c>
    </row>
    <row r="205" spans="1:17" ht="15.75">
      <c r="A205" s="848" t="s">
        <v>696</v>
      </c>
      <c r="B205" s="848" t="s">
        <v>1290</v>
      </c>
      <c r="C205" s="848" t="str">
        <f>Financeiros!C67</f>
        <v>Conta Escassez H. - Importação julho- agosto/2021 - RTA 2022 - Perda Não Técnica</v>
      </c>
      <c r="D205" s="848">
        <v>2</v>
      </c>
      <c r="E205" s="848">
        <v>2</v>
      </c>
      <c r="F205" s="848">
        <f>Financeiros!H67</f>
        <v>22</v>
      </c>
      <c r="G205" s="848">
        <f>Financeiros!I67</f>
        <v>60</v>
      </c>
      <c r="H205" s="848">
        <f>Financeiros!J67</f>
        <v>240</v>
      </c>
      <c r="I205" s="848">
        <f>Financeiros!K67</f>
        <v>2</v>
      </c>
      <c r="J205" s="848">
        <f>Financeiros!L67</f>
        <v>9</v>
      </c>
      <c r="K205" s="848">
        <f>Financeiros!M67</f>
        <v>9</v>
      </c>
      <c r="L205" s="848">
        <v>99</v>
      </c>
      <c r="M205" s="848">
        <v>9</v>
      </c>
      <c r="N205" s="848">
        <v>3</v>
      </c>
      <c r="O205" s="848">
        <v>99999</v>
      </c>
      <c r="P205" s="910">
        <f t="shared" ca="1" si="6"/>
        <v>0</v>
      </c>
      <c r="Q205" s="232">
        <f ca="1">Financeiros!D67</f>
        <v>0</v>
      </c>
    </row>
    <row r="206" spans="1:17" ht="15.75">
      <c r="A206" s="848" t="s">
        <v>696</v>
      </c>
      <c r="B206" s="848" t="s">
        <v>1290</v>
      </c>
      <c r="C206" s="848" t="str">
        <f>Financeiros!C68</f>
        <v>Conta Escassez H. - Importação julho- agosto/2021 - RTA 2022 - Perda Técnica</v>
      </c>
      <c r="D206" s="848">
        <v>2</v>
      </c>
      <c r="E206" s="848">
        <v>2</v>
      </c>
      <c r="F206" s="848">
        <f>Financeiros!H68</f>
        <v>22</v>
      </c>
      <c r="G206" s="848">
        <f>Financeiros!I68</f>
        <v>60</v>
      </c>
      <c r="H206" s="848">
        <f>Financeiros!J68</f>
        <v>240</v>
      </c>
      <c r="I206" s="848">
        <f>Financeiros!K68</f>
        <v>2</v>
      </c>
      <c r="J206" s="848">
        <f>Financeiros!L68</f>
        <v>8</v>
      </c>
      <c r="K206" s="848">
        <f>Financeiros!M68</f>
        <v>9</v>
      </c>
      <c r="L206" s="848">
        <v>99</v>
      </c>
      <c r="M206" s="848">
        <v>9</v>
      </c>
      <c r="N206" s="848">
        <v>3</v>
      </c>
      <c r="O206" s="848">
        <v>99999</v>
      </c>
      <c r="P206" s="910">
        <f t="shared" ca="1" si="6"/>
        <v>0</v>
      </c>
      <c r="Q206" s="232">
        <f ca="1">Financeiros!D68</f>
        <v>0</v>
      </c>
    </row>
    <row r="207" spans="1:17" ht="15.75">
      <c r="A207" s="848" t="s">
        <v>696</v>
      </c>
      <c r="B207" s="848" t="s">
        <v>1290</v>
      </c>
      <c r="C207" s="848" t="str">
        <f>Financeiros!C69</f>
        <v>Conta Escassez H. - Importação julho- agosto/2021 - RTA 2022 - Perda RB Perda RB sobre Dist.</v>
      </c>
      <c r="D207" s="848">
        <v>2</v>
      </c>
      <c r="E207" s="848">
        <v>2</v>
      </c>
      <c r="F207" s="848">
        <f>Financeiros!H69</f>
        <v>22</v>
      </c>
      <c r="G207" s="848">
        <f>Financeiros!I69</f>
        <v>60</v>
      </c>
      <c r="H207" s="848">
        <f>Financeiros!J69</f>
        <v>240</v>
      </c>
      <c r="I207" s="848">
        <f>Financeiros!K69</f>
        <v>2</v>
      </c>
      <c r="J207" s="848">
        <f>Financeiros!L69</f>
        <v>10</v>
      </c>
      <c r="K207" s="848">
        <f>Financeiros!M69</f>
        <v>9</v>
      </c>
      <c r="L207" s="848">
        <v>99</v>
      </c>
      <c r="M207" s="848">
        <v>9</v>
      </c>
      <c r="N207" s="848">
        <v>3</v>
      </c>
      <c r="O207" s="848">
        <v>99999</v>
      </c>
      <c r="P207" s="910">
        <f t="shared" ca="1" si="6"/>
        <v>0</v>
      </c>
      <c r="Q207" s="232">
        <f ca="1">Financeiros!D69</f>
        <v>0</v>
      </c>
    </row>
    <row r="208" spans="1:17" ht="15.75">
      <c r="A208" s="848" t="s">
        <v>696</v>
      </c>
      <c r="B208" s="848" t="s">
        <v>1290</v>
      </c>
      <c r="C208" s="848" t="str">
        <f>Financeiros!C70</f>
        <v>Conta Escassez H. - Importação julho- agosto/2021 - RTA 2022 - Perda RB sobre Merc. Cat.</v>
      </c>
      <c r="D208" s="848">
        <v>2</v>
      </c>
      <c r="E208" s="848">
        <v>2</v>
      </c>
      <c r="F208" s="848">
        <f>Financeiros!H70</f>
        <v>22</v>
      </c>
      <c r="G208" s="848">
        <f>Financeiros!I70</f>
        <v>60</v>
      </c>
      <c r="H208" s="848">
        <f>Financeiros!J70</f>
        <v>240</v>
      </c>
      <c r="I208" s="848">
        <f>Financeiros!K70</f>
        <v>2</v>
      </c>
      <c r="J208" s="848">
        <f>Financeiros!L70</f>
        <v>24</v>
      </c>
      <c r="K208" s="848">
        <f>Financeiros!M70</f>
        <v>9</v>
      </c>
      <c r="L208" s="848">
        <v>99</v>
      </c>
      <c r="M208" s="848">
        <v>9</v>
      </c>
      <c r="N208" s="848">
        <v>3</v>
      </c>
      <c r="O208" s="848">
        <v>99999</v>
      </c>
      <c r="P208" s="910">
        <f t="shared" ca="1" si="6"/>
        <v>0</v>
      </c>
      <c r="Q208" s="232">
        <f ca="1">Financeiros!D70</f>
        <v>0</v>
      </c>
    </row>
    <row r="209" spans="1:17" ht="15.75">
      <c r="A209" s="848" t="s">
        <v>696</v>
      </c>
      <c r="B209" s="848" t="s">
        <v>1290</v>
      </c>
      <c r="C209" s="848" t="str">
        <f>Financeiros!C71</f>
        <v>Conta Escassez H. - Bônus Redução Voluntária</v>
      </c>
      <c r="D209" s="848">
        <v>2</v>
      </c>
      <c r="E209" s="848">
        <v>2</v>
      </c>
      <c r="F209" s="848">
        <f>Financeiros!H71</f>
        <v>22</v>
      </c>
      <c r="G209" s="848">
        <f>Financeiros!I71</f>
        <v>60</v>
      </c>
      <c r="H209" s="848">
        <f>Financeiros!J71</f>
        <v>240</v>
      </c>
      <c r="I209" s="848">
        <f>Financeiros!K71</f>
        <v>3</v>
      </c>
      <c r="J209" s="848">
        <f>Financeiros!L71</f>
        <v>17</v>
      </c>
      <c r="K209" s="848">
        <f>Financeiros!M71</f>
        <v>9</v>
      </c>
      <c r="L209" s="848">
        <v>99</v>
      </c>
      <c r="M209" s="848">
        <v>9</v>
      </c>
      <c r="N209" s="848">
        <v>3</v>
      </c>
      <c r="O209" s="848">
        <v>99999</v>
      </c>
      <c r="P209" s="910">
        <f t="shared" si="6"/>
        <v>-866418.63761915977</v>
      </c>
      <c r="Q209" s="232">
        <f>Financeiros!D71</f>
        <v>-866418.63761915977</v>
      </c>
    </row>
    <row r="210" spans="1:17" ht="15.75">
      <c r="A210" s="848" t="s">
        <v>696</v>
      </c>
      <c r="B210" s="848" t="s">
        <v>1290</v>
      </c>
      <c r="C210" s="848" t="str">
        <f>Financeiros!C72</f>
        <v>Conta Escassez H. - Diferimento Parcela B</v>
      </c>
      <c r="D210" s="848">
        <v>2</v>
      </c>
      <c r="E210" s="848">
        <v>2</v>
      </c>
      <c r="F210" s="848">
        <f>Financeiros!H72</f>
        <v>22</v>
      </c>
      <c r="G210" s="848">
        <f>Financeiros!I72</f>
        <v>60</v>
      </c>
      <c r="H210" s="848">
        <f>Financeiros!J72</f>
        <v>240</v>
      </c>
      <c r="I210" s="848">
        <f>Financeiros!K72</f>
        <v>4</v>
      </c>
      <c r="J210" s="848">
        <f>Financeiros!L72</f>
        <v>999</v>
      </c>
      <c r="K210" s="848">
        <f>Financeiros!M72</f>
        <v>9</v>
      </c>
      <c r="L210" s="848">
        <v>99</v>
      </c>
      <c r="M210" s="848">
        <v>9</v>
      </c>
      <c r="N210" s="848">
        <v>3</v>
      </c>
      <c r="O210" s="848">
        <v>99999</v>
      </c>
      <c r="P210" s="910">
        <f t="shared" si="6"/>
        <v>-2224462.587973251</v>
      </c>
      <c r="Q210" s="232">
        <f>Financeiros!D72</f>
        <v>-2224462.587973251</v>
      </c>
    </row>
    <row r="211" spans="1:17" ht="15.75">
      <c r="A211" s="848" t="s">
        <v>696</v>
      </c>
      <c r="B211" s="848" t="s">
        <v>1290</v>
      </c>
      <c r="C211" s="848">
        <f>Financeiros!C73</f>
        <v>0</v>
      </c>
      <c r="D211" s="848">
        <v>2</v>
      </c>
      <c r="E211" s="848">
        <v>2</v>
      </c>
      <c r="F211" s="848">
        <f>Financeiros!H73</f>
        <v>22</v>
      </c>
      <c r="G211" s="848">
        <f>Financeiros!I73</f>
        <v>60</v>
      </c>
      <c r="H211" s="848">
        <f>Financeiros!J73</f>
        <v>240</v>
      </c>
      <c r="I211" s="848">
        <f>Financeiros!K73</f>
        <v>2</v>
      </c>
      <c r="J211" s="848">
        <f>Financeiros!L73</f>
        <v>9</v>
      </c>
      <c r="K211" s="848">
        <f>Financeiros!M73</f>
        <v>9</v>
      </c>
      <c r="L211" s="848">
        <v>99</v>
      </c>
      <c r="M211" s="848">
        <v>9</v>
      </c>
      <c r="N211" s="848">
        <v>3</v>
      </c>
      <c r="O211" s="848">
        <v>99999</v>
      </c>
      <c r="P211" s="910">
        <f t="shared" si="6"/>
        <v>0</v>
      </c>
      <c r="Q211" s="232">
        <f>Financeiros!D73</f>
        <v>0</v>
      </c>
    </row>
    <row r="212" spans="1:17" ht="15.75">
      <c r="A212" s="848" t="s">
        <v>696</v>
      </c>
      <c r="B212" s="848" t="s">
        <v>1290</v>
      </c>
      <c r="C212" s="848">
        <f>Financeiros!C74</f>
        <v>0</v>
      </c>
      <c r="D212" s="848">
        <v>2</v>
      </c>
      <c r="E212" s="848">
        <v>2</v>
      </c>
      <c r="F212" s="848">
        <f>Financeiros!H74</f>
        <v>22</v>
      </c>
      <c r="G212" s="848">
        <f>Financeiros!I74</f>
        <v>60</v>
      </c>
      <c r="H212" s="848">
        <f>Financeiros!J74</f>
        <v>240</v>
      </c>
      <c r="I212" s="848">
        <f>Financeiros!K74</f>
        <v>2</v>
      </c>
      <c r="J212" s="848">
        <f>Financeiros!L74</f>
        <v>8</v>
      </c>
      <c r="K212" s="848">
        <f>Financeiros!M74</f>
        <v>9</v>
      </c>
      <c r="L212" s="848">
        <v>99</v>
      </c>
      <c r="M212" s="848">
        <v>9</v>
      </c>
      <c r="N212" s="848">
        <v>3</v>
      </c>
      <c r="O212" s="848">
        <v>99999</v>
      </c>
      <c r="P212" s="910">
        <f t="shared" ref="P212:P237" si="7">IF(ISNUMBER(Q212),Q212,0)</f>
        <v>0</v>
      </c>
      <c r="Q212" s="232">
        <f>Financeiros!D74</f>
        <v>0</v>
      </c>
    </row>
    <row r="213" spans="1:17" ht="15.75">
      <c r="A213" s="848" t="s">
        <v>696</v>
      </c>
      <c r="B213" s="848" t="s">
        <v>1290</v>
      </c>
      <c r="C213" s="848">
        <f>Financeiros!C75</f>
        <v>0</v>
      </c>
      <c r="D213" s="848">
        <v>2</v>
      </c>
      <c r="E213" s="848">
        <v>2</v>
      </c>
      <c r="F213" s="848">
        <f>Financeiros!H75</f>
        <v>22</v>
      </c>
      <c r="G213" s="848">
        <f>Financeiros!I75</f>
        <v>60</v>
      </c>
      <c r="H213" s="848">
        <f>Financeiros!J75</f>
        <v>240</v>
      </c>
      <c r="I213" s="848">
        <f>Financeiros!K75</f>
        <v>2</v>
      </c>
      <c r="J213" s="848">
        <f>Financeiros!L75</f>
        <v>10</v>
      </c>
      <c r="K213" s="848">
        <f>Financeiros!M75</f>
        <v>9</v>
      </c>
      <c r="L213" s="848">
        <v>99</v>
      </c>
      <c r="M213" s="848">
        <v>9</v>
      </c>
      <c r="N213" s="848">
        <v>3</v>
      </c>
      <c r="O213" s="848">
        <v>99999</v>
      </c>
      <c r="P213" s="910">
        <f t="shared" si="7"/>
        <v>0</v>
      </c>
      <c r="Q213" s="232">
        <f>Financeiros!D75</f>
        <v>0</v>
      </c>
    </row>
    <row r="214" spans="1:17" ht="15.75">
      <c r="A214" s="848" t="s">
        <v>696</v>
      </c>
      <c r="B214" s="848" t="s">
        <v>1290</v>
      </c>
      <c r="C214" s="848">
        <f>Financeiros!C76</f>
        <v>0</v>
      </c>
      <c r="D214" s="848">
        <v>2</v>
      </c>
      <c r="E214" s="848">
        <v>2</v>
      </c>
      <c r="F214" s="848">
        <f>Financeiros!H76</f>
        <v>22</v>
      </c>
      <c r="G214" s="848">
        <f>Financeiros!I76</f>
        <v>60</v>
      </c>
      <c r="H214" s="848">
        <f>Financeiros!J76</f>
        <v>240</v>
      </c>
      <c r="I214" s="848">
        <f>Financeiros!K76</f>
        <v>2</v>
      </c>
      <c r="J214" s="848">
        <f>Financeiros!L76</f>
        <v>24</v>
      </c>
      <c r="K214" s="848">
        <f>Financeiros!M76</f>
        <v>9</v>
      </c>
      <c r="L214" s="848">
        <v>99</v>
      </c>
      <c r="M214" s="848">
        <v>9</v>
      </c>
      <c r="N214" s="848">
        <v>3</v>
      </c>
      <c r="O214" s="848">
        <v>99999</v>
      </c>
      <c r="P214" s="910">
        <f t="shared" si="7"/>
        <v>0</v>
      </c>
      <c r="Q214" s="232">
        <f>Financeiros!D76</f>
        <v>0</v>
      </c>
    </row>
    <row r="215" spans="1:17" ht="15.75">
      <c r="A215" s="848" t="s">
        <v>696</v>
      </c>
      <c r="B215" s="848" t="s">
        <v>1290</v>
      </c>
      <c r="C215" s="848" t="str">
        <f>Financeiros!C77</f>
        <v>Sobrecontratação/Exposição de Energia - Energia de Revenda</v>
      </c>
      <c r="D215" s="848">
        <v>2</v>
      </c>
      <c r="E215" s="848">
        <v>2</v>
      </c>
      <c r="F215" s="848">
        <f>Financeiros!H77</f>
        <v>22</v>
      </c>
      <c r="G215" s="848">
        <f>Financeiros!I77</f>
        <v>60</v>
      </c>
      <c r="H215" s="848">
        <f>Financeiros!J77</f>
        <v>106</v>
      </c>
      <c r="I215" s="848">
        <f>Financeiros!K77</f>
        <v>2</v>
      </c>
      <c r="J215" s="848">
        <f>Financeiros!L77</f>
        <v>11</v>
      </c>
      <c r="K215" s="848">
        <f>Financeiros!M77</f>
        <v>9</v>
      </c>
      <c r="L215" s="848">
        <v>99</v>
      </c>
      <c r="M215" s="848">
        <v>9</v>
      </c>
      <c r="N215" s="848">
        <v>3</v>
      </c>
      <c r="O215" s="848">
        <v>99999</v>
      </c>
      <c r="P215" s="910">
        <f t="shared" ca="1" si="7"/>
        <v>-17653.468934578217</v>
      </c>
      <c r="Q215" s="232">
        <f ca="1">Financeiros!D77</f>
        <v>-17653.468934578217</v>
      </c>
    </row>
    <row r="216" spans="1:17" ht="15.75">
      <c r="A216" s="848" t="s">
        <v>696</v>
      </c>
      <c r="B216" s="848" t="s">
        <v>1290</v>
      </c>
      <c r="C216" s="848" t="str">
        <f>Financeiros!C78</f>
        <v>Sobrecontratação/Exposição de Energia - Perda Não Técnica</v>
      </c>
      <c r="D216" s="848">
        <v>2</v>
      </c>
      <c r="E216" s="848">
        <v>2</v>
      </c>
      <c r="F216" s="848">
        <f>Financeiros!H78</f>
        <v>22</v>
      </c>
      <c r="G216" s="848">
        <f>Financeiros!I78</f>
        <v>60</v>
      </c>
      <c r="H216" s="848">
        <f>Financeiros!J78</f>
        <v>106</v>
      </c>
      <c r="I216" s="848">
        <f>Financeiros!K78</f>
        <v>2</v>
      </c>
      <c r="J216" s="848">
        <f>Financeiros!L78</f>
        <v>9</v>
      </c>
      <c r="K216" s="848">
        <f>Financeiros!M78</f>
        <v>9</v>
      </c>
      <c r="L216" s="848">
        <v>99</v>
      </c>
      <c r="M216" s="848">
        <v>9</v>
      </c>
      <c r="N216" s="848">
        <v>3</v>
      </c>
      <c r="O216" s="848">
        <v>99999</v>
      </c>
      <c r="P216" s="910">
        <f t="shared" ca="1" si="7"/>
        <v>0</v>
      </c>
      <c r="Q216" s="232">
        <f ca="1">Financeiros!D78</f>
        <v>0</v>
      </c>
    </row>
    <row r="217" spans="1:17" ht="15.75">
      <c r="A217" s="848" t="s">
        <v>696</v>
      </c>
      <c r="B217" s="848" t="s">
        <v>1290</v>
      </c>
      <c r="C217" s="848" t="str">
        <f>Financeiros!C79</f>
        <v>Sobrecontratação/Exposição de Energia - Perda Técnica</v>
      </c>
      <c r="D217" s="848">
        <v>2</v>
      </c>
      <c r="E217" s="848">
        <v>2</v>
      </c>
      <c r="F217" s="848">
        <f>Financeiros!H79</f>
        <v>22</v>
      </c>
      <c r="G217" s="848">
        <f>Financeiros!I79</f>
        <v>60</v>
      </c>
      <c r="H217" s="848">
        <f>Financeiros!J79</f>
        <v>106</v>
      </c>
      <c r="I217" s="848">
        <f>Financeiros!K79</f>
        <v>2</v>
      </c>
      <c r="J217" s="848">
        <f>Financeiros!L79</f>
        <v>8</v>
      </c>
      <c r="K217" s="848">
        <f>Financeiros!M79</f>
        <v>9</v>
      </c>
      <c r="L217" s="848">
        <v>99</v>
      </c>
      <c r="M217" s="848">
        <v>9</v>
      </c>
      <c r="N217" s="848">
        <v>3</v>
      </c>
      <c r="O217" s="848">
        <v>99999</v>
      </c>
      <c r="P217" s="910">
        <f t="shared" ca="1" si="7"/>
        <v>-767.58411103142248</v>
      </c>
      <c r="Q217" s="232">
        <f ca="1">Financeiros!D79</f>
        <v>-767.58411103142248</v>
      </c>
    </row>
    <row r="218" spans="1:17" ht="15.75">
      <c r="A218" s="848" t="s">
        <v>696</v>
      </c>
      <c r="B218" s="848" t="s">
        <v>1290</v>
      </c>
      <c r="C218" s="848" t="str">
        <f>Financeiros!C80</f>
        <v>Sobrecontratação/Exposição de Energia - Perda Rede Básica sobre Dist.</v>
      </c>
      <c r="D218" s="848">
        <v>2</v>
      </c>
      <c r="E218" s="848">
        <v>2</v>
      </c>
      <c r="F218" s="848">
        <f>Financeiros!H80</f>
        <v>22</v>
      </c>
      <c r="G218" s="848">
        <f>Financeiros!I80</f>
        <v>60</v>
      </c>
      <c r="H218" s="848">
        <f>Financeiros!J80</f>
        <v>106</v>
      </c>
      <c r="I218" s="848">
        <f>Financeiros!K80</f>
        <v>2</v>
      </c>
      <c r="J218" s="848">
        <f>Financeiros!L80</f>
        <v>10</v>
      </c>
      <c r="K218" s="848">
        <f>Financeiros!M80</f>
        <v>9</v>
      </c>
      <c r="L218" s="848">
        <v>99</v>
      </c>
      <c r="M218" s="848">
        <v>9</v>
      </c>
      <c r="N218" s="848">
        <v>3</v>
      </c>
      <c r="O218" s="848">
        <v>99999</v>
      </c>
      <c r="P218" s="910">
        <f t="shared" ca="1" si="7"/>
        <v>-25.474691729051109</v>
      </c>
      <c r="Q218" s="232">
        <f ca="1">Financeiros!D80</f>
        <v>-25.474691729051109</v>
      </c>
    </row>
    <row r="219" spans="1:17" ht="15.75">
      <c r="A219" s="848" t="s">
        <v>696</v>
      </c>
      <c r="B219" s="848" t="s">
        <v>1290</v>
      </c>
      <c r="C219" s="848" t="str">
        <f>Financeiros!C81</f>
        <v>Sobrecontratação/Exposição de Energia - Perda Rede Básica sobre mercado Cat.</v>
      </c>
      <c r="D219" s="848">
        <v>2</v>
      </c>
      <c r="E219" s="848">
        <v>2</v>
      </c>
      <c r="F219" s="848">
        <f>Financeiros!H81</f>
        <v>22</v>
      </c>
      <c r="G219" s="848">
        <f>Financeiros!I81</f>
        <v>60</v>
      </c>
      <c r="H219" s="848">
        <f>Financeiros!J81</f>
        <v>106</v>
      </c>
      <c r="I219" s="848">
        <f>Financeiros!K81</f>
        <v>2</v>
      </c>
      <c r="J219" s="848">
        <f>Financeiros!L81</f>
        <v>24</v>
      </c>
      <c r="K219" s="848">
        <f>Financeiros!M81</f>
        <v>9</v>
      </c>
      <c r="L219" s="848">
        <v>99</v>
      </c>
      <c r="M219" s="848">
        <v>9</v>
      </c>
      <c r="N219" s="848">
        <v>3</v>
      </c>
      <c r="O219" s="848">
        <v>99999</v>
      </c>
      <c r="P219" s="910">
        <f t="shared" ca="1" si="7"/>
        <v>-585.88586266131085</v>
      </c>
      <c r="Q219" s="232">
        <f ca="1">Financeiros!D81</f>
        <v>-585.88586266131085</v>
      </c>
    </row>
    <row r="220" spans="1:17" ht="15.75">
      <c r="A220" s="848" t="s">
        <v>696</v>
      </c>
      <c r="B220" s="848" t="s">
        <v>1290</v>
      </c>
      <c r="C220" s="848" t="str">
        <f>Financeiros!C82</f>
        <v>Reversão de Risco Hidrológico - Energia de Revenda</v>
      </c>
      <c r="D220" s="848">
        <v>2</v>
      </c>
      <c r="E220" s="848">
        <v>2</v>
      </c>
      <c r="F220" s="848">
        <f>Financeiros!H82</f>
        <v>22</v>
      </c>
      <c r="G220" s="848">
        <f>Financeiros!I82</f>
        <v>62</v>
      </c>
      <c r="H220" s="848">
        <f>Financeiros!J82</f>
        <v>220</v>
      </c>
      <c r="I220" s="848">
        <f>Financeiros!K82</f>
        <v>2</v>
      </c>
      <c r="J220" s="848">
        <f>Financeiros!L82</f>
        <v>11</v>
      </c>
      <c r="K220" s="848">
        <f>Financeiros!M82</f>
        <v>9</v>
      </c>
      <c r="L220" s="848">
        <v>99</v>
      </c>
      <c r="M220" s="848">
        <v>9</v>
      </c>
      <c r="N220" s="848">
        <v>3</v>
      </c>
      <c r="O220" s="848">
        <v>99999</v>
      </c>
      <c r="P220" s="910">
        <f t="shared" ca="1" si="7"/>
        <v>-2522230.1560570491</v>
      </c>
      <c r="Q220" s="232">
        <f ca="1">Financeiros!D82</f>
        <v>-2522230.1560570491</v>
      </c>
    </row>
    <row r="221" spans="1:17" ht="15.75">
      <c r="A221" s="848" t="s">
        <v>696</v>
      </c>
      <c r="B221" s="848" t="s">
        <v>1290</v>
      </c>
      <c r="C221" s="848" t="str">
        <f>Financeiros!C83</f>
        <v>Reversão de Risco Hidrológico - Perda Não Técnica</v>
      </c>
      <c r="D221" s="848">
        <v>2</v>
      </c>
      <c r="E221" s="848">
        <v>2</v>
      </c>
      <c r="F221" s="848">
        <f>Financeiros!H83</f>
        <v>22</v>
      </c>
      <c r="G221" s="848">
        <f>Financeiros!I83</f>
        <v>62</v>
      </c>
      <c r="H221" s="848">
        <f>Financeiros!J83</f>
        <v>220</v>
      </c>
      <c r="I221" s="848">
        <f>Financeiros!K83</f>
        <v>2</v>
      </c>
      <c r="J221" s="848">
        <f>Financeiros!L83</f>
        <v>9</v>
      </c>
      <c r="K221" s="848">
        <f>Financeiros!M83</f>
        <v>9</v>
      </c>
      <c r="L221" s="848">
        <v>99</v>
      </c>
      <c r="M221" s="848">
        <v>9</v>
      </c>
      <c r="N221" s="848">
        <v>3</v>
      </c>
      <c r="O221" s="848">
        <v>99999</v>
      </c>
      <c r="P221" s="910">
        <f t="shared" ca="1" si="7"/>
        <v>0</v>
      </c>
      <c r="Q221" s="232">
        <f ca="1">Financeiros!D83</f>
        <v>0</v>
      </c>
    </row>
    <row r="222" spans="1:17" ht="15.75">
      <c r="A222" s="848" t="s">
        <v>696</v>
      </c>
      <c r="B222" s="848" t="s">
        <v>1290</v>
      </c>
      <c r="C222" s="848" t="str">
        <f>Financeiros!C84</f>
        <v>Reversão de Risco Hidrológico - Perda Técnica</v>
      </c>
      <c r="D222" s="848">
        <v>2</v>
      </c>
      <c r="E222" s="848">
        <v>2</v>
      </c>
      <c r="F222" s="848">
        <f>Financeiros!H84</f>
        <v>22</v>
      </c>
      <c r="G222" s="848">
        <f>Financeiros!I84</f>
        <v>62</v>
      </c>
      <c r="H222" s="848">
        <f>Financeiros!J84</f>
        <v>220</v>
      </c>
      <c r="I222" s="848">
        <f>Financeiros!K84</f>
        <v>2</v>
      </c>
      <c r="J222" s="848">
        <f>Financeiros!L84</f>
        <v>8</v>
      </c>
      <c r="K222" s="848">
        <f>Financeiros!M84</f>
        <v>9</v>
      </c>
      <c r="L222" s="848">
        <v>99</v>
      </c>
      <c r="M222" s="848">
        <v>9</v>
      </c>
      <c r="N222" s="848">
        <v>3</v>
      </c>
      <c r="O222" s="848">
        <v>99999</v>
      </c>
      <c r="P222" s="910">
        <f t="shared" ca="1" si="7"/>
        <v>-109668.1790603526</v>
      </c>
      <c r="Q222" s="232">
        <f ca="1">Financeiros!D84</f>
        <v>-109668.1790603526</v>
      </c>
    </row>
    <row r="223" spans="1:17" ht="15.75">
      <c r="A223" s="848" t="s">
        <v>696</v>
      </c>
      <c r="B223" s="848" t="s">
        <v>1290</v>
      </c>
      <c r="C223" s="848" t="str">
        <f>Financeiros!C85</f>
        <v>Reversão de Risco Hidrológico - Perda Rede Básica sobre Dist.</v>
      </c>
      <c r="D223" s="848">
        <v>2</v>
      </c>
      <c r="E223" s="848">
        <v>2</v>
      </c>
      <c r="F223" s="848">
        <f>Financeiros!H85</f>
        <v>22</v>
      </c>
      <c r="G223" s="848">
        <f>Financeiros!I85</f>
        <v>62</v>
      </c>
      <c r="H223" s="848">
        <f>Financeiros!J85</f>
        <v>220</v>
      </c>
      <c r="I223" s="848">
        <f>Financeiros!K85</f>
        <v>2</v>
      </c>
      <c r="J223" s="848">
        <f>Financeiros!L85</f>
        <v>10</v>
      </c>
      <c r="K223" s="848">
        <f>Financeiros!M85</f>
        <v>9</v>
      </c>
      <c r="L223" s="848">
        <v>99</v>
      </c>
      <c r="M223" s="848">
        <v>9</v>
      </c>
      <c r="N223" s="848">
        <v>3</v>
      </c>
      <c r="O223" s="848">
        <v>99999</v>
      </c>
      <c r="P223" s="910">
        <f t="shared" ca="1" si="7"/>
        <v>-3639.6832788719521</v>
      </c>
      <c r="Q223" s="232">
        <f ca="1">Financeiros!D85</f>
        <v>-3639.6832788719521</v>
      </c>
    </row>
    <row r="224" spans="1:17" ht="15.75">
      <c r="A224" s="848" t="s">
        <v>696</v>
      </c>
      <c r="B224" s="848" t="s">
        <v>1290</v>
      </c>
      <c r="C224" s="848" t="str">
        <f>Financeiros!C86</f>
        <v>Reversão de Risco Hidrológico - Perda Rede Básica sobre mercado Cat.</v>
      </c>
      <c r="D224" s="848">
        <v>2</v>
      </c>
      <c r="E224" s="848">
        <v>2</v>
      </c>
      <c r="F224" s="848">
        <f>Financeiros!H86</f>
        <v>22</v>
      </c>
      <c r="G224" s="848">
        <f>Financeiros!I86</f>
        <v>62</v>
      </c>
      <c r="H224" s="848">
        <f>Financeiros!J86</f>
        <v>220</v>
      </c>
      <c r="I224" s="848">
        <f>Financeiros!K86</f>
        <v>2</v>
      </c>
      <c r="J224" s="848">
        <f>Financeiros!L86</f>
        <v>24</v>
      </c>
      <c r="K224" s="848">
        <f>Financeiros!M86</f>
        <v>9</v>
      </c>
      <c r="L224" s="848">
        <v>99</v>
      </c>
      <c r="M224" s="848">
        <v>9</v>
      </c>
      <c r="N224" s="848">
        <v>3</v>
      </c>
      <c r="O224" s="848">
        <v>99999</v>
      </c>
      <c r="P224" s="910">
        <f t="shared" ca="1" si="7"/>
        <v>-83708.136700395393</v>
      </c>
      <c r="Q224" s="232">
        <f ca="1">Financeiros!D86</f>
        <v>-83708.136700395393</v>
      </c>
    </row>
    <row r="225" spans="1:17" ht="15.75">
      <c r="A225" s="848" t="s">
        <v>696</v>
      </c>
      <c r="B225" s="848" t="s">
        <v>1290</v>
      </c>
      <c r="C225" s="848" t="str">
        <f>Financeiros!C87</f>
        <v>Previsão de Risco Hidrologico - Energia de Revenda</v>
      </c>
      <c r="D225" s="848">
        <v>2</v>
      </c>
      <c r="E225" s="848">
        <v>2</v>
      </c>
      <c r="F225" s="848">
        <f>Financeiros!H87</f>
        <v>22</v>
      </c>
      <c r="G225" s="848">
        <f>Financeiros!I87</f>
        <v>60</v>
      </c>
      <c r="H225" s="848">
        <f>Financeiros!J87</f>
        <v>220</v>
      </c>
      <c r="I225" s="848">
        <f>Financeiros!K87</f>
        <v>2</v>
      </c>
      <c r="J225" s="848">
        <f>Financeiros!L87</f>
        <v>11</v>
      </c>
      <c r="K225" s="848">
        <f>Financeiros!M87</f>
        <v>9</v>
      </c>
      <c r="L225" s="848">
        <v>99</v>
      </c>
      <c r="M225" s="848">
        <v>9</v>
      </c>
      <c r="N225" s="848">
        <v>3</v>
      </c>
      <c r="O225" s="848">
        <v>99999</v>
      </c>
      <c r="P225" s="910">
        <f t="shared" ca="1" si="7"/>
        <v>2465322.1348087294</v>
      </c>
      <c r="Q225" s="232">
        <f ca="1">Financeiros!D87</f>
        <v>2465322.1348087294</v>
      </c>
    </row>
    <row r="226" spans="1:17" ht="15.75">
      <c r="A226" s="848" t="s">
        <v>696</v>
      </c>
      <c r="B226" s="848" t="s">
        <v>1290</v>
      </c>
      <c r="C226" s="848" t="str">
        <f>Financeiros!C88</f>
        <v>Previsão de Risco Hidrologico - Perda Não Técnica</v>
      </c>
      <c r="D226" s="848">
        <v>2</v>
      </c>
      <c r="E226" s="848">
        <v>2</v>
      </c>
      <c r="F226" s="848">
        <f>Financeiros!H88</f>
        <v>22</v>
      </c>
      <c r="G226" s="848">
        <f>Financeiros!I88</f>
        <v>60</v>
      </c>
      <c r="H226" s="848">
        <f>Financeiros!J88</f>
        <v>220</v>
      </c>
      <c r="I226" s="848">
        <f>Financeiros!K88</f>
        <v>2</v>
      </c>
      <c r="J226" s="848">
        <f>Financeiros!L88</f>
        <v>9</v>
      </c>
      <c r="K226" s="848">
        <f>Financeiros!M88</f>
        <v>9</v>
      </c>
      <c r="L226" s="848">
        <v>99</v>
      </c>
      <c r="M226" s="848">
        <v>9</v>
      </c>
      <c r="N226" s="848">
        <v>3</v>
      </c>
      <c r="O226" s="848">
        <v>99999</v>
      </c>
      <c r="P226" s="910">
        <f t="shared" ca="1" si="7"/>
        <v>0</v>
      </c>
      <c r="Q226" s="232">
        <f ca="1">Financeiros!D88</f>
        <v>0</v>
      </c>
    </row>
    <row r="227" spans="1:17" ht="15.75">
      <c r="A227" s="848" t="s">
        <v>696</v>
      </c>
      <c r="B227" s="848" t="s">
        <v>1290</v>
      </c>
      <c r="C227" s="848" t="str">
        <f>Financeiros!C89</f>
        <v>Previsão de Risco Hidrologico - Perda Técnica</v>
      </c>
      <c r="D227" s="848">
        <v>2</v>
      </c>
      <c r="E227" s="848">
        <v>2</v>
      </c>
      <c r="F227" s="848">
        <f>Financeiros!H89</f>
        <v>22</v>
      </c>
      <c r="G227" s="848">
        <f>Financeiros!I89</f>
        <v>60</v>
      </c>
      <c r="H227" s="848">
        <f>Financeiros!J89</f>
        <v>220</v>
      </c>
      <c r="I227" s="848">
        <f>Financeiros!K89</f>
        <v>2</v>
      </c>
      <c r="J227" s="848">
        <f>Financeiros!L89</f>
        <v>8</v>
      </c>
      <c r="K227" s="848">
        <f>Financeiros!M89</f>
        <v>9</v>
      </c>
      <c r="L227" s="848">
        <v>99</v>
      </c>
      <c r="M227" s="848">
        <v>9</v>
      </c>
      <c r="N227" s="848">
        <v>3</v>
      </c>
      <c r="O227" s="848">
        <v>99999</v>
      </c>
      <c r="P227" s="910">
        <f t="shared" ca="1" si="7"/>
        <v>107193.7819284162</v>
      </c>
      <c r="Q227" s="232">
        <f ca="1">Financeiros!D89</f>
        <v>107193.7819284162</v>
      </c>
    </row>
    <row r="228" spans="1:17" ht="15.75">
      <c r="A228" s="848" t="s">
        <v>696</v>
      </c>
      <c r="B228" s="848" t="s">
        <v>1290</v>
      </c>
      <c r="C228" s="848" t="str">
        <f>Financeiros!C90</f>
        <v>Previsão de Risco Hidrologico - Perda Rede Básica sobre Dist.</v>
      </c>
      <c r="D228" s="848">
        <v>2</v>
      </c>
      <c r="E228" s="848">
        <v>2</v>
      </c>
      <c r="F228" s="848">
        <f>Financeiros!H90</f>
        <v>22</v>
      </c>
      <c r="G228" s="848">
        <f>Financeiros!I90</f>
        <v>60</v>
      </c>
      <c r="H228" s="848">
        <f>Financeiros!J90</f>
        <v>220</v>
      </c>
      <c r="I228" s="848">
        <f>Financeiros!K90</f>
        <v>2</v>
      </c>
      <c r="J228" s="848">
        <f>Financeiros!L90</f>
        <v>10</v>
      </c>
      <c r="K228" s="848">
        <f>Financeiros!M90</f>
        <v>9</v>
      </c>
      <c r="L228" s="848">
        <v>99</v>
      </c>
      <c r="M228" s="848">
        <v>9</v>
      </c>
      <c r="N228" s="848">
        <v>3</v>
      </c>
      <c r="O228" s="848">
        <v>99999</v>
      </c>
      <c r="P228" s="910">
        <f t="shared" ca="1" si="7"/>
        <v>3557.5626314465812</v>
      </c>
      <c r="Q228" s="232">
        <f ca="1">Financeiros!D90</f>
        <v>3557.5626314465812</v>
      </c>
    </row>
    <row r="229" spans="1:17" ht="15.75">
      <c r="A229" s="848" t="s">
        <v>696</v>
      </c>
      <c r="B229" s="848" t="s">
        <v>1290</v>
      </c>
      <c r="C229" s="848" t="str">
        <f>Financeiros!C91</f>
        <v>Previsão de Risco Hidrologico - Perda Rede Básica sobre mercado Cat.</v>
      </c>
      <c r="D229" s="848">
        <v>2</v>
      </c>
      <c r="E229" s="848">
        <v>2</v>
      </c>
      <c r="F229" s="848">
        <f>Financeiros!H91</f>
        <v>22</v>
      </c>
      <c r="G229" s="848">
        <f>Financeiros!I91</f>
        <v>60</v>
      </c>
      <c r="H229" s="848">
        <f>Financeiros!J91</f>
        <v>220</v>
      </c>
      <c r="I229" s="848">
        <f>Financeiros!K91</f>
        <v>2</v>
      </c>
      <c r="J229" s="848">
        <f>Financeiros!L91</f>
        <v>24</v>
      </c>
      <c r="K229" s="848">
        <f>Financeiros!M91</f>
        <v>9</v>
      </c>
      <c r="L229" s="848">
        <v>99</v>
      </c>
      <c r="M229" s="848">
        <v>9</v>
      </c>
      <c r="N229" s="848">
        <v>3</v>
      </c>
      <c r="O229" s="848">
        <v>99999</v>
      </c>
      <c r="P229" s="910">
        <f t="shared" ca="1" si="7"/>
        <v>81819.465117207961</v>
      </c>
      <c r="Q229" s="232">
        <f ca="1">Financeiros!D91</f>
        <v>81819.465117207961</v>
      </c>
    </row>
    <row r="230" spans="1:17" ht="15.75">
      <c r="A230" s="848" t="s">
        <v>696</v>
      </c>
      <c r="B230" s="848" t="s">
        <v>1290</v>
      </c>
      <c r="C230" s="848" t="str">
        <f>Financeiros!C92</f>
        <v>Diferimento da Previsão de Risco Hidrologico - Energia de Revenda</v>
      </c>
      <c r="D230" s="848">
        <v>2</v>
      </c>
      <c r="E230" s="848">
        <v>2</v>
      </c>
      <c r="F230" s="848">
        <v>999</v>
      </c>
      <c r="G230" s="848">
        <v>999999</v>
      </c>
      <c r="H230" s="848">
        <v>999</v>
      </c>
      <c r="I230" s="848">
        <v>99</v>
      </c>
      <c r="J230" s="848">
        <v>999</v>
      </c>
      <c r="K230" s="848">
        <v>9</v>
      </c>
      <c r="L230" s="848">
        <v>99</v>
      </c>
      <c r="M230" s="848">
        <v>9</v>
      </c>
      <c r="N230" s="848">
        <v>3</v>
      </c>
      <c r="O230" s="848">
        <v>99999</v>
      </c>
      <c r="P230" s="910">
        <f t="shared" si="7"/>
        <v>0</v>
      </c>
      <c r="Q230" s="232">
        <f>Financeiros!D92</f>
        <v>0</v>
      </c>
    </row>
    <row r="231" spans="1:17" ht="15.75">
      <c r="A231" s="848" t="s">
        <v>696</v>
      </c>
      <c r="B231" s="848" t="s">
        <v>1290</v>
      </c>
      <c r="C231" s="848" t="str">
        <f>Financeiros!C93</f>
        <v>Diferimento da Previsão de Risco Hidrologico - Perda Não Técnica</v>
      </c>
      <c r="D231" s="848">
        <v>2</v>
      </c>
      <c r="E231" s="848">
        <v>2</v>
      </c>
      <c r="F231" s="848">
        <v>999</v>
      </c>
      <c r="G231" s="848">
        <v>999999</v>
      </c>
      <c r="H231" s="848">
        <v>999</v>
      </c>
      <c r="I231" s="848">
        <v>99</v>
      </c>
      <c r="J231" s="848">
        <v>999</v>
      </c>
      <c r="K231" s="848">
        <v>9</v>
      </c>
      <c r="L231" s="848">
        <v>99</v>
      </c>
      <c r="M231" s="848">
        <v>9</v>
      </c>
      <c r="N231" s="848">
        <v>3</v>
      </c>
      <c r="O231" s="848">
        <v>99999</v>
      </c>
      <c r="P231" s="910">
        <f t="shared" si="7"/>
        <v>0</v>
      </c>
      <c r="Q231" s="232">
        <f>Financeiros!D93</f>
        <v>0</v>
      </c>
    </row>
    <row r="232" spans="1:17" ht="15.75">
      <c r="A232" s="848" t="s">
        <v>696</v>
      </c>
      <c r="B232" s="848" t="s">
        <v>1290</v>
      </c>
      <c r="C232" s="848" t="str">
        <f>Financeiros!C94</f>
        <v>Diferimento da Previsão de Risco Hidrologico - Perda Técnica</v>
      </c>
      <c r="D232" s="848">
        <v>2</v>
      </c>
      <c r="E232" s="848">
        <v>2</v>
      </c>
      <c r="F232" s="848">
        <v>999</v>
      </c>
      <c r="G232" s="848">
        <v>999999</v>
      </c>
      <c r="H232" s="848">
        <v>999</v>
      </c>
      <c r="I232" s="848">
        <v>99</v>
      </c>
      <c r="J232" s="848">
        <v>999</v>
      </c>
      <c r="K232" s="848">
        <v>9</v>
      </c>
      <c r="L232" s="848">
        <v>99</v>
      </c>
      <c r="M232" s="848">
        <v>9</v>
      </c>
      <c r="N232" s="848">
        <v>3</v>
      </c>
      <c r="O232" s="848">
        <v>99999</v>
      </c>
      <c r="P232" s="910">
        <f t="shared" si="7"/>
        <v>0</v>
      </c>
      <c r="Q232" s="232">
        <f>Financeiros!D94</f>
        <v>0</v>
      </c>
    </row>
    <row r="233" spans="1:17" ht="15.75">
      <c r="A233" s="848" t="s">
        <v>696</v>
      </c>
      <c r="B233" s="848" t="s">
        <v>1290</v>
      </c>
      <c r="C233" s="848" t="str">
        <f>Financeiros!C95</f>
        <v>Diferimento da Previsão de Risco Hidrologico - Perda Rede Básica sobre Dist.</v>
      </c>
      <c r="D233" s="848">
        <v>2</v>
      </c>
      <c r="E233" s="848">
        <v>2</v>
      </c>
      <c r="F233" s="848">
        <v>999</v>
      </c>
      <c r="G233" s="848">
        <v>999999</v>
      </c>
      <c r="H233" s="848">
        <v>999</v>
      </c>
      <c r="I233" s="848">
        <v>99</v>
      </c>
      <c r="J233" s="848">
        <v>999</v>
      </c>
      <c r="K233" s="848">
        <v>9</v>
      </c>
      <c r="L233" s="848">
        <v>99</v>
      </c>
      <c r="M233" s="848">
        <v>9</v>
      </c>
      <c r="N233" s="848">
        <v>3</v>
      </c>
      <c r="O233" s="848">
        <v>99999</v>
      </c>
      <c r="P233" s="910">
        <f t="shared" si="7"/>
        <v>0</v>
      </c>
      <c r="Q233" s="232">
        <f>Financeiros!D95</f>
        <v>0</v>
      </c>
    </row>
    <row r="234" spans="1:17" ht="15.75">
      <c r="A234" s="848" t="s">
        <v>696</v>
      </c>
      <c r="B234" s="848" t="s">
        <v>1290</v>
      </c>
      <c r="C234" s="848" t="str">
        <f>Financeiros!C96</f>
        <v>Diferimento da Previsão de Risco Hidrologico - Perda Rede Básica sobre mercado Cat.</v>
      </c>
      <c r="D234" s="848">
        <v>2</v>
      </c>
      <c r="E234" s="848">
        <v>2</v>
      </c>
      <c r="F234" s="848">
        <v>999</v>
      </c>
      <c r="G234" s="848">
        <v>999999</v>
      </c>
      <c r="H234" s="848">
        <v>999</v>
      </c>
      <c r="I234" s="848">
        <v>99</v>
      </c>
      <c r="J234" s="848">
        <v>999</v>
      </c>
      <c r="K234" s="848">
        <v>9</v>
      </c>
      <c r="L234" s="848">
        <v>99</v>
      </c>
      <c r="M234" s="848">
        <v>9</v>
      </c>
      <c r="N234" s="848">
        <v>3</v>
      </c>
      <c r="O234" s="848">
        <v>99999</v>
      </c>
      <c r="P234" s="910">
        <f t="shared" si="7"/>
        <v>0</v>
      </c>
      <c r="Q234" s="232">
        <f>Financeiros!D96</f>
        <v>0</v>
      </c>
    </row>
    <row r="235" spans="1:17" ht="15.75">
      <c r="A235" s="848" t="s">
        <v>696</v>
      </c>
      <c r="B235" s="848" t="s">
        <v>1290</v>
      </c>
      <c r="C235" s="848" t="str">
        <f>Financeiros!C97</f>
        <v xml:space="preserve">Diferimento CUSD </v>
      </c>
      <c r="D235" s="848">
        <v>2</v>
      </c>
      <c r="E235" s="848">
        <v>2</v>
      </c>
      <c r="F235" s="848">
        <v>999</v>
      </c>
      <c r="G235" s="848">
        <v>999999</v>
      </c>
      <c r="H235" s="848">
        <v>999</v>
      </c>
      <c r="I235" s="848">
        <v>99</v>
      </c>
      <c r="J235" s="848">
        <v>999</v>
      </c>
      <c r="K235" s="848">
        <v>9</v>
      </c>
      <c r="L235" s="848">
        <v>99</v>
      </c>
      <c r="M235" s="848">
        <v>9</v>
      </c>
      <c r="N235" s="848">
        <v>3</v>
      </c>
      <c r="O235" s="848">
        <v>99999</v>
      </c>
      <c r="P235" s="910">
        <f t="shared" si="7"/>
        <v>0</v>
      </c>
      <c r="Q235" s="232">
        <f>Financeiros!D97</f>
        <v>0</v>
      </c>
    </row>
    <row r="236" spans="1:17" ht="15.75">
      <c r="A236" s="848" t="s">
        <v>696</v>
      </c>
      <c r="B236" s="848" t="s">
        <v>1290</v>
      </c>
      <c r="C236" s="848" t="str">
        <f>Financeiros!C98</f>
        <v>Garantias Financeiras</v>
      </c>
      <c r="D236" s="848">
        <v>2</v>
      </c>
      <c r="E236" s="848">
        <v>2</v>
      </c>
      <c r="F236" s="848">
        <f>Financeiros!H98</f>
        <v>22</v>
      </c>
      <c r="G236" s="848">
        <f>Financeiros!I98</f>
        <v>60</v>
      </c>
      <c r="H236" s="848">
        <f>Financeiros!J98</f>
        <v>102</v>
      </c>
      <c r="I236" s="848">
        <f>Financeiros!K98</f>
        <v>2</v>
      </c>
      <c r="J236" s="848">
        <f>Financeiros!L98</f>
        <v>30</v>
      </c>
      <c r="K236" s="848">
        <v>9</v>
      </c>
      <c r="L236" s="848">
        <v>99</v>
      </c>
      <c r="M236" s="848">
        <v>9</v>
      </c>
      <c r="N236" s="848">
        <v>3</v>
      </c>
      <c r="O236" s="848">
        <v>99999</v>
      </c>
      <c r="P236" s="910">
        <f t="shared" si="7"/>
        <v>62622.378336678128</v>
      </c>
      <c r="Q236" s="232">
        <f>Financeiros!D98</f>
        <v>62622.378336678128</v>
      </c>
    </row>
    <row r="237" spans="1:17" ht="15.75">
      <c r="A237" s="848" t="s">
        <v>696</v>
      </c>
      <c r="B237" s="848" t="s">
        <v>1290</v>
      </c>
      <c r="C237" s="848">
        <f>Financeiros!C99</f>
        <v>0</v>
      </c>
      <c r="D237" s="848">
        <v>2</v>
      </c>
      <c r="E237" s="848">
        <v>2</v>
      </c>
      <c r="F237" s="848">
        <v>999</v>
      </c>
      <c r="G237" s="848">
        <v>999999</v>
      </c>
      <c r="H237" s="848">
        <v>999</v>
      </c>
      <c r="I237" s="848">
        <v>99</v>
      </c>
      <c r="J237" s="848">
        <v>999</v>
      </c>
      <c r="K237" s="848">
        <v>9</v>
      </c>
      <c r="L237" s="848">
        <v>99</v>
      </c>
      <c r="M237" s="848">
        <v>9</v>
      </c>
      <c r="N237" s="848">
        <v>3</v>
      </c>
      <c r="O237" s="848">
        <v>99999</v>
      </c>
      <c r="P237" s="910">
        <f t="shared" si="7"/>
        <v>0</v>
      </c>
      <c r="Q237" s="232">
        <f>Financeiros!D99</f>
        <v>0</v>
      </c>
    </row>
    <row r="238" spans="1:17" ht="15.75">
      <c r="A238" s="848" t="s">
        <v>696</v>
      </c>
      <c r="B238" s="848" t="s">
        <v>1290</v>
      </c>
      <c r="C238" s="848">
        <f>Financeiros!C100</f>
        <v>0</v>
      </c>
      <c r="D238" s="848">
        <v>2</v>
      </c>
      <c r="E238" s="848">
        <v>2</v>
      </c>
      <c r="F238" s="848">
        <v>999</v>
      </c>
      <c r="G238" s="848">
        <v>999999</v>
      </c>
      <c r="H238" s="848">
        <v>999</v>
      </c>
      <c r="I238" s="848">
        <v>99</v>
      </c>
      <c r="J238" s="848">
        <v>999</v>
      </c>
      <c r="K238" s="848">
        <v>9</v>
      </c>
      <c r="L238" s="848">
        <v>99</v>
      </c>
      <c r="M238" s="848">
        <v>9</v>
      </c>
      <c r="N238" s="848">
        <v>3</v>
      </c>
      <c r="O238" s="848">
        <v>99999</v>
      </c>
      <c r="P238" s="910">
        <f t="shared" ref="P238" si="8">IF(ISNUMBER(Q238),Q238,0)</f>
        <v>0</v>
      </c>
      <c r="Q238" s="232">
        <f>Financeiros!D100</f>
        <v>0</v>
      </c>
    </row>
    <row r="239" spans="1:17" ht="15.75">
      <c r="A239" s="1690" t="s">
        <v>1475</v>
      </c>
      <c r="B239" s="1691" t="s">
        <v>1475</v>
      </c>
      <c r="C239" s="1691" t="s">
        <v>1475</v>
      </c>
      <c r="D239" s="1691">
        <v>99</v>
      </c>
      <c r="E239" s="1691">
        <v>99</v>
      </c>
      <c r="F239" s="1691">
        <v>999</v>
      </c>
      <c r="G239" s="1691">
        <v>999999</v>
      </c>
      <c r="H239" s="1691">
        <v>999</v>
      </c>
      <c r="I239" s="1691">
        <v>99</v>
      </c>
      <c r="J239" s="1691">
        <v>999</v>
      </c>
      <c r="K239" s="1691">
        <v>9</v>
      </c>
      <c r="L239" s="1691">
        <v>99</v>
      </c>
      <c r="M239" s="1691">
        <v>9</v>
      </c>
      <c r="N239" s="1691">
        <v>99</v>
      </c>
      <c r="O239" s="1687">
        <v>99999</v>
      </c>
      <c r="P239" s="1692">
        <f>IF(ISNUMBER(Q239),Q239,0)</f>
        <v>0</v>
      </c>
      <c r="Q239" s="1693">
        <v>0</v>
      </c>
    </row>
    <row r="240" spans="1:17" ht="15.75">
      <c r="A240" s="1690" t="s">
        <v>1475</v>
      </c>
      <c r="B240" s="1691" t="s">
        <v>1475</v>
      </c>
      <c r="C240" s="1691" t="s">
        <v>1475</v>
      </c>
      <c r="D240" s="1691">
        <v>99</v>
      </c>
      <c r="E240" s="1691">
        <v>99</v>
      </c>
      <c r="F240" s="1691">
        <v>999</v>
      </c>
      <c r="G240" s="1691">
        <v>999999</v>
      </c>
      <c r="H240" s="1691">
        <v>999</v>
      </c>
      <c r="I240" s="1691">
        <v>99</v>
      </c>
      <c r="J240" s="1691">
        <v>999</v>
      </c>
      <c r="K240" s="1691">
        <v>9</v>
      </c>
      <c r="L240" s="1691">
        <v>99</v>
      </c>
      <c r="M240" s="1691">
        <v>9</v>
      </c>
      <c r="N240" s="1691">
        <v>99</v>
      </c>
      <c r="O240" s="1687">
        <v>99999</v>
      </c>
      <c r="P240" s="1692">
        <f>IF(ISNUMBER(Q240),Q240,0)</f>
        <v>0</v>
      </c>
      <c r="Q240" s="1693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1509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1510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1511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1512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1513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1514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5" t="s">
        <v>1515</v>
      </c>
      <c r="B1" s="493">
        <f>YEAR(SAS_RA0_DataInicio)*100+MONTH(SAS_RA0_DataInicio)</f>
        <v>202109</v>
      </c>
      <c r="D1" s="1395" t="s">
        <v>1516</v>
      </c>
      <c r="E1" s="1395" t="s">
        <v>1517</v>
      </c>
      <c r="F1" s="1395" t="s">
        <v>1518</v>
      </c>
    </row>
    <row r="2" spans="1:138" ht="15.75">
      <c r="A2" s="1395" t="s">
        <v>1519</v>
      </c>
      <c r="B2" s="493">
        <f>YEAR(SAS_RA0_DataFim)*100+MONTH(SAS_RA0_DataFim)</f>
        <v>202208</v>
      </c>
      <c r="D2" s="1396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7" t="s">
        <v>189</v>
      </c>
      <c r="B3" s="495">
        <f>YEAR(SAS_RA0_DataFim)*100+MONTH(SAS_RA0_DataFim)-MAX(C:C)+1</f>
        <v>202209</v>
      </c>
      <c r="D3" s="1396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1520</v>
      </c>
      <c r="B4" s="510" t="s">
        <v>1521</v>
      </c>
    </row>
    <row r="6" spans="1:138" ht="15.75">
      <c r="A6" s="767"/>
      <c r="B6" s="768"/>
      <c r="C6" s="768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8" t="s">
        <v>1522</v>
      </c>
      <c r="B1" s="1399">
        <v>0</v>
      </c>
    </row>
    <row r="2" spans="1:2">
      <c r="A2" s="1398" t="s">
        <v>1523</v>
      </c>
      <c r="B2" s="1399">
        <v>0</v>
      </c>
    </row>
    <row r="3" spans="1:2">
      <c r="A3" s="1398" t="s">
        <v>1524</v>
      </c>
      <c r="B3" s="1399">
        <v>0</v>
      </c>
    </row>
    <row r="4" spans="1:2">
      <c r="A4" s="1398" t="s">
        <v>1525</v>
      </c>
      <c r="B4" s="1399">
        <v>0</v>
      </c>
    </row>
    <row r="5" spans="1:2">
      <c r="A5" s="1398" t="s">
        <v>1526</v>
      </c>
      <c r="B5" s="1399">
        <v>0</v>
      </c>
    </row>
    <row r="6" spans="1:2">
      <c r="A6" s="1398" t="s">
        <v>1527</v>
      </c>
      <c r="B6" s="1399">
        <v>0</v>
      </c>
    </row>
    <row r="7" spans="1:2">
      <c r="A7" s="1398" t="s">
        <v>1528</v>
      </c>
      <c r="B7" s="1399">
        <v>0</v>
      </c>
    </row>
    <row r="8" spans="1:2">
      <c r="A8" s="1398" t="s">
        <v>1529</v>
      </c>
      <c r="B8" s="1399">
        <v>0</v>
      </c>
    </row>
    <row r="9" spans="1:2">
      <c r="A9" s="1398" t="s">
        <v>1530</v>
      </c>
      <c r="B9" s="1399">
        <v>0.45</v>
      </c>
    </row>
    <row r="10" spans="1:2">
      <c r="A10" s="1398" t="s">
        <v>1531</v>
      </c>
      <c r="B10" s="1399">
        <v>0.4</v>
      </c>
    </row>
    <row r="11" spans="1:2">
      <c r="A11" s="1398" t="s">
        <v>1532</v>
      </c>
      <c r="B11" s="1398">
        <v>0.65</v>
      </c>
    </row>
    <row r="12" spans="1:2">
      <c r="A12" s="1398" t="s">
        <v>1533</v>
      </c>
      <c r="B12" s="1398">
        <v>0.4</v>
      </c>
    </row>
    <row r="13" spans="1:2">
      <c r="A13" s="1398" t="s">
        <v>1534</v>
      </c>
      <c r="B13" s="1398">
        <v>0.1</v>
      </c>
    </row>
    <row r="14" spans="1:2">
      <c r="A14" s="1398" t="s">
        <v>1535</v>
      </c>
      <c r="B14" s="1398">
        <v>0</v>
      </c>
    </row>
    <row r="15" spans="1:2">
      <c r="A15" s="1398" t="s">
        <v>1536</v>
      </c>
      <c r="B15" s="1398">
        <v>0.3</v>
      </c>
    </row>
    <row r="16" spans="1:2">
      <c r="A16" s="1398" t="s">
        <v>1537</v>
      </c>
      <c r="B16" s="1398">
        <v>0.3</v>
      </c>
    </row>
    <row r="17" spans="1:13">
      <c r="A17" s="1398" t="s">
        <v>1538</v>
      </c>
      <c r="B17" s="1398">
        <v>0.4</v>
      </c>
    </row>
    <row r="20" spans="1:13" ht="15">
      <c r="D20" s="1400" t="s">
        <v>1377</v>
      </c>
      <c r="E20" s="1400" t="s">
        <v>960</v>
      </c>
      <c r="F20" s="1400" t="s">
        <v>1539</v>
      </c>
      <c r="G20" s="1400" t="s">
        <v>1540</v>
      </c>
      <c r="H20" s="1400" t="s">
        <v>1541</v>
      </c>
      <c r="I20" s="1400" t="s">
        <v>1542</v>
      </c>
      <c r="J20" s="1400" t="s">
        <v>1543</v>
      </c>
      <c r="K20" s="1400" t="s">
        <v>1544</v>
      </c>
      <c r="L20" s="1400" t="s">
        <v>1545</v>
      </c>
      <c r="M20" s="1400" t="s">
        <v>1044</v>
      </c>
    </row>
    <row r="21" spans="1:13" ht="30" hidden="1">
      <c r="D21" s="1401">
        <v>26</v>
      </c>
      <c r="E21" s="1402" t="s">
        <v>1546</v>
      </c>
      <c r="F21" s="1402" t="s">
        <v>113</v>
      </c>
      <c r="G21" s="1403">
        <v>41243</v>
      </c>
      <c r="H21" s="1404">
        <v>41243</v>
      </c>
      <c r="I21" s="1402" t="s">
        <v>963</v>
      </c>
      <c r="J21" s="1402" t="s">
        <v>114</v>
      </c>
      <c r="K21" s="1401">
        <v>1663</v>
      </c>
      <c r="L21" s="1402" t="s">
        <v>1547</v>
      </c>
      <c r="M21" s="1402" t="s">
        <v>1548</v>
      </c>
    </row>
    <row r="22" spans="1:13" ht="30" hidden="1">
      <c r="D22" s="1401">
        <v>28</v>
      </c>
      <c r="E22" s="1402" t="s">
        <v>1549</v>
      </c>
      <c r="F22" s="1402" t="s">
        <v>1550</v>
      </c>
      <c r="G22" s="1403">
        <v>41214</v>
      </c>
      <c r="H22" s="470"/>
      <c r="I22" s="1402" t="s">
        <v>963</v>
      </c>
      <c r="J22" s="1402" t="s">
        <v>114</v>
      </c>
      <c r="K22" s="1401">
        <v>1665</v>
      </c>
      <c r="L22" s="1402" t="s">
        <v>114</v>
      </c>
      <c r="M22" s="1402" t="s">
        <v>1548</v>
      </c>
    </row>
    <row r="23" spans="1:13" ht="30" hidden="1">
      <c r="D23" s="1401">
        <v>31</v>
      </c>
      <c r="E23" s="1402" t="s">
        <v>1551</v>
      </c>
      <c r="F23" s="1402" t="s">
        <v>115</v>
      </c>
      <c r="G23" s="1403">
        <v>41243</v>
      </c>
      <c r="H23" s="470"/>
      <c r="I23" s="1402" t="s">
        <v>963</v>
      </c>
      <c r="J23" s="1402" t="s">
        <v>114</v>
      </c>
      <c r="K23" s="1401">
        <v>1666</v>
      </c>
      <c r="L23" s="1402" t="s">
        <v>114</v>
      </c>
      <c r="M23" s="1402" t="s">
        <v>1548</v>
      </c>
    </row>
    <row r="24" spans="1:13" ht="30" hidden="1">
      <c r="D24" s="1401">
        <v>32</v>
      </c>
      <c r="E24" s="1402" t="s">
        <v>1552</v>
      </c>
      <c r="F24" s="1402" t="s">
        <v>116</v>
      </c>
      <c r="G24" s="1403">
        <v>41094</v>
      </c>
      <c r="H24" s="470"/>
      <c r="I24" s="1402" t="s">
        <v>963</v>
      </c>
      <c r="J24" s="1402" t="s">
        <v>114</v>
      </c>
      <c r="K24" s="1401">
        <v>1668</v>
      </c>
      <c r="L24" s="1402" t="s">
        <v>1553</v>
      </c>
      <c r="M24" s="1402" t="s">
        <v>1548</v>
      </c>
    </row>
    <row r="25" spans="1:13" ht="30" hidden="1">
      <c r="D25" s="1401">
        <v>37</v>
      </c>
      <c r="E25" s="1402" t="s">
        <v>1554</v>
      </c>
      <c r="F25" s="1402" t="s">
        <v>117</v>
      </c>
      <c r="G25" s="1403">
        <v>41149</v>
      </c>
      <c r="H25" s="470"/>
      <c r="I25" s="1402" t="s">
        <v>963</v>
      </c>
      <c r="J25" s="1402" t="s">
        <v>114</v>
      </c>
      <c r="K25" s="1401">
        <v>1669</v>
      </c>
      <c r="L25" s="1402" t="s">
        <v>1555</v>
      </c>
      <c r="M25" s="1402" t="s">
        <v>1548</v>
      </c>
    </row>
    <row r="26" spans="1:13" ht="30" hidden="1">
      <c r="D26" s="1401">
        <v>38</v>
      </c>
      <c r="E26" s="1402" t="s">
        <v>1556</v>
      </c>
      <c r="F26" s="1402" t="s">
        <v>118</v>
      </c>
      <c r="G26" s="1403">
        <v>41180</v>
      </c>
      <c r="H26" s="1404">
        <v>41149</v>
      </c>
      <c r="I26" s="1402" t="s">
        <v>963</v>
      </c>
      <c r="J26" s="1402" t="s">
        <v>114</v>
      </c>
      <c r="K26" s="1401">
        <v>1670</v>
      </c>
      <c r="L26" s="1402" t="s">
        <v>1557</v>
      </c>
      <c r="M26" s="1402" t="s">
        <v>1548</v>
      </c>
    </row>
    <row r="27" spans="1:13" ht="30" hidden="1">
      <c r="D27" s="1401">
        <v>39</v>
      </c>
      <c r="E27" s="1402" t="s">
        <v>1558</v>
      </c>
      <c r="F27" s="1402" t="s">
        <v>1559</v>
      </c>
      <c r="G27" s="1403">
        <v>41021</v>
      </c>
      <c r="H27" s="470"/>
      <c r="I27" s="1402" t="s">
        <v>963</v>
      </c>
      <c r="J27" s="1402" t="s">
        <v>114</v>
      </c>
      <c r="K27" s="1401">
        <v>1671</v>
      </c>
      <c r="L27" s="1402" t="s">
        <v>1560</v>
      </c>
      <c r="M27" s="1402" t="s">
        <v>1548</v>
      </c>
    </row>
    <row r="28" spans="1:13" ht="30" hidden="1">
      <c r="D28" s="1401">
        <v>40</v>
      </c>
      <c r="E28" s="1402" t="s">
        <v>1561</v>
      </c>
      <c r="F28" s="1402" t="s">
        <v>119</v>
      </c>
      <c r="G28" s="1403">
        <v>41021</v>
      </c>
      <c r="H28" s="470"/>
      <c r="I28" s="1402" t="s">
        <v>963</v>
      </c>
      <c r="J28" s="1402" t="s">
        <v>114</v>
      </c>
      <c r="K28" s="1401">
        <v>1672</v>
      </c>
      <c r="L28" s="1402" t="s">
        <v>1562</v>
      </c>
      <c r="M28" s="1402" t="s">
        <v>1548</v>
      </c>
    </row>
    <row r="29" spans="1:13" ht="30" hidden="1">
      <c r="D29" s="1401">
        <v>43</v>
      </c>
      <c r="E29" s="1402" t="s">
        <v>1563</v>
      </c>
      <c r="F29" s="1402" t="s">
        <v>120</v>
      </c>
      <c r="G29" s="1403">
        <v>41028</v>
      </c>
      <c r="H29" s="470"/>
      <c r="I29" s="1402" t="s">
        <v>963</v>
      </c>
      <c r="J29" s="1402" t="s">
        <v>114</v>
      </c>
      <c r="K29" s="1401">
        <v>1674</v>
      </c>
      <c r="L29" s="1402" t="s">
        <v>1564</v>
      </c>
      <c r="M29" s="1402" t="s">
        <v>1548</v>
      </c>
    </row>
    <row r="30" spans="1:13" ht="30" hidden="1">
      <c r="D30" s="1401">
        <v>44</v>
      </c>
      <c r="E30" s="1402" t="s">
        <v>1565</v>
      </c>
      <c r="F30" s="1402" t="s">
        <v>121</v>
      </c>
      <c r="G30" s="1403">
        <v>41180</v>
      </c>
      <c r="H30" s="470"/>
      <c r="I30" s="1402" t="s">
        <v>963</v>
      </c>
      <c r="J30" s="1402" t="s">
        <v>114</v>
      </c>
      <c r="K30" s="1401">
        <v>1675</v>
      </c>
      <c r="L30" s="1402" t="s">
        <v>1566</v>
      </c>
      <c r="M30" s="1402" t="s">
        <v>1548</v>
      </c>
    </row>
    <row r="31" spans="1:13" ht="30" hidden="1">
      <c r="D31" s="1401">
        <v>46</v>
      </c>
      <c r="E31" s="1402" t="s">
        <v>1567</v>
      </c>
      <c r="F31" s="1402" t="s">
        <v>122</v>
      </c>
      <c r="G31" s="1403">
        <v>41051</v>
      </c>
      <c r="H31" s="1404">
        <v>41257</v>
      </c>
      <c r="I31" s="1402" t="s">
        <v>963</v>
      </c>
      <c r="J31" s="1402" t="s">
        <v>1568</v>
      </c>
      <c r="K31" s="1401">
        <v>1676</v>
      </c>
      <c r="L31" s="1402" t="s">
        <v>1569</v>
      </c>
      <c r="M31" s="1402" t="s">
        <v>1548</v>
      </c>
    </row>
    <row r="32" spans="1:13" ht="30" hidden="1">
      <c r="D32" s="1401">
        <v>47</v>
      </c>
      <c r="E32" s="1402" t="s">
        <v>1570</v>
      </c>
      <c r="F32" s="1402" t="s">
        <v>123</v>
      </c>
      <c r="G32" s="1403">
        <v>41021</v>
      </c>
      <c r="H32" s="470"/>
      <c r="I32" s="1402" t="s">
        <v>963</v>
      </c>
      <c r="J32" s="1402" t="s">
        <v>114</v>
      </c>
      <c r="K32" s="1401">
        <v>1677</v>
      </c>
      <c r="L32" s="1402" t="s">
        <v>1571</v>
      </c>
      <c r="M32" s="1402" t="s">
        <v>1548</v>
      </c>
    </row>
    <row r="33" spans="4:13" ht="15" hidden="1">
      <c r="D33" s="1401">
        <v>51</v>
      </c>
      <c r="E33" s="1402" t="s">
        <v>1572</v>
      </c>
      <c r="F33" s="1402" t="s">
        <v>124</v>
      </c>
      <c r="G33" s="1403">
        <v>41235</v>
      </c>
      <c r="H33" s="1404">
        <v>41210</v>
      </c>
      <c r="I33" s="1402" t="s">
        <v>963</v>
      </c>
      <c r="J33" s="1402" t="s">
        <v>1568</v>
      </c>
      <c r="K33" s="1401">
        <v>1682</v>
      </c>
      <c r="L33" s="1402" t="s">
        <v>1573</v>
      </c>
      <c r="M33" s="1402" t="s">
        <v>1548</v>
      </c>
    </row>
    <row r="34" spans="4:13" ht="15" hidden="1">
      <c r="D34" s="1401">
        <v>56</v>
      </c>
      <c r="E34" s="1402" t="s">
        <v>1574</v>
      </c>
      <c r="F34" s="1402" t="s">
        <v>1575</v>
      </c>
      <c r="G34" s="470"/>
      <c r="H34" s="470"/>
      <c r="I34" s="1402" t="s">
        <v>963</v>
      </c>
      <c r="J34" s="1402" t="s">
        <v>114</v>
      </c>
      <c r="K34" s="1401">
        <v>1683</v>
      </c>
      <c r="L34" s="1402" t="s">
        <v>114</v>
      </c>
      <c r="M34" s="1402" t="s">
        <v>1548</v>
      </c>
    </row>
    <row r="35" spans="4:13" ht="30" hidden="1">
      <c r="D35" s="1401">
        <v>63</v>
      </c>
      <c r="E35" s="1402" t="s">
        <v>1576</v>
      </c>
      <c r="F35" s="1402" t="s">
        <v>125</v>
      </c>
      <c r="G35" s="1403">
        <v>41007</v>
      </c>
      <c r="H35" s="470"/>
      <c r="I35" s="1402" t="s">
        <v>963</v>
      </c>
      <c r="J35" s="1402" t="s">
        <v>114</v>
      </c>
      <c r="K35" s="1401">
        <v>1688</v>
      </c>
      <c r="L35" s="1402" t="s">
        <v>1577</v>
      </c>
      <c r="M35" s="1402" t="s">
        <v>1548</v>
      </c>
    </row>
    <row r="36" spans="4:13" ht="30" hidden="1">
      <c r="D36" s="1401">
        <v>69</v>
      </c>
      <c r="E36" s="1402" t="s">
        <v>1578</v>
      </c>
      <c r="F36" s="1402" t="s">
        <v>1579</v>
      </c>
      <c r="G36" s="1403">
        <v>40990</v>
      </c>
      <c r="H36" s="1404">
        <v>42038</v>
      </c>
      <c r="I36" s="1402" t="s">
        <v>963</v>
      </c>
      <c r="J36" s="1402" t="s">
        <v>114</v>
      </c>
      <c r="K36" s="1401">
        <v>1692</v>
      </c>
      <c r="L36" s="1402" t="s">
        <v>1580</v>
      </c>
      <c r="M36" s="1402" t="s">
        <v>1548</v>
      </c>
    </row>
    <row r="37" spans="4:13" ht="30" hidden="1">
      <c r="D37" s="1401">
        <v>70</v>
      </c>
      <c r="E37" s="1402" t="s">
        <v>1581</v>
      </c>
      <c r="F37" s="1402" t="s">
        <v>1582</v>
      </c>
      <c r="G37" s="1403">
        <v>40990</v>
      </c>
      <c r="H37" s="1404">
        <v>42038</v>
      </c>
      <c r="I37" s="1402" t="s">
        <v>963</v>
      </c>
      <c r="J37" s="1402" t="s">
        <v>114</v>
      </c>
      <c r="K37" s="1401">
        <v>1693</v>
      </c>
      <c r="L37" s="1402" t="s">
        <v>1583</v>
      </c>
      <c r="M37" s="1402" t="s">
        <v>1548</v>
      </c>
    </row>
    <row r="38" spans="4:13" ht="30" hidden="1">
      <c r="D38" s="1401">
        <v>71</v>
      </c>
      <c r="E38" s="1402" t="s">
        <v>1584</v>
      </c>
      <c r="F38" s="1402" t="s">
        <v>1585</v>
      </c>
      <c r="G38" s="1403">
        <v>40990</v>
      </c>
      <c r="H38" s="1404">
        <v>42038</v>
      </c>
      <c r="I38" s="1402" t="s">
        <v>963</v>
      </c>
      <c r="J38" s="1402" t="s">
        <v>114</v>
      </c>
      <c r="K38" s="1401">
        <v>1694</v>
      </c>
      <c r="L38" s="1402" t="s">
        <v>1586</v>
      </c>
      <c r="M38" s="1402" t="s">
        <v>1548</v>
      </c>
    </row>
    <row r="39" spans="4:13" ht="30" hidden="1">
      <c r="D39" s="1401">
        <v>72</v>
      </c>
      <c r="E39" s="1402" t="s">
        <v>1587</v>
      </c>
      <c r="F39" s="1402" t="s">
        <v>166</v>
      </c>
      <c r="G39" s="1403">
        <v>40990</v>
      </c>
      <c r="H39" s="1404">
        <v>42038</v>
      </c>
      <c r="I39" s="1402" t="s">
        <v>963</v>
      </c>
      <c r="J39" s="1402" t="s">
        <v>114</v>
      </c>
      <c r="K39" s="1401">
        <v>1695</v>
      </c>
      <c r="L39" s="1402" t="s">
        <v>1588</v>
      </c>
      <c r="M39" s="1402" t="s">
        <v>1548</v>
      </c>
    </row>
    <row r="40" spans="4:13" ht="30" hidden="1">
      <c r="D40" s="1401">
        <v>73</v>
      </c>
      <c r="E40" s="1402" t="s">
        <v>1589</v>
      </c>
      <c r="F40" s="1402" t="s">
        <v>1590</v>
      </c>
      <c r="G40" s="1403">
        <v>40990</v>
      </c>
      <c r="H40" s="1404">
        <v>42038</v>
      </c>
      <c r="I40" s="1402" t="s">
        <v>963</v>
      </c>
      <c r="J40" s="1402" t="s">
        <v>1568</v>
      </c>
      <c r="K40" s="1401">
        <v>1696</v>
      </c>
      <c r="L40" s="1402" t="s">
        <v>1591</v>
      </c>
      <c r="M40" s="1402" t="s">
        <v>1548</v>
      </c>
    </row>
    <row r="41" spans="4:13" ht="30" hidden="1">
      <c r="D41" s="1401">
        <v>75</v>
      </c>
      <c r="E41" s="1402" t="s">
        <v>1592</v>
      </c>
      <c r="F41" s="1402" t="s">
        <v>1593</v>
      </c>
      <c r="G41" s="1403">
        <v>41039</v>
      </c>
      <c r="H41" s="470"/>
      <c r="I41" s="1402" t="s">
        <v>963</v>
      </c>
      <c r="J41" s="1402" t="s">
        <v>114</v>
      </c>
      <c r="K41" s="1401">
        <v>1697</v>
      </c>
      <c r="L41" s="1402" t="s">
        <v>1594</v>
      </c>
      <c r="M41" s="1402" t="s">
        <v>1548</v>
      </c>
    </row>
    <row r="42" spans="4:13" ht="30" hidden="1">
      <c r="D42" s="1401">
        <v>82</v>
      </c>
      <c r="E42" s="1402" t="s">
        <v>1595</v>
      </c>
      <c r="F42" s="1402" t="s">
        <v>126</v>
      </c>
      <c r="G42" s="1403">
        <v>41089</v>
      </c>
      <c r="H42" s="1404">
        <v>41084</v>
      </c>
      <c r="I42" s="1402" t="s">
        <v>963</v>
      </c>
      <c r="J42" s="1402" t="s">
        <v>1568</v>
      </c>
      <c r="K42" s="1401">
        <v>1701</v>
      </c>
      <c r="L42" s="1402" t="s">
        <v>1596</v>
      </c>
      <c r="M42" s="1402" t="s">
        <v>1548</v>
      </c>
    </row>
    <row r="43" spans="4:13" ht="30" hidden="1">
      <c r="D43" s="1401">
        <v>83</v>
      </c>
      <c r="E43" s="1402" t="s">
        <v>1597</v>
      </c>
      <c r="F43" s="1402" t="s">
        <v>168</v>
      </c>
      <c r="G43" s="1403">
        <v>41147</v>
      </c>
      <c r="H43" s="470"/>
      <c r="I43" s="1402" t="s">
        <v>963</v>
      </c>
      <c r="J43" s="1402" t="s">
        <v>1568</v>
      </c>
      <c r="K43" s="1401">
        <v>1702</v>
      </c>
      <c r="L43" s="1402" t="s">
        <v>1598</v>
      </c>
      <c r="M43" s="1402" t="s">
        <v>1548</v>
      </c>
    </row>
    <row r="44" spans="4:13" ht="30" hidden="1">
      <c r="D44" s="1401">
        <v>84</v>
      </c>
      <c r="E44" s="1402" t="s">
        <v>1599</v>
      </c>
      <c r="F44" s="1402" t="s">
        <v>1600</v>
      </c>
      <c r="G44" s="1403">
        <v>41089</v>
      </c>
      <c r="H44" s="470"/>
      <c r="I44" s="1402" t="s">
        <v>963</v>
      </c>
      <c r="J44" s="1402" t="s">
        <v>1568</v>
      </c>
      <c r="K44" s="1401">
        <v>1703</v>
      </c>
      <c r="L44" s="1402" t="s">
        <v>1601</v>
      </c>
      <c r="M44" s="1402" t="s">
        <v>1548</v>
      </c>
    </row>
    <row r="45" spans="4:13" ht="30" hidden="1">
      <c r="D45" s="1401">
        <v>86</v>
      </c>
      <c r="E45" s="1402" t="s">
        <v>1602</v>
      </c>
      <c r="F45" s="1402" t="s">
        <v>127</v>
      </c>
      <c r="G45" s="1403">
        <v>41150</v>
      </c>
      <c r="H45" s="1404">
        <v>41865</v>
      </c>
      <c r="I45" s="1402" t="s">
        <v>963</v>
      </c>
      <c r="J45" s="1402" t="s">
        <v>1568</v>
      </c>
      <c r="K45" s="1401">
        <v>1704</v>
      </c>
      <c r="L45" s="1402" t="s">
        <v>1603</v>
      </c>
      <c r="M45" s="1402" t="s">
        <v>1548</v>
      </c>
    </row>
    <row r="46" spans="4:13" ht="30" hidden="1">
      <c r="D46" s="1401">
        <v>87</v>
      </c>
      <c r="E46" s="1402" t="s">
        <v>1604</v>
      </c>
      <c r="F46" s="1402" t="s">
        <v>128</v>
      </c>
      <c r="G46" s="1403">
        <v>41150</v>
      </c>
      <c r="H46" s="1404">
        <v>41128</v>
      </c>
      <c r="I46" s="1402" t="s">
        <v>963</v>
      </c>
      <c r="J46" s="1402" t="s">
        <v>1568</v>
      </c>
      <c r="K46" s="1401">
        <v>1705</v>
      </c>
      <c r="L46" s="1402" t="s">
        <v>1605</v>
      </c>
      <c r="M46" s="1402" t="s">
        <v>1548</v>
      </c>
    </row>
    <row r="47" spans="4:13" ht="30" hidden="1">
      <c r="D47" s="1401">
        <v>88</v>
      </c>
      <c r="E47" s="1402" t="s">
        <v>1606</v>
      </c>
      <c r="F47" s="1402" t="s">
        <v>1607</v>
      </c>
      <c r="G47" s="1403">
        <v>41150</v>
      </c>
      <c r="H47" s="1404">
        <v>41865</v>
      </c>
      <c r="I47" s="1402" t="s">
        <v>963</v>
      </c>
      <c r="J47" s="1402" t="s">
        <v>1568</v>
      </c>
      <c r="K47" s="1401">
        <v>1706</v>
      </c>
      <c r="L47" s="1402" t="s">
        <v>1608</v>
      </c>
      <c r="M47" s="1402" t="s">
        <v>1548</v>
      </c>
    </row>
    <row r="48" spans="4:13" ht="15" hidden="1">
      <c r="D48" s="1401">
        <v>95</v>
      </c>
      <c r="E48" s="1402" t="s">
        <v>1609</v>
      </c>
      <c r="F48" s="1402" t="s">
        <v>129</v>
      </c>
      <c r="G48" s="1403">
        <v>41112</v>
      </c>
      <c r="H48" s="1404">
        <v>41089</v>
      </c>
      <c r="I48" s="1402" t="s">
        <v>963</v>
      </c>
      <c r="J48" s="1402" t="s">
        <v>1568</v>
      </c>
      <c r="K48" s="1401">
        <v>1708</v>
      </c>
      <c r="L48" s="1402" t="s">
        <v>1610</v>
      </c>
      <c r="M48" s="1402" t="s">
        <v>1548</v>
      </c>
    </row>
    <row r="49" spans="4:13" ht="30" hidden="1">
      <c r="D49" s="1401">
        <v>103</v>
      </c>
      <c r="E49" s="1402" t="s">
        <v>1611</v>
      </c>
      <c r="F49" s="1402" t="s">
        <v>130</v>
      </c>
      <c r="G49" s="1403">
        <v>41235</v>
      </c>
      <c r="H49" s="1404">
        <v>41164</v>
      </c>
      <c r="I49" s="1402" t="s">
        <v>963</v>
      </c>
      <c r="J49" s="1402" t="s">
        <v>1568</v>
      </c>
      <c r="K49" s="1401">
        <v>1710</v>
      </c>
      <c r="L49" s="1402" t="s">
        <v>1612</v>
      </c>
      <c r="M49" s="1402" t="s">
        <v>1548</v>
      </c>
    </row>
    <row r="50" spans="4:13" ht="30">
      <c r="D50" s="1401">
        <v>213</v>
      </c>
      <c r="E50" s="1402" t="s">
        <v>1613</v>
      </c>
      <c r="F50" s="1402" t="s">
        <v>1614</v>
      </c>
      <c r="G50" s="470"/>
      <c r="H50" s="470"/>
      <c r="I50" s="1402" t="s">
        <v>963</v>
      </c>
      <c r="J50" s="1402" t="s">
        <v>114</v>
      </c>
      <c r="K50" s="1401">
        <v>1757</v>
      </c>
      <c r="L50" s="1402" t="s">
        <v>114</v>
      </c>
      <c r="M50" s="1402" t="s">
        <v>1174</v>
      </c>
    </row>
    <row r="51" spans="4:13" ht="30" hidden="1">
      <c r="D51" s="1401">
        <v>369</v>
      </c>
      <c r="E51" s="1402" t="s">
        <v>1615</v>
      </c>
      <c r="F51" s="1402" t="s">
        <v>131</v>
      </c>
      <c r="G51" s="1403">
        <v>41243</v>
      </c>
      <c r="H51" s="1404">
        <v>41243</v>
      </c>
      <c r="I51" s="1402" t="s">
        <v>963</v>
      </c>
      <c r="J51" s="1402" t="s">
        <v>114</v>
      </c>
      <c r="K51" s="1401">
        <v>1770</v>
      </c>
      <c r="L51" s="1402" t="s">
        <v>1616</v>
      </c>
      <c r="M51" s="1402" t="s">
        <v>1548</v>
      </c>
    </row>
    <row r="52" spans="4:13" ht="15" hidden="1">
      <c r="D52" s="1401">
        <v>370</v>
      </c>
      <c r="E52" s="1402" t="s">
        <v>1617</v>
      </c>
      <c r="F52" s="1402" t="s">
        <v>1618</v>
      </c>
      <c r="G52" s="1403">
        <v>41214</v>
      </c>
      <c r="H52" s="1404">
        <v>41214</v>
      </c>
      <c r="I52" s="1402" t="s">
        <v>963</v>
      </c>
      <c r="J52" s="1402" t="s">
        <v>114</v>
      </c>
      <c r="K52" s="1401">
        <v>1771</v>
      </c>
      <c r="L52" s="1402" t="s">
        <v>1619</v>
      </c>
      <c r="M52" s="1402" t="s">
        <v>1548</v>
      </c>
    </row>
    <row r="53" spans="4:13" ht="30" hidden="1">
      <c r="D53" s="1401">
        <v>371</v>
      </c>
      <c r="E53" s="1402" t="s">
        <v>1620</v>
      </c>
      <c r="F53" s="1402" t="s">
        <v>132</v>
      </c>
      <c r="G53" s="1403">
        <v>40762</v>
      </c>
      <c r="H53" s="470"/>
      <c r="I53" s="1402" t="s">
        <v>963</v>
      </c>
      <c r="J53" s="1402" t="s">
        <v>114</v>
      </c>
      <c r="K53" s="1401">
        <v>1772</v>
      </c>
      <c r="L53" s="1402" t="s">
        <v>1621</v>
      </c>
      <c r="M53" s="1402" t="s">
        <v>1548</v>
      </c>
    </row>
    <row r="54" spans="4:13" ht="30" hidden="1">
      <c r="D54" s="1401">
        <v>380</v>
      </c>
      <c r="E54" s="1402" t="s">
        <v>1622</v>
      </c>
      <c r="F54" s="1402" t="s">
        <v>1623</v>
      </c>
      <c r="G54" s="1403">
        <v>41128</v>
      </c>
      <c r="H54" s="470"/>
      <c r="I54" s="1402" t="s">
        <v>963</v>
      </c>
      <c r="J54" s="1402" t="s">
        <v>114</v>
      </c>
      <c r="K54" s="1401">
        <v>1777</v>
      </c>
      <c r="L54" s="1402" t="s">
        <v>1624</v>
      </c>
      <c r="M54" s="1402" t="s">
        <v>1548</v>
      </c>
    </row>
    <row r="55" spans="4:13" ht="30" hidden="1">
      <c r="D55" s="1401">
        <v>381</v>
      </c>
      <c r="E55" s="1402" t="s">
        <v>1625</v>
      </c>
      <c r="F55" s="1402" t="s">
        <v>133</v>
      </c>
      <c r="G55" s="1403">
        <v>41143</v>
      </c>
      <c r="H55" s="1404">
        <v>41136</v>
      </c>
      <c r="I55" s="1402" t="s">
        <v>963</v>
      </c>
      <c r="J55" s="1402" t="s">
        <v>114</v>
      </c>
      <c r="K55" s="1401">
        <v>1778</v>
      </c>
      <c r="L55" s="1402" t="s">
        <v>1626</v>
      </c>
      <c r="M55" s="1402" t="s">
        <v>1548</v>
      </c>
    </row>
    <row r="56" spans="4:13" ht="30" hidden="1">
      <c r="D56" s="1401">
        <v>382</v>
      </c>
      <c r="E56" s="1402" t="s">
        <v>1627</v>
      </c>
      <c r="F56" s="1402" t="s">
        <v>134</v>
      </c>
      <c r="G56" s="1403">
        <v>40983</v>
      </c>
      <c r="H56" s="1404">
        <v>41220</v>
      </c>
      <c r="I56" s="1402" t="s">
        <v>963</v>
      </c>
      <c r="J56" s="1402" t="s">
        <v>114</v>
      </c>
      <c r="K56" s="1401">
        <v>1779</v>
      </c>
      <c r="L56" s="1402" t="s">
        <v>1628</v>
      </c>
      <c r="M56" s="1402" t="s">
        <v>1548</v>
      </c>
    </row>
    <row r="57" spans="4:13" ht="30" hidden="1">
      <c r="D57" s="1401">
        <v>383</v>
      </c>
      <c r="E57" s="1402" t="s">
        <v>1629</v>
      </c>
      <c r="F57" s="1402" t="s">
        <v>429</v>
      </c>
      <c r="G57" s="1403">
        <v>40983</v>
      </c>
      <c r="H57" s="470"/>
      <c r="I57" s="1402" t="s">
        <v>963</v>
      </c>
      <c r="J57" s="1402" t="s">
        <v>114</v>
      </c>
      <c r="K57" s="1401">
        <v>1780</v>
      </c>
      <c r="L57" s="1402" t="s">
        <v>1630</v>
      </c>
      <c r="M57" s="1402" t="s">
        <v>1548</v>
      </c>
    </row>
    <row r="58" spans="4:13" ht="30" hidden="1">
      <c r="D58" s="1401">
        <v>385</v>
      </c>
      <c r="E58" s="1402" t="s">
        <v>1631</v>
      </c>
      <c r="F58" s="1402" t="s">
        <v>136</v>
      </c>
      <c r="G58" s="1403">
        <v>41148</v>
      </c>
      <c r="H58" s="470"/>
      <c r="I58" s="1402" t="s">
        <v>963</v>
      </c>
      <c r="J58" s="1402" t="s">
        <v>114</v>
      </c>
      <c r="K58" s="1401">
        <v>1782</v>
      </c>
      <c r="L58" s="1402" t="s">
        <v>1632</v>
      </c>
      <c r="M58" s="1402" t="s">
        <v>1548</v>
      </c>
    </row>
    <row r="59" spans="4:13" ht="30" hidden="1">
      <c r="D59" s="1401">
        <v>386</v>
      </c>
      <c r="E59" s="1402" t="s">
        <v>1633</v>
      </c>
      <c r="F59" s="1402" t="s">
        <v>1634</v>
      </c>
      <c r="G59" s="1403">
        <v>41039</v>
      </c>
      <c r="H59" s="470"/>
      <c r="I59" s="1402" t="s">
        <v>963</v>
      </c>
      <c r="J59" s="1402" t="s">
        <v>114</v>
      </c>
      <c r="K59" s="1401">
        <v>1783</v>
      </c>
      <c r="L59" s="1402" t="s">
        <v>1635</v>
      </c>
      <c r="M59" s="1402" t="s">
        <v>1548</v>
      </c>
    </row>
    <row r="60" spans="4:13" ht="45" hidden="1">
      <c r="D60" s="1401">
        <v>390</v>
      </c>
      <c r="E60" s="1402" t="s">
        <v>1636</v>
      </c>
      <c r="F60" s="1402" t="s">
        <v>250</v>
      </c>
      <c r="G60" s="1403">
        <v>41094</v>
      </c>
      <c r="H60" s="470"/>
      <c r="I60" s="1402" t="s">
        <v>963</v>
      </c>
      <c r="J60" s="1402" t="s">
        <v>114</v>
      </c>
      <c r="K60" s="1401">
        <v>1787</v>
      </c>
      <c r="L60" s="1402" t="s">
        <v>1637</v>
      </c>
      <c r="M60" s="1402" t="s">
        <v>1548</v>
      </c>
    </row>
    <row r="61" spans="4:13" ht="30" hidden="1">
      <c r="D61" s="1401">
        <v>391</v>
      </c>
      <c r="E61" s="1402" t="s">
        <v>1638</v>
      </c>
      <c r="F61" s="1402" t="s">
        <v>228</v>
      </c>
      <c r="G61" s="1403">
        <v>41205</v>
      </c>
      <c r="H61" s="470"/>
      <c r="I61" s="1402" t="s">
        <v>963</v>
      </c>
      <c r="J61" s="1402" t="s">
        <v>114</v>
      </c>
      <c r="K61" s="1401">
        <v>1788</v>
      </c>
      <c r="L61" s="1402" t="s">
        <v>1639</v>
      </c>
      <c r="M61" s="1402" t="s">
        <v>1548</v>
      </c>
    </row>
    <row r="62" spans="4:13" ht="30" hidden="1">
      <c r="D62" s="1401">
        <v>396</v>
      </c>
      <c r="E62" s="1402" t="s">
        <v>1640</v>
      </c>
      <c r="F62" s="1402" t="s">
        <v>1641</v>
      </c>
      <c r="G62" s="1403">
        <v>41018</v>
      </c>
      <c r="H62" s="470"/>
      <c r="I62" s="1402" t="s">
        <v>963</v>
      </c>
      <c r="J62" s="1402" t="s">
        <v>114</v>
      </c>
      <c r="K62" s="1401">
        <v>1792</v>
      </c>
      <c r="L62" s="1402" t="s">
        <v>1642</v>
      </c>
      <c r="M62" s="1402" t="s">
        <v>1548</v>
      </c>
    </row>
    <row r="63" spans="4:13" ht="15" hidden="1">
      <c r="D63" s="1401">
        <v>397</v>
      </c>
      <c r="E63" s="1402" t="s">
        <v>1643</v>
      </c>
      <c r="F63" s="1402" t="s">
        <v>167</v>
      </c>
      <c r="G63" s="1403">
        <v>41079</v>
      </c>
      <c r="H63" s="1404">
        <v>39922</v>
      </c>
      <c r="I63" s="1402" t="s">
        <v>963</v>
      </c>
      <c r="J63" s="1402" t="s">
        <v>114</v>
      </c>
      <c r="K63" s="1401">
        <v>1793</v>
      </c>
      <c r="L63" s="1402" t="s">
        <v>1644</v>
      </c>
      <c r="M63" s="1402" t="s">
        <v>1548</v>
      </c>
    </row>
    <row r="64" spans="4:13" ht="30" hidden="1">
      <c r="D64" s="1401">
        <v>398</v>
      </c>
      <c r="E64" s="1402" t="s">
        <v>1645</v>
      </c>
      <c r="F64" s="1402" t="s">
        <v>137</v>
      </c>
      <c r="G64" s="1403">
        <v>41112</v>
      </c>
      <c r="H64" s="1404">
        <v>41089</v>
      </c>
      <c r="I64" s="1402" t="s">
        <v>963</v>
      </c>
      <c r="J64" s="1402" t="s">
        <v>1568</v>
      </c>
      <c r="K64" s="1401">
        <v>1794</v>
      </c>
      <c r="L64" s="1402" t="s">
        <v>1646</v>
      </c>
      <c r="M64" s="1402" t="s">
        <v>1548</v>
      </c>
    </row>
    <row r="65" spans="4:13" ht="30" hidden="1">
      <c r="D65" s="1401">
        <v>399</v>
      </c>
      <c r="E65" s="1402" t="s">
        <v>1647</v>
      </c>
      <c r="F65" s="1402" t="s">
        <v>138</v>
      </c>
      <c r="G65" s="1403">
        <v>41112</v>
      </c>
      <c r="H65" s="1404">
        <v>41089</v>
      </c>
      <c r="I65" s="1402" t="s">
        <v>963</v>
      </c>
      <c r="J65" s="1402" t="s">
        <v>1568</v>
      </c>
      <c r="K65" s="1401">
        <v>1795</v>
      </c>
      <c r="L65" s="1402" t="s">
        <v>1648</v>
      </c>
      <c r="M65" s="1402" t="s">
        <v>1548</v>
      </c>
    </row>
    <row r="66" spans="4:13" ht="30" hidden="1">
      <c r="D66" s="1401">
        <v>400</v>
      </c>
      <c r="E66" s="1402" t="s">
        <v>1649</v>
      </c>
      <c r="F66" s="1402" t="s">
        <v>139</v>
      </c>
      <c r="G66" s="1403">
        <v>41051</v>
      </c>
      <c r="H66" s="1404">
        <v>41018</v>
      </c>
      <c r="I66" s="1402" t="s">
        <v>963</v>
      </c>
      <c r="J66" s="1402" t="s">
        <v>1568</v>
      </c>
      <c r="K66" s="1401">
        <v>1796</v>
      </c>
      <c r="L66" s="1402" t="s">
        <v>1650</v>
      </c>
      <c r="M66" s="1402" t="s">
        <v>1548</v>
      </c>
    </row>
    <row r="67" spans="4:13" ht="30" hidden="1">
      <c r="D67" s="1401">
        <v>401</v>
      </c>
      <c r="E67" s="1402" t="s">
        <v>1651</v>
      </c>
      <c r="F67" s="1402" t="s">
        <v>140</v>
      </c>
      <c r="G67" s="1403">
        <v>41112</v>
      </c>
      <c r="H67" s="1404">
        <v>41089</v>
      </c>
      <c r="I67" s="1402" t="s">
        <v>963</v>
      </c>
      <c r="J67" s="1402" t="s">
        <v>1568</v>
      </c>
      <c r="K67" s="1401">
        <v>1797</v>
      </c>
      <c r="L67" s="1402" t="s">
        <v>1652</v>
      </c>
      <c r="M67" s="1402" t="s">
        <v>1548</v>
      </c>
    </row>
    <row r="68" spans="4:13" ht="30" hidden="1">
      <c r="D68" s="1401">
        <v>404</v>
      </c>
      <c r="E68" s="1402" t="s">
        <v>1653</v>
      </c>
      <c r="F68" s="1402" t="s">
        <v>141</v>
      </c>
      <c r="G68" s="1403">
        <v>41007</v>
      </c>
      <c r="H68" s="470"/>
      <c r="I68" s="1402" t="s">
        <v>963</v>
      </c>
      <c r="J68" s="1402" t="s">
        <v>114</v>
      </c>
      <c r="K68" s="1401">
        <v>1800</v>
      </c>
      <c r="L68" s="1402" t="s">
        <v>1654</v>
      </c>
      <c r="M68" s="1402" t="s">
        <v>1548</v>
      </c>
    </row>
    <row r="69" spans="4:13" ht="30" hidden="1">
      <c r="D69" s="1401">
        <v>405</v>
      </c>
      <c r="E69" s="1402" t="s">
        <v>1655</v>
      </c>
      <c r="F69" s="1402" t="s">
        <v>142</v>
      </c>
      <c r="G69" s="1403">
        <v>41007</v>
      </c>
      <c r="H69" s="470"/>
      <c r="I69" s="1402" t="s">
        <v>963</v>
      </c>
      <c r="J69" s="1402" t="s">
        <v>114</v>
      </c>
      <c r="K69" s="1401">
        <v>1802</v>
      </c>
      <c r="L69" s="1402" t="s">
        <v>1656</v>
      </c>
      <c r="M69" s="1402" t="s">
        <v>1548</v>
      </c>
    </row>
    <row r="70" spans="4:13" ht="30">
      <c r="D70" s="1401">
        <v>598</v>
      </c>
      <c r="E70" s="1402" t="s">
        <v>1657</v>
      </c>
      <c r="F70" s="1402" t="s">
        <v>1658</v>
      </c>
      <c r="G70" s="1403">
        <v>41485</v>
      </c>
      <c r="H70" s="470"/>
      <c r="I70" s="1402" t="s">
        <v>963</v>
      </c>
      <c r="J70" s="1402" t="s">
        <v>1568</v>
      </c>
      <c r="K70" s="1401">
        <v>1855</v>
      </c>
      <c r="L70" s="1402" t="s">
        <v>1659</v>
      </c>
      <c r="M70" s="1402" t="s">
        <v>1174</v>
      </c>
    </row>
    <row r="71" spans="4:13" ht="30">
      <c r="D71" s="1401">
        <v>2351</v>
      </c>
      <c r="E71" s="1402" t="s">
        <v>1660</v>
      </c>
      <c r="F71" s="1402" t="s">
        <v>403</v>
      </c>
      <c r="G71" s="1403">
        <v>41485</v>
      </c>
      <c r="H71" s="470"/>
      <c r="I71" s="1402" t="s">
        <v>963</v>
      </c>
      <c r="J71" s="1402" t="s">
        <v>1568</v>
      </c>
      <c r="K71" s="1401">
        <v>2062</v>
      </c>
      <c r="L71" s="1402" t="s">
        <v>1661</v>
      </c>
      <c r="M71" s="1402" t="s">
        <v>1174</v>
      </c>
    </row>
    <row r="72" spans="4:13" ht="45">
      <c r="D72" s="1401">
        <v>2381</v>
      </c>
      <c r="E72" s="1402" t="s">
        <v>1662</v>
      </c>
      <c r="F72" s="1402" t="s">
        <v>375</v>
      </c>
      <c r="G72" s="1403">
        <v>41485</v>
      </c>
      <c r="H72" s="470"/>
      <c r="I72" s="1402" t="s">
        <v>963</v>
      </c>
      <c r="J72" s="1402" t="s">
        <v>1568</v>
      </c>
      <c r="K72" s="1401">
        <v>2066</v>
      </c>
      <c r="L72" s="1402" t="s">
        <v>1663</v>
      </c>
      <c r="M72" s="1402" t="s">
        <v>1174</v>
      </c>
    </row>
    <row r="73" spans="4:13" ht="30" hidden="1">
      <c r="D73" s="1401">
        <v>2513</v>
      </c>
      <c r="E73" s="1402" t="s">
        <v>1664</v>
      </c>
      <c r="F73" s="1402" t="s">
        <v>1665</v>
      </c>
      <c r="G73" s="1403">
        <v>40909</v>
      </c>
      <c r="H73" s="470"/>
      <c r="I73" s="1402" t="s">
        <v>963</v>
      </c>
      <c r="J73" s="1402" t="s">
        <v>114</v>
      </c>
      <c r="K73" s="1401">
        <v>2076</v>
      </c>
      <c r="L73" s="1402" t="s">
        <v>114</v>
      </c>
      <c r="M73" s="1402" t="s">
        <v>114</v>
      </c>
    </row>
    <row r="74" spans="4:13" ht="45">
      <c r="D74" s="1401">
        <v>2763</v>
      </c>
      <c r="E74" s="1402" t="s">
        <v>1666</v>
      </c>
      <c r="F74" s="1402" t="s">
        <v>144</v>
      </c>
      <c r="G74" s="1403">
        <v>41485</v>
      </c>
      <c r="H74" s="470"/>
      <c r="I74" s="1402" t="s">
        <v>963</v>
      </c>
      <c r="J74" s="1402" t="s">
        <v>1568</v>
      </c>
      <c r="K74" s="1401">
        <v>2111</v>
      </c>
      <c r="L74" s="1402" t="s">
        <v>1667</v>
      </c>
      <c r="M74" s="1402" t="s">
        <v>1174</v>
      </c>
    </row>
    <row r="75" spans="4:13" ht="45">
      <c r="D75" s="1401">
        <v>2783</v>
      </c>
      <c r="E75" s="1402" t="s">
        <v>1668</v>
      </c>
      <c r="F75" s="1402" t="s">
        <v>414</v>
      </c>
      <c r="G75" s="1403">
        <v>41485</v>
      </c>
      <c r="H75" s="470"/>
      <c r="I75" s="1402" t="s">
        <v>963</v>
      </c>
      <c r="J75" s="1402" t="s">
        <v>1568</v>
      </c>
      <c r="K75" s="1401">
        <v>2114</v>
      </c>
      <c r="L75" s="1402" t="s">
        <v>1669</v>
      </c>
      <c r="M75" s="1402" t="s">
        <v>1174</v>
      </c>
    </row>
    <row r="76" spans="4:13" ht="15" hidden="1">
      <c r="D76" s="1401">
        <v>2866</v>
      </c>
      <c r="E76" s="1402" t="s">
        <v>1670</v>
      </c>
      <c r="F76" s="1402" t="s">
        <v>145</v>
      </c>
      <c r="G76" s="1403">
        <v>41084</v>
      </c>
      <c r="H76" s="470"/>
      <c r="I76" s="1402" t="s">
        <v>963</v>
      </c>
      <c r="J76" s="1402" t="s">
        <v>114</v>
      </c>
      <c r="K76" s="1401">
        <v>2126</v>
      </c>
      <c r="L76" s="1402" t="s">
        <v>1671</v>
      </c>
      <c r="M76" s="1402" t="s">
        <v>1548</v>
      </c>
    </row>
    <row r="77" spans="4:13" ht="30" hidden="1">
      <c r="D77" s="1401">
        <v>2904</v>
      </c>
      <c r="E77" s="1402" t="s">
        <v>1672</v>
      </c>
      <c r="F77" s="1402" t="s">
        <v>1673</v>
      </c>
      <c r="G77" s="1403">
        <v>41150</v>
      </c>
      <c r="H77" s="1404">
        <v>41135</v>
      </c>
      <c r="I77" s="1402" t="s">
        <v>963</v>
      </c>
      <c r="J77" s="1402" t="s">
        <v>1568</v>
      </c>
      <c r="K77" s="1401">
        <v>2134</v>
      </c>
      <c r="L77" s="1402" t="s">
        <v>1674</v>
      </c>
      <c r="M77" s="1402" t="s">
        <v>1548</v>
      </c>
    </row>
    <row r="78" spans="4:13" ht="30" hidden="1">
      <c r="D78" s="1401">
        <v>2937</v>
      </c>
      <c r="E78" s="1402" t="s">
        <v>1675</v>
      </c>
      <c r="F78" s="1402" t="s">
        <v>146</v>
      </c>
      <c r="G78" s="1403">
        <v>41205</v>
      </c>
      <c r="H78" s="470"/>
      <c r="I78" s="1402" t="s">
        <v>963</v>
      </c>
      <c r="J78" s="1402" t="s">
        <v>114</v>
      </c>
      <c r="K78" s="1401">
        <v>2141</v>
      </c>
      <c r="L78" s="1402" t="s">
        <v>1676</v>
      </c>
      <c r="M78" s="1402" t="s">
        <v>1548</v>
      </c>
    </row>
    <row r="79" spans="4:13" ht="30">
      <c r="D79" s="1401">
        <v>3223</v>
      </c>
      <c r="E79" s="1402" t="s">
        <v>1677</v>
      </c>
      <c r="F79" s="1402" t="s">
        <v>387</v>
      </c>
      <c r="G79" s="1403">
        <v>41423</v>
      </c>
      <c r="H79" s="470"/>
      <c r="I79" s="1402" t="s">
        <v>963</v>
      </c>
      <c r="J79" s="1402" t="s">
        <v>1568</v>
      </c>
      <c r="K79" s="1401">
        <v>2193</v>
      </c>
      <c r="L79" s="1402" t="s">
        <v>1678</v>
      </c>
      <c r="M79" s="1402" t="s">
        <v>1174</v>
      </c>
    </row>
    <row r="80" spans="4:13" ht="45">
      <c r="D80" s="1401">
        <v>3627</v>
      </c>
      <c r="E80" s="1402" t="s">
        <v>1679</v>
      </c>
      <c r="F80" s="1402" t="s">
        <v>398</v>
      </c>
      <c r="G80" s="1403">
        <v>41485</v>
      </c>
      <c r="H80" s="470"/>
      <c r="I80" s="1402" t="s">
        <v>963</v>
      </c>
      <c r="J80" s="1402" t="s">
        <v>1568</v>
      </c>
      <c r="K80" s="1401">
        <v>2215</v>
      </c>
      <c r="L80" s="1402" t="s">
        <v>1680</v>
      </c>
      <c r="M80" s="1402" t="s">
        <v>1174</v>
      </c>
    </row>
    <row r="81" spans="4:13" ht="45">
      <c r="D81" s="1401">
        <v>4248</v>
      </c>
      <c r="E81" s="1402" t="s">
        <v>1681</v>
      </c>
      <c r="F81" s="1402" t="s">
        <v>1682</v>
      </c>
      <c r="G81" s="1403">
        <v>41485</v>
      </c>
      <c r="H81" s="470"/>
      <c r="I81" s="1402" t="s">
        <v>963</v>
      </c>
      <c r="J81" s="1402" t="s">
        <v>1568</v>
      </c>
      <c r="K81" s="1401">
        <v>2245</v>
      </c>
      <c r="L81" s="1402" t="s">
        <v>1683</v>
      </c>
      <c r="M81" s="1402" t="s">
        <v>1174</v>
      </c>
    </row>
    <row r="82" spans="4:13" ht="105" hidden="1">
      <c r="D82" s="1401">
        <v>4950</v>
      </c>
      <c r="E82" s="1402" t="s">
        <v>1684</v>
      </c>
      <c r="F82" s="1402" t="s">
        <v>147</v>
      </c>
      <c r="G82" s="1403">
        <v>41057</v>
      </c>
      <c r="H82" s="1404">
        <v>41007</v>
      </c>
      <c r="I82" s="1402" t="s">
        <v>963</v>
      </c>
      <c r="J82" s="1402" t="s">
        <v>114</v>
      </c>
      <c r="K82" s="1401">
        <v>2285</v>
      </c>
      <c r="L82" s="1402" t="s">
        <v>1685</v>
      </c>
      <c r="M82" s="1402" t="s">
        <v>1548</v>
      </c>
    </row>
    <row r="83" spans="4:13" ht="15" hidden="1">
      <c r="D83" s="1401">
        <v>5160</v>
      </c>
      <c r="E83" s="1402" t="s">
        <v>1686</v>
      </c>
      <c r="F83" s="1402" t="s">
        <v>148</v>
      </c>
      <c r="G83" s="1403">
        <v>41204</v>
      </c>
      <c r="H83" s="1404">
        <v>41147</v>
      </c>
      <c r="I83" s="1402" t="s">
        <v>963</v>
      </c>
      <c r="J83" s="1402" t="s">
        <v>114</v>
      </c>
      <c r="K83" s="1401">
        <v>2313</v>
      </c>
      <c r="L83" s="1402" t="s">
        <v>1687</v>
      </c>
      <c r="M83" s="1402" t="s">
        <v>1548</v>
      </c>
    </row>
    <row r="84" spans="4:13" ht="30" hidden="1">
      <c r="D84" s="1401">
        <v>5216</v>
      </c>
      <c r="E84" s="1402" t="s">
        <v>1688</v>
      </c>
      <c r="F84" s="1402" t="s">
        <v>1689</v>
      </c>
      <c r="G84" s="1403">
        <v>41039</v>
      </c>
      <c r="H84" s="470"/>
      <c r="I84" s="1402" t="s">
        <v>963</v>
      </c>
      <c r="J84" s="1402" t="s">
        <v>114</v>
      </c>
      <c r="K84" s="1401">
        <v>2330</v>
      </c>
      <c r="L84" s="1402" t="s">
        <v>1690</v>
      </c>
      <c r="M84" s="1402" t="s">
        <v>1548</v>
      </c>
    </row>
    <row r="85" spans="4:13" ht="30" hidden="1">
      <c r="D85" s="1401">
        <v>5217</v>
      </c>
      <c r="E85" s="1402" t="s">
        <v>1691</v>
      </c>
      <c r="F85" s="1402" t="s">
        <v>1692</v>
      </c>
      <c r="G85" s="1403">
        <v>41039</v>
      </c>
      <c r="H85" s="470"/>
      <c r="I85" s="1402" t="s">
        <v>963</v>
      </c>
      <c r="J85" s="1402" t="s">
        <v>114</v>
      </c>
      <c r="K85" s="1401">
        <v>2331</v>
      </c>
      <c r="L85" s="1402" t="s">
        <v>1693</v>
      </c>
      <c r="M85" s="1402" t="s">
        <v>1548</v>
      </c>
    </row>
    <row r="86" spans="4:13" ht="45">
      <c r="D86" s="1401">
        <v>5274</v>
      </c>
      <c r="E86" s="1402" t="s">
        <v>1694</v>
      </c>
      <c r="F86" s="1402" t="s">
        <v>149</v>
      </c>
      <c r="G86" s="1403">
        <v>41393</v>
      </c>
      <c r="H86" s="470"/>
      <c r="I86" s="1402" t="s">
        <v>963</v>
      </c>
      <c r="J86" s="1402" t="s">
        <v>1568</v>
      </c>
      <c r="K86" s="1401">
        <v>2339</v>
      </c>
      <c r="L86" s="1402" t="s">
        <v>1695</v>
      </c>
      <c r="M86" s="1402" t="s">
        <v>1174</v>
      </c>
    </row>
    <row r="87" spans="4:13" ht="45">
      <c r="D87" s="1401">
        <v>5351</v>
      </c>
      <c r="E87" s="1402" t="s">
        <v>1696</v>
      </c>
      <c r="F87" s="1402" t="s">
        <v>150</v>
      </c>
      <c r="G87" s="1403">
        <v>41212</v>
      </c>
      <c r="H87" s="470"/>
      <c r="I87" s="1402" t="s">
        <v>963</v>
      </c>
      <c r="J87" s="1402" t="s">
        <v>1568</v>
      </c>
      <c r="K87" s="1401">
        <v>2340</v>
      </c>
      <c r="L87" s="1402" t="s">
        <v>1697</v>
      </c>
      <c r="M87" s="1402" t="s">
        <v>1174</v>
      </c>
    </row>
    <row r="88" spans="4:13" ht="60">
      <c r="D88" s="1401">
        <v>5352</v>
      </c>
      <c r="E88" s="1402" t="s">
        <v>1698</v>
      </c>
      <c r="F88" s="1402" t="s">
        <v>310</v>
      </c>
      <c r="G88" s="1403">
        <v>41182</v>
      </c>
      <c r="H88" s="470"/>
      <c r="I88" s="1402" t="s">
        <v>963</v>
      </c>
      <c r="J88" s="1402" t="s">
        <v>1568</v>
      </c>
      <c r="K88" s="1401">
        <v>2341</v>
      </c>
      <c r="L88" s="1402" t="s">
        <v>1699</v>
      </c>
      <c r="M88" s="1402" t="s">
        <v>1174</v>
      </c>
    </row>
    <row r="89" spans="4:13" ht="45">
      <c r="D89" s="1401">
        <v>5353</v>
      </c>
      <c r="E89" s="1402" t="s">
        <v>1700</v>
      </c>
      <c r="F89" s="1402" t="s">
        <v>151</v>
      </c>
      <c r="G89" s="1403">
        <v>41182</v>
      </c>
      <c r="H89" s="470"/>
      <c r="I89" s="1402" t="s">
        <v>963</v>
      </c>
      <c r="J89" s="1402" t="s">
        <v>1568</v>
      </c>
      <c r="K89" s="1401">
        <v>2342</v>
      </c>
      <c r="L89" s="1402" t="s">
        <v>1701</v>
      </c>
      <c r="M89" s="1402" t="s">
        <v>1174</v>
      </c>
    </row>
    <row r="90" spans="4:13" ht="30">
      <c r="D90" s="1401">
        <v>5355</v>
      </c>
      <c r="E90" s="1402" t="s">
        <v>1702</v>
      </c>
      <c r="F90" s="1402" t="s">
        <v>321</v>
      </c>
      <c r="G90" s="1403">
        <v>41182</v>
      </c>
      <c r="H90" s="470"/>
      <c r="I90" s="1402" t="s">
        <v>963</v>
      </c>
      <c r="J90" s="1402" t="s">
        <v>1568</v>
      </c>
      <c r="K90" s="1401">
        <v>2343</v>
      </c>
      <c r="L90" s="1402" t="s">
        <v>1703</v>
      </c>
      <c r="M90" s="1402" t="s">
        <v>1174</v>
      </c>
    </row>
    <row r="91" spans="4:13" ht="30">
      <c r="D91" s="1401">
        <v>5363</v>
      </c>
      <c r="E91" s="1402" t="s">
        <v>1704</v>
      </c>
      <c r="F91" s="1402" t="s">
        <v>328</v>
      </c>
      <c r="G91" s="1403">
        <v>41182</v>
      </c>
      <c r="H91" s="470"/>
      <c r="I91" s="1402" t="s">
        <v>963</v>
      </c>
      <c r="J91" s="1402" t="s">
        <v>1568</v>
      </c>
      <c r="K91" s="1401">
        <v>2344</v>
      </c>
      <c r="L91" s="1402" t="s">
        <v>1705</v>
      </c>
      <c r="M91" s="1402" t="s">
        <v>1174</v>
      </c>
    </row>
    <row r="92" spans="4:13" ht="30">
      <c r="D92" s="1401">
        <v>5364</v>
      </c>
      <c r="E92" s="1402" t="s">
        <v>1706</v>
      </c>
      <c r="F92" s="1402" t="s">
        <v>333</v>
      </c>
      <c r="G92" s="1403">
        <v>41182</v>
      </c>
      <c r="H92" s="470"/>
      <c r="I92" s="1402" t="s">
        <v>963</v>
      </c>
      <c r="J92" s="1402" t="s">
        <v>1568</v>
      </c>
      <c r="K92" s="1401">
        <v>2345</v>
      </c>
      <c r="L92" s="1402" t="s">
        <v>1707</v>
      </c>
      <c r="M92" s="1402" t="s">
        <v>1174</v>
      </c>
    </row>
    <row r="93" spans="4:13" ht="30">
      <c r="D93" s="1401">
        <v>5365</v>
      </c>
      <c r="E93" s="1402" t="s">
        <v>1708</v>
      </c>
      <c r="F93" s="1402" t="s">
        <v>339</v>
      </c>
      <c r="G93" s="1403">
        <v>41182</v>
      </c>
      <c r="H93" s="470"/>
      <c r="I93" s="1402" t="s">
        <v>963</v>
      </c>
      <c r="J93" s="1402" t="s">
        <v>1568</v>
      </c>
      <c r="K93" s="1401">
        <v>2346</v>
      </c>
      <c r="L93" s="1402" t="s">
        <v>1709</v>
      </c>
      <c r="M93" s="1402" t="s">
        <v>1174</v>
      </c>
    </row>
    <row r="94" spans="4:13" ht="45">
      <c r="D94" s="1401">
        <v>5366</v>
      </c>
      <c r="E94" s="1402" t="s">
        <v>1710</v>
      </c>
      <c r="F94" s="1402" t="s">
        <v>153</v>
      </c>
      <c r="G94" s="1403">
        <v>41182</v>
      </c>
      <c r="H94" s="470"/>
      <c r="I94" s="1402" t="s">
        <v>963</v>
      </c>
      <c r="J94" s="1402" t="s">
        <v>1568</v>
      </c>
      <c r="K94" s="1401">
        <v>2347</v>
      </c>
      <c r="L94" s="1402" t="s">
        <v>1711</v>
      </c>
      <c r="M94" s="1402" t="s">
        <v>1174</v>
      </c>
    </row>
    <row r="95" spans="4:13" ht="30">
      <c r="D95" s="1401">
        <v>5367</v>
      </c>
      <c r="E95" s="1402" t="s">
        <v>1712</v>
      </c>
      <c r="F95" s="1402" t="s">
        <v>9</v>
      </c>
      <c r="G95" s="1403">
        <v>40899</v>
      </c>
      <c r="H95" s="470"/>
      <c r="I95" s="1402" t="s">
        <v>963</v>
      </c>
      <c r="J95" s="1402" t="s">
        <v>1568</v>
      </c>
      <c r="K95" s="1401">
        <v>2348</v>
      </c>
      <c r="L95" s="1402" t="s">
        <v>1713</v>
      </c>
      <c r="M95" s="1402" t="s">
        <v>1174</v>
      </c>
    </row>
    <row r="96" spans="4:13" ht="30">
      <c r="D96" s="1401">
        <v>5368</v>
      </c>
      <c r="E96" s="1402" t="s">
        <v>1714</v>
      </c>
      <c r="F96" s="1402" t="s">
        <v>344</v>
      </c>
      <c r="G96" s="1403">
        <v>41182</v>
      </c>
      <c r="H96" s="470"/>
      <c r="I96" s="1402" t="s">
        <v>963</v>
      </c>
      <c r="J96" s="1402" t="s">
        <v>1568</v>
      </c>
      <c r="K96" s="1401">
        <v>2349</v>
      </c>
      <c r="L96" s="1402" t="s">
        <v>1715</v>
      </c>
      <c r="M96" s="1402" t="s">
        <v>1174</v>
      </c>
    </row>
    <row r="97" spans="4:13" ht="30">
      <c r="D97" s="1401">
        <v>5369</v>
      </c>
      <c r="E97" s="1402" t="s">
        <v>1716</v>
      </c>
      <c r="F97" s="1402" t="s">
        <v>349</v>
      </c>
      <c r="G97" s="1403">
        <v>41182</v>
      </c>
      <c r="H97" s="470"/>
      <c r="I97" s="1402" t="s">
        <v>963</v>
      </c>
      <c r="J97" s="1402" t="s">
        <v>1568</v>
      </c>
      <c r="K97" s="1401">
        <v>2350</v>
      </c>
      <c r="L97" s="1402" t="s">
        <v>1717</v>
      </c>
      <c r="M97" s="1402" t="s">
        <v>1174</v>
      </c>
    </row>
    <row r="98" spans="4:13" ht="30">
      <c r="D98" s="1401">
        <v>5370</v>
      </c>
      <c r="E98" s="1402" t="s">
        <v>1718</v>
      </c>
      <c r="F98" s="1402" t="s">
        <v>154</v>
      </c>
      <c r="G98" s="1403">
        <v>41182</v>
      </c>
      <c r="H98" s="470"/>
      <c r="I98" s="1402" t="s">
        <v>963</v>
      </c>
      <c r="J98" s="1402" t="s">
        <v>1568</v>
      </c>
      <c r="K98" s="1401">
        <v>2351</v>
      </c>
      <c r="L98" s="1402" t="s">
        <v>1719</v>
      </c>
      <c r="M98" s="1402" t="s">
        <v>1174</v>
      </c>
    </row>
    <row r="99" spans="4:13" ht="30">
      <c r="D99" s="1401">
        <v>5371</v>
      </c>
      <c r="E99" s="1402" t="s">
        <v>1720</v>
      </c>
      <c r="F99" s="1402" t="s">
        <v>358</v>
      </c>
      <c r="G99" s="1403">
        <v>41182</v>
      </c>
      <c r="H99" s="470"/>
      <c r="I99" s="1402" t="s">
        <v>963</v>
      </c>
      <c r="J99" s="1402" t="s">
        <v>1568</v>
      </c>
      <c r="K99" s="1401">
        <v>2352</v>
      </c>
      <c r="L99" s="1402" t="s">
        <v>1721</v>
      </c>
      <c r="M99" s="1402" t="s">
        <v>1174</v>
      </c>
    </row>
    <row r="100" spans="4:13" ht="30">
      <c r="D100" s="1401">
        <v>5373</v>
      </c>
      <c r="E100" s="1402" t="s">
        <v>1722</v>
      </c>
      <c r="F100" s="1402" t="s">
        <v>365</v>
      </c>
      <c r="G100" s="1403">
        <v>41182</v>
      </c>
      <c r="H100" s="470"/>
      <c r="I100" s="1402" t="s">
        <v>963</v>
      </c>
      <c r="J100" s="1402" t="s">
        <v>1568</v>
      </c>
      <c r="K100" s="1401">
        <v>2353</v>
      </c>
      <c r="L100" s="1402" t="s">
        <v>1723</v>
      </c>
      <c r="M100" s="1402" t="s">
        <v>1174</v>
      </c>
    </row>
    <row r="101" spans="4:13" ht="45">
      <c r="D101" s="1401">
        <v>5377</v>
      </c>
      <c r="E101" s="1402" t="s">
        <v>1724</v>
      </c>
      <c r="F101" s="1402" t="s">
        <v>309</v>
      </c>
      <c r="G101" s="1403">
        <v>41393</v>
      </c>
      <c r="H101" s="470"/>
      <c r="I101" s="1402" t="s">
        <v>963</v>
      </c>
      <c r="J101" s="1402" t="s">
        <v>1568</v>
      </c>
      <c r="K101" s="1401">
        <v>2355</v>
      </c>
      <c r="L101" s="1402" t="s">
        <v>1725</v>
      </c>
      <c r="M101" s="1402" t="s">
        <v>1174</v>
      </c>
    </row>
    <row r="102" spans="4:13" ht="45">
      <c r="D102" s="1401">
        <v>5378</v>
      </c>
      <c r="E102" s="1402" t="s">
        <v>1726</v>
      </c>
      <c r="F102" s="1402" t="s">
        <v>241</v>
      </c>
      <c r="G102" s="1403">
        <v>41393</v>
      </c>
      <c r="H102" s="470"/>
      <c r="I102" s="1402" t="s">
        <v>963</v>
      </c>
      <c r="J102" s="1402" t="s">
        <v>1568</v>
      </c>
      <c r="K102" s="1401">
        <v>2356</v>
      </c>
      <c r="L102" s="1402" t="s">
        <v>1727</v>
      </c>
      <c r="M102" s="1402" t="s">
        <v>1174</v>
      </c>
    </row>
    <row r="103" spans="4:13" ht="45">
      <c r="D103" s="1401">
        <v>5379</v>
      </c>
      <c r="E103" s="1402" t="s">
        <v>1728</v>
      </c>
      <c r="F103" s="1402" t="s">
        <v>277</v>
      </c>
      <c r="G103" s="1403">
        <v>41212</v>
      </c>
      <c r="H103" s="470"/>
      <c r="I103" s="1402" t="s">
        <v>963</v>
      </c>
      <c r="J103" s="1402" t="s">
        <v>1568</v>
      </c>
      <c r="K103" s="1401">
        <v>2357</v>
      </c>
      <c r="L103" s="1402" t="s">
        <v>1729</v>
      </c>
      <c r="M103" s="1402" t="s">
        <v>1174</v>
      </c>
    </row>
    <row r="104" spans="4:13" ht="45">
      <c r="D104" s="1401">
        <v>5381</v>
      </c>
      <c r="E104" s="1402" t="s">
        <v>1730</v>
      </c>
      <c r="F104" s="1402" t="s">
        <v>220</v>
      </c>
      <c r="G104" s="1403">
        <v>41152</v>
      </c>
      <c r="H104" s="470"/>
      <c r="I104" s="1402" t="s">
        <v>963</v>
      </c>
      <c r="J104" s="1402" t="s">
        <v>1568</v>
      </c>
      <c r="K104" s="1401">
        <v>2358</v>
      </c>
      <c r="L104" s="1402" t="s">
        <v>1731</v>
      </c>
      <c r="M104" s="1402" t="s">
        <v>1174</v>
      </c>
    </row>
    <row r="105" spans="4:13" ht="45">
      <c r="D105" s="1401">
        <v>5382</v>
      </c>
      <c r="E105" s="1402" t="s">
        <v>1732</v>
      </c>
      <c r="F105" s="1402" t="s">
        <v>246</v>
      </c>
      <c r="G105" s="1403">
        <v>41101</v>
      </c>
      <c r="H105" s="470"/>
      <c r="I105" s="1402" t="s">
        <v>963</v>
      </c>
      <c r="J105" s="1402" t="s">
        <v>1568</v>
      </c>
      <c r="K105" s="1401">
        <v>2359</v>
      </c>
      <c r="L105" s="1402" t="s">
        <v>1733</v>
      </c>
      <c r="M105" s="1402" t="s">
        <v>1174</v>
      </c>
    </row>
    <row r="106" spans="4:13" ht="45">
      <c r="D106" s="1401">
        <v>5384</v>
      </c>
      <c r="E106" s="1402" t="s">
        <v>1734</v>
      </c>
      <c r="F106" s="1402" t="s">
        <v>266</v>
      </c>
      <c r="G106" s="1403">
        <v>41423</v>
      </c>
      <c r="H106" s="470"/>
      <c r="I106" s="1402" t="s">
        <v>963</v>
      </c>
      <c r="J106" s="1402" t="s">
        <v>1568</v>
      </c>
      <c r="K106" s="1401">
        <v>2360</v>
      </c>
      <c r="L106" s="1402" t="s">
        <v>1735</v>
      </c>
      <c r="M106" s="1402" t="s">
        <v>1174</v>
      </c>
    </row>
    <row r="107" spans="4:13" ht="45">
      <c r="D107" s="1401">
        <v>5385</v>
      </c>
      <c r="E107" s="1402" t="s">
        <v>1736</v>
      </c>
      <c r="F107" s="1402" t="s">
        <v>271</v>
      </c>
      <c r="G107" s="1403">
        <v>41379</v>
      </c>
      <c r="H107" s="470"/>
      <c r="I107" s="1402" t="s">
        <v>963</v>
      </c>
      <c r="J107" s="1402" t="s">
        <v>1568</v>
      </c>
      <c r="K107" s="1401">
        <v>2361</v>
      </c>
      <c r="L107" s="1402" t="s">
        <v>1737</v>
      </c>
      <c r="M107" s="1402" t="s">
        <v>1174</v>
      </c>
    </row>
    <row r="108" spans="4:13" ht="45">
      <c r="D108" s="1401">
        <v>5386</v>
      </c>
      <c r="E108" s="1402" t="s">
        <v>1738</v>
      </c>
      <c r="F108" s="1402" t="s">
        <v>236</v>
      </c>
      <c r="G108" s="1403">
        <v>41212</v>
      </c>
      <c r="H108" s="470"/>
      <c r="I108" s="1402" t="s">
        <v>963</v>
      </c>
      <c r="J108" s="1402" t="s">
        <v>1568</v>
      </c>
      <c r="K108" s="1401">
        <v>2362</v>
      </c>
      <c r="L108" s="1402" t="s">
        <v>1739</v>
      </c>
      <c r="M108" s="1402" t="s">
        <v>1174</v>
      </c>
    </row>
    <row r="109" spans="4:13" ht="15" hidden="1">
      <c r="D109" s="1401">
        <v>5697</v>
      </c>
      <c r="E109" s="1402" t="s">
        <v>1740</v>
      </c>
      <c r="F109" s="1402" t="s">
        <v>156</v>
      </c>
      <c r="G109" s="1403">
        <v>41143</v>
      </c>
      <c r="H109" s="1404">
        <v>41128</v>
      </c>
      <c r="I109" s="1402" t="s">
        <v>963</v>
      </c>
      <c r="J109" s="1402" t="s">
        <v>114</v>
      </c>
      <c r="K109" s="1401">
        <v>2382</v>
      </c>
      <c r="L109" s="1402" t="s">
        <v>1741</v>
      </c>
      <c r="M109" s="1402" t="s">
        <v>1548</v>
      </c>
    </row>
    <row r="110" spans="4:13" ht="30" hidden="1">
      <c r="D110" s="1401">
        <v>5707</v>
      </c>
      <c r="E110" s="1402" t="s">
        <v>1742</v>
      </c>
      <c r="F110" s="1402" t="s">
        <v>157</v>
      </c>
      <c r="G110" s="1403">
        <v>41235</v>
      </c>
      <c r="H110" s="1404">
        <v>41207</v>
      </c>
      <c r="I110" s="1402" t="s">
        <v>963</v>
      </c>
      <c r="J110" s="1402" t="s">
        <v>114</v>
      </c>
      <c r="K110" s="1401">
        <v>2386</v>
      </c>
      <c r="L110" s="1402" t="s">
        <v>1743</v>
      </c>
      <c r="M110" s="1402" t="s">
        <v>1548</v>
      </c>
    </row>
    <row r="111" spans="4:13" ht="15" hidden="1">
      <c r="D111" s="1401">
        <v>6072</v>
      </c>
      <c r="E111" s="1402" t="s">
        <v>1744</v>
      </c>
      <c r="F111" s="1402" t="s">
        <v>1745</v>
      </c>
      <c r="G111" s="1403">
        <v>41204</v>
      </c>
      <c r="H111" s="1404">
        <v>41164</v>
      </c>
      <c r="I111" s="1402" t="s">
        <v>963</v>
      </c>
      <c r="J111" s="1402" t="s">
        <v>114</v>
      </c>
      <c r="K111" s="1401">
        <v>2407</v>
      </c>
      <c r="L111" s="1402" t="s">
        <v>1746</v>
      </c>
      <c r="M111" s="1402" t="s">
        <v>1548</v>
      </c>
    </row>
    <row r="112" spans="4:13" ht="30" hidden="1">
      <c r="D112" s="1401">
        <v>6585</v>
      </c>
      <c r="E112" s="1402" t="s">
        <v>1747</v>
      </c>
      <c r="F112" s="1402" t="s">
        <v>158</v>
      </c>
      <c r="G112" s="1403">
        <v>41082</v>
      </c>
      <c r="H112" s="1404">
        <v>41078</v>
      </c>
      <c r="I112" s="1402" t="s">
        <v>963</v>
      </c>
      <c r="J112" s="1402" t="s">
        <v>114</v>
      </c>
      <c r="K112" s="1401">
        <v>2444</v>
      </c>
      <c r="L112" s="1402" t="s">
        <v>1748</v>
      </c>
      <c r="M112" s="1402" t="s">
        <v>1548</v>
      </c>
    </row>
    <row r="113" spans="4:13" ht="30" hidden="1">
      <c r="D113" s="1401">
        <v>6587</v>
      </c>
      <c r="E113" s="1402" t="s">
        <v>1749</v>
      </c>
      <c r="F113" s="1402" t="s">
        <v>159</v>
      </c>
      <c r="G113" s="1403">
        <v>41021</v>
      </c>
      <c r="H113" s="470"/>
      <c r="I113" s="1402" t="s">
        <v>963</v>
      </c>
      <c r="J113" s="1402" t="s">
        <v>114</v>
      </c>
      <c r="K113" s="1401">
        <v>2445</v>
      </c>
      <c r="L113" s="1402" t="s">
        <v>1750</v>
      </c>
      <c r="M113" s="1402" t="s">
        <v>1548</v>
      </c>
    </row>
    <row r="114" spans="4:13" ht="30" hidden="1">
      <c r="D114" s="1401">
        <v>6600</v>
      </c>
      <c r="E114" s="1402" t="s">
        <v>1751</v>
      </c>
      <c r="F114" s="1402" t="s">
        <v>160</v>
      </c>
      <c r="G114" s="1403">
        <v>41149</v>
      </c>
      <c r="H114" s="470"/>
      <c r="I114" s="1402" t="s">
        <v>963</v>
      </c>
      <c r="J114" s="1402" t="s">
        <v>114</v>
      </c>
      <c r="K114" s="1401">
        <v>2452</v>
      </c>
      <c r="L114" s="1402" t="s">
        <v>1752</v>
      </c>
      <c r="M114" s="1402" t="s">
        <v>1548</v>
      </c>
    </row>
    <row r="115" spans="4:13" ht="60">
      <c r="D115" s="1401">
        <v>6609</v>
      </c>
      <c r="E115" s="1402" t="s">
        <v>1753</v>
      </c>
      <c r="F115" s="1402" t="s">
        <v>259</v>
      </c>
      <c r="G115" s="1403">
        <v>41411</v>
      </c>
      <c r="H115" s="470"/>
      <c r="I115" s="1402" t="s">
        <v>963</v>
      </c>
      <c r="J115" s="1402" t="s">
        <v>1568</v>
      </c>
      <c r="K115" s="1401">
        <v>2455</v>
      </c>
      <c r="L115" s="1402" t="s">
        <v>1754</v>
      </c>
      <c r="M115" s="1402" t="s">
        <v>1174</v>
      </c>
    </row>
    <row r="116" spans="4:13" ht="45">
      <c r="D116" s="1401">
        <v>6610</v>
      </c>
      <c r="E116" s="1402" t="s">
        <v>1755</v>
      </c>
      <c r="F116" s="1402" t="s">
        <v>253</v>
      </c>
      <c r="G116" s="1403">
        <v>41243</v>
      </c>
      <c r="H116" s="470"/>
      <c r="I116" s="1402" t="s">
        <v>963</v>
      </c>
      <c r="J116" s="1402" t="s">
        <v>1568</v>
      </c>
      <c r="K116" s="1401">
        <v>2456</v>
      </c>
      <c r="L116" s="1402" t="s">
        <v>1756</v>
      </c>
      <c r="M116" s="1402" t="s">
        <v>1174</v>
      </c>
    </row>
    <row r="117" spans="4:13" ht="30" hidden="1">
      <c r="D117" s="1401">
        <v>6611</v>
      </c>
      <c r="E117" s="1402" t="s">
        <v>1757</v>
      </c>
      <c r="F117" s="1402" t="s">
        <v>162</v>
      </c>
      <c r="G117" s="1403">
        <v>40943</v>
      </c>
      <c r="H117" s="470"/>
      <c r="I117" s="1402" t="s">
        <v>963</v>
      </c>
      <c r="J117" s="1402" t="s">
        <v>114</v>
      </c>
      <c r="K117" s="1401">
        <v>2457</v>
      </c>
      <c r="L117" s="1402" t="s">
        <v>1758</v>
      </c>
      <c r="M117" s="1402" t="s">
        <v>1548</v>
      </c>
    </row>
    <row r="118" spans="4:13" ht="30" hidden="1">
      <c r="D118" s="1401">
        <v>6612</v>
      </c>
      <c r="E118" s="1402" t="s">
        <v>1759</v>
      </c>
      <c r="F118" s="1402" t="s">
        <v>163</v>
      </c>
      <c r="G118" s="1403">
        <v>41082</v>
      </c>
      <c r="H118" s="1404">
        <v>41078</v>
      </c>
      <c r="I118" s="1402" t="s">
        <v>963</v>
      </c>
      <c r="J118" s="1402" t="s">
        <v>1568</v>
      </c>
      <c r="K118" s="1401">
        <v>2458</v>
      </c>
      <c r="L118" s="1402" t="s">
        <v>1760</v>
      </c>
      <c r="M118" s="1402" t="s">
        <v>1548</v>
      </c>
    </row>
    <row r="119" spans="4:13" ht="30">
      <c r="D119" s="1401">
        <v>6896</v>
      </c>
      <c r="E119" s="1402" t="s">
        <v>1761</v>
      </c>
      <c r="F119" s="1402" t="s">
        <v>252</v>
      </c>
      <c r="G119" s="1403">
        <v>41182</v>
      </c>
      <c r="H119" s="470"/>
      <c r="I119" s="1402" t="s">
        <v>963</v>
      </c>
      <c r="J119" s="1402" t="s">
        <v>1568</v>
      </c>
      <c r="K119" s="1401">
        <v>2479</v>
      </c>
      <c r="L119" s="1402" t="s">
        <v>1762</v>
      </c>
      <c r="M119" s="1402" t="s">
        <v>1174</v>
      </c>
    </row>
    <row r="120" spans="4:13" ht="45">
      <c r="D120" s="1401">
        <v>6897</v>
      </c>
      <c r="E120" s="1402" t="s">
        <v>1763</v>
      </c>
      <c r="F120" s="1402" t="s">
        <v>1764</v>
      </c>
      <c r="G120" s="1403">
        <v>41182</v>
      </c>
      <c r="H120" s="470"/>
      <c r="I120" s="1402" t="s">
        <v>963</v>
      </c>
      <c r="J120" s="1402" t="s">
        <v>1568</v>
      </c>
      <c r="K120" s="1401">
        <v>2480</v>
      </c>
      <c r="L120" s="1402" t="s">
        <v>1765</v>
      </c>
      <c r="M120" s="1402" t="s">
        <v>1174</v>
      </c>
    </row>
    <row r="121" spans="4:13" ht="30">
      <c r="D121" s="1401">
        <v>6898</v>
      </c>
      <c r="E121" s="1402" t="s">
        <v>1766</v>
      </c>
      <c r="F121" s="1402" t="s">
        <v>299</v>
      </c>
      <c r="G121" s="1403">
        <v>41182</v>
      </c>
      <c r="H121" s="470"/>
      <c r="I121" s="1402" t="s">
        <v>963</v>
      </c>
      <c r="J121" s="1402" t="s">
        <v>1568</v>
      </c>
      <c r="K121" s="1401">
        <v>2481</v>
      </c>
      <c r="L121" s="1402" t="s">
        <v>1767</v>
      </c>
      <c r="M121" s="1402" t="s">
        <v>1174</v>
      </c>
    </row>
    <row r="122" spans="4:13" ht="30">
      <c r="D122" s="1401">
        <v>7016</v>
      </c>
      <c r="E122" s="1402" t="s">
        <v>1768</v>
      </c>
      <c r="F122" s="1402" t="s">
        <v>370</v>
      </c>
      <c r="G122" s="1403">
        <v>41182</v>
      </c>
      <c r="H122" s="470"/>
      <c r="I122" s="1402" t="s">
        <v>963</v>
      </c>
      <c r="J122" s="1402" t="s">
        <v>1568</v>
      </c>
      <c r="K122" s="1401">
        <v>2496</v>
      </c>
      <c r="L122" s="1402" t="s">
        <v>1769</v>
      </c>
      <c r="M122" s="1402" t="s">
        <v>1174</v>
      </c>
    </row>
    <row r="123" spans="4:13" ht="30" hidden="1">
      <c r="D123" s="1401">
        <v>7019</v>
      </c>
      <c r="E123" s="1402" t="s">
        <v>1770</v>
      </c>
      <c r="F123" s="1402" t="s">
        <v>164</v>
      </c>
      <c r="G123" s="1403">
        <v>41214</v>
      </c>
      <c r="H123" s="1404">
        <v>41214</v>
      </c>
      <c r="I123" s="1402" t="s">
        <v>963</v>
      </c>
      <c r="J123" s="1402" t="s">
        <v>114</v>
      </c>
      <c r="K123" s="1401">
        <v>2497</v>
      </c>
      <c r="L123" s="1402" t="s">
        <v>1771</v>
      </c>
      <c r="M123" s="1402" t="s">
        <v>1548</v>
      </c>
    </row>
    <row r="124" spans="4:13" ht="30">
      <c r="D124" s="1401">
        <v>7371</v>
      </c>
      <c r="E124" s="1402" t="s">
        <v>1772</v>
      </c>
      <c r="F124" s="1402" t="s">
        <v>165</v>
      </c>
      <c r="G124" s="1403">
        <v>41485</v>
      </c>
      <c r="H124" s="470"/>
      <c r="I124" s="1402" t="s">
        <v>963</v>
      </c>
      <c r="J124" s="1402" t="s">
        <v>1568</v>
      </c>
      <c r="K124" s="1401">
        <v>2527</v>
      </c>
      <c r="L124" s="1402" t="s">
        <v>1773</v>
      </c>
      <c r="M124" s="1402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1774</v>
      </c>
      <c r="G3" s="424" t="s">
        <v>1775</v>
      </c>
    </row>
    <row r="4" spans="2:7">
      <c r="B4" s="435" t="s">
        <v>1776</v>
      </c>
      <c r="C4" s="435" t="s">
        <v>1777</v>
      </c>
      <c r="D4" s="435" t="s">
        <v>856</v>
      </c>
      <c r="E4" s="424"/>
      <c r="F4" s="1405" t="s">
        <v>1778</v>
      </c>
      <c r="G4" s="1406" t="e">
        <f>(C10*G7)/G5</f>
        <v>#REF!</v>
      </c>
    </row>
    <row r="5" spans="2:7">
      <c r="B5" s="1407" t="s">
        <v>1779</v>
      </c>
      <c r="C5" s="1408"/>
      <c r="D5" s="1409"/>
      <c r="F5" s="1405" t="s">
        <v>1780</v>
      </c>
      <c r="G5" s="1410" t="e">
        <f>(((1+C7)^G6)*C7)/(((1+C7)^G6)-1)</f>
        <v>#REF!</v>
      </c>
    </row>
    <row r="6" spans="2:7">
      <c r="B6" s="1407" t="s">
        <v>1781</v>
      </c>
      <c r="C6" s="1408"/>
      <c r="D6" s="1409"/>
      <c r="F6" s="1405" t="s">
        <v>1782</v>
      </c>
      <c r="G6" s="1411" t="e">
        <f>G7/(C8*C9)</f>
        <v>#REF!</v>
      </c>
    </row>
    <row r="7" spans="2:7">
      <c r="B7" s="1407" t="s">
        <v>1783</v>
      </c>
      <c r="C7" s="1412">
        <f>'BD-NET'!Q114</f>
        <v>8.1942000000000001E-2</v>
      </c>
      <c r="D7" s="1409"/>
      <c r="F7" s="1405" t="s">
        <v>1784</v>
      </c>
      <c r="G7" s="1413">
        <f>12*(20000*C6+10000*C5)</f>
        <v>0</v>
      </c>
    </row>
    <row r="8" spans="2:7">
      <c r="B8" s="1407" t="s">
        <v>1785</v>
      </c>
      <c r="C8" s="1414" t="e">
        <f>C24</f>
        <v>#REF!</v>
      </c>
      <c r="D8" s="1415" t="s">
        <v>1786</v>
      </c>
    </row>
    <row r="9" spans="2:7">
      <c r="B9" s="1407" t="s">
        <v>1787</v>
      </c>
      <c r="C9" s="1416"/>
      <c r="D9" s="1409"/>
    </row>
    <row r="10" spans="2:7">
      <c r="B10" s="1407" t="s">
        <v>1788</v>
      </c>
      <c r="C10" s="1417" t="e">
        <f>F14</f>
        <v>#REF!</v>
      </c>
      <c r="D10" s="1409"/>
    </row>
    <row r="12" spans="2:7">
      <c r="B12" s="435" t="s">
        <v>1789</v>
      </c>
      <c r="C12" s="435" t="s">
        <v>725</v>
      </c>
      <c r="D12" s="435" t="s">
        <v>1790</v>
      </c>
      <c r="E12" s="435" t="s">
        <v>1791</v>
      </c>
      <c r="F12" s="435" t="s">
        <v>1792</v>
      </c>
    </row>
    <row r="13" spans="2:7" ht="13.5" thickBot="1">
      <c r="B13" s="1407" t="s">
        <v>1793</v>
      </c>
      <c r="C13" s="1418" t="e">
        <f>C38</f>
        <v>#REF!</v>
      </c>
      <c r="D13" s="1407"/>
      <c r="E13" s="1407"/>
      <c r="F13" s="1419"/>
    </row>
    <row r="14" spans="2:7" ht="13.5" thickBot="1">
      <c r="B14" s="1407" t="s">
        <v>1794</v>
      </c>
      <c r="C14" s="1418" t="e">
        <f>(C32+E55)*($C$38/$C$35)</f>
        <v>#REF!</v>
      </c>
      <c r="D14" s="1420" t="e">
        <f>$C$17*(C14/($C$14+$C$15+$C$16))</f>
        <v>#REF!</v>
      </c>
      <c r="E14" s="1421" t="e">
        <f>C14-D14</f>
        <v>#REF!</v>
      </c>
      <c r="F14" s="458" t="e">
        <f>E14/$C$13</f>
        <v>#REF!</v>
      </c>
      <c r="G14" s="459" t="s">
        <v>1795</v>
      </c>
    </row>
    <row r="15" spans="2:7">
      <c r="B15" s="1407" t="s">
        <v>1796</v>
      </c>
      <c r="C15" s="1418" t="e">
        <f>C27*($C$38/$C$35)</f>
        <v>#REF!</v>
      </c>
      <c r="D15" s="1420" t="e">
        <f>$C$17*(C15/($C$14+$C$15+$C$16))</f>
        <v>#REF!</v>
      </c>
      <c r="E15" s="1420" t="e">
        <f>C15-D15</f>
        <v>#REF!</v>
      </c>
      <c r="F15" s="1422" t="e">
        <f>E15/$C$13</f>
        <v>#REF!</v>
      </c>
    </row>
    <row r="16" spans="2:7">
      <c r="B16" s="1407" t="s">
        <v>1797</v>
      </c>
      <c r="C16" s="1418" t="e">
        <f>(C33+D54)*($C$38/$C$35)</f>
        <v>#REF!</v>
      </c>
      <c r="D16" s="1420" t="e">
        <f>$C$17*(C16/($C$14+$C$15+$C$16))</f>
        <v>#REF!</v>
      </c>
      <c r="E16" s="1420" t="e">
        <f>C16-D16</f>
        <v>#REF!</v>
      </c>
      <c r="F16" s="1423" t="e">
        <f>E16/$C$13</f>
        <v>#REF!</v>
      </c>
    </row>
    <row r="17" spans="2:6">
      <c r="B17" s="1407" t="s">
        <v>1798</v>
      </c>
      <c r="C17" s="1418" t="e">
        <f>C39</f>
        <v>#REF!</v>
      </c>
      <c r="D17" s="1407"/>
      <c r="E17" s="1407"/>
      <c r="F17" s="1424" t="e">
        <f>C17/C13</f>
        <v>#REF!</v>
      </c>
    </row>
    <row r="18" spans="2:6">
      <c r="D18" s="440" t="e">
        <f>SUM(D14:D17)</f>
        <v>#REF!</v>
      </c>
      <c r="F18" s="1425" t="e">
        <f>SUM(F14:F17)</f>
        <v>#REF!</v>
      </c>
    </row>
    <row r="19" spans="2:6">
      <c r="B19" s="431" t="s">
        <v>1799</v>
      </c>
    </row>
    <row r="20" spans="2:6">
      <c r="B20" s="431"/>
    </row>
    <row r="21" spans="2:6">
      <c r="B21" s="1426" t="s">
        <v>1800</v>
      </c>
      <c r="C21" s="1427" t="e">
        <f>LnkTxtPBCAOMCAA</f>
        <v>#NAME?</v>
      </c>
    </row>
    <row r="22" spans="2:6">
      <c r="B22" s="432" t="s">
        <v>1801</v>
      </c>
      <c r="C22" s="433">
        <v>1.15E-2</v>
      </c>
    </row>
    <row r="23" spans="2:6">
      <c r="B23" s="432" t="s">
        <v>1802</v>
      </c>
      <c r="C23" s="433">
        <v>0</v>
      </c>
    </row>
    <row r="24" spans="2:6">
      <c r="B24" s="1426" t="s">
        <v>1803</v>
      </c>
      <c r="C24" s="1427" t="e">
        <f>#REF!+#REF!</f>
        <v>#REF!</v>
      </c>
    </row>
    <row r="27" spans="2:6">
      <c r="B27" s="1426" t="s">
        <v>1804</v>
      </c>
      <c r="C27" s="1427" t="e">
        <f>#REF!</f>
        <v>#REF!</v>
      </c>
    </row>
    <row r="28" spans="2:6">
      <c r="B28" s="432" t="s">
        <v>1805</v>
      </c>
      <c r="C28" s="438" t="e">
        <f>#REF!</f>
        <v>#REF!</v>
      </c>
    </row>
    <row r="29" spans="2:6">
      <c r="B29" s="432" t="s">
        <v>1806</v>
      </c>
      <c r="C29" s="438"/>
    </row>
    <row r="30" spans="2:6">
      <c r="B30" s="432" t="s">
        <v>1807</v>
      </c>
      <c r="C30" s="438" t="e">
        <f>#REF!</f>
        <v>#REF!</v>
      </c>
    </row>
    <row r="31" spans="2:6">
      <c r="B31" s="1426" t="s">
        <v>1808</v>
      </c>
      <c r="C31" s="1427" t="e">
        <f>#REF!</f>
        <v>#REF!</v>
      </c>
    </row>
    <row r="32" spans="2:6">
      <c r="B32" s="432" t="s">
        <v>1809</v>
      </c>
      <c r="C32" s="438" t="e">
        <f>#REF!</f>
        <v>#REF!</v>
      </c>
    </row>
    <row r="33" spans="2:4">
      <c r="B33" s="432" t="s">
        <v>1810</v>
      </c>
      <c r="C33" s="438" t="e">
        <f>#REF!</f>
        <v>#REF!</v>
      </c>
    </row>
    <row r="34" spans="2:4">
      <c r="B34" s="432" t="s">
        <v>1811</v>
      </c>
      <c r="C34" s="438" t="e">
        <f>#REF!</f>
        <v>#REF!</v>
      </c>
    </row>
    <row r="35" spans="2:4">
      <c r="B35" s="1426" t="s">
        <v>1800</v>
      </c>
      <c r="C35" s="1427" t="e">
        <f>C21</f>
        <v>#NAME?</v>
      </c>
    </row>
    <row r="36" spans="2:4">
      <c r="B36" s="432" t="s">
        <v>1801</v>
      </c>
      <c r="C36" s="433">
        <f>C22</f>
        <v>1.15E-2</v>
      </c>
    </row>
    <row r="37" spans="2:4">
      <c r="B37" s="432" t="s">
        <v>1802</v>
      </c>
      <c r="C37" s="433">
        <f>C23</f>
        <v>0</v>
      </c>
    </row>
    <row r="38" spans="2:4">
      <c r="B38" s="1426" t="s">
        <v>1803</v>
      </c>
      <c r="C38" s="1427" t="e">
        <f>C24</f>
        <v>#REF!</v>
      </c>
    </row>
    <row r="39" spans="2:4">
      <c r="B39" s="432" t="s">
        <v>1812</v>
      </c>
      <c r="C39" s="438" t="e">
        <f>#REF!</f>
        <v>#REF!</v>
      </c>
    </row>
    <row r="40" spans="2:4">
      <c r="B40" s="1428" t="s">
        <v>1813</v>
      </c>
      <c r="C40" s="1429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1814</v>
      </c>
      <c r="C2" s="427"/>
      <c r="H2" s="428" t="s">
        <v>1815</v>
      </c>
    </row>
    <row r="3" spans="2:17">
      <c r="B3" s="1430" t="s">
        <v>1776</v>
      </c>
      <c r="C3" s="1430" t="s">
        <v>1777</v>
      </c>
      <c r="D3" s="1431" t="s">
        <v>856</v>
      </c>
      <c r="E3" s="1431" t="s">
        <v>1816</v>
      </c>
      <c r="F3" s="1431" t="s">
        <v>1817</v>
      </c>
      <c r="H3" s="428" t="s">
        <v>1818</v>
      </c>
      <c r="M3" s="423" t="s">
        <v>1819</v>
      </c>
      <c r="O3" s="423" t="s">
        <v>1819</v>
      </c>
      <c r="P3" s="423" t="s">
        <v>1819</v>
      </c>
    </row>
    <row r="4" spans="2:17">
      <c r="B4" s="1432" t="s">
        <v>1820</v>
      </c>
      <c r="C4" s="1433" t="e">
        <f>12*C5*(1-$E$13)*1/$E$16</f>
        <v>#DIV/0!</v>
      </c>
      <c r="D4" s="1409" t="s">
        <v>1821</v>
      </c>
      <c r="E4" s="1409"/>
      <c r="F4" s="1409"/>
      <c r="H4" s="1430" t="s">
        <v>1822</v>
      </c>
      <c r="I4" s="1430" t="s">
        <v>1823</v>
      </c>
      <c r="J4" s="1430" t="s">
        <v>1824</v>
      </c>
      <c r="K4" s="1430" t="s">
        <v>1825</v>
      </c>
      <c r="L4" s="1430" t="s">
        <v>1826</v>
      </c>
      <c r="M4" s="1430" t="s">
        <v>897</v>
      </c>
      <c r="N4" s="1430" t="s">
        <v>533</v>
      </c>
      <c r="O4" s="1430" t="s">
        <v>537</v>
      </c>
      <c r="P4" s="1430" t="s">
        <v>535</v>
      </c>
      <c r="Q4" s="1430" t="s">
        <v>538</v>
      </c>
    </row>
    <row r="5" spans="2:17">
      <c r="B5" s="1432" t="s">
        <v>1781</v>
      </c>
      <c r="C5" s="1434"/>
      <c r="D5" s="1409"/>
      <c r="E5" s="1409"/>
      <c r="F5" s="1409" t="s">
        <v>1827</v>
      </c>
      <c r="H5" s="1432" t="s">
        <v>1820</v>
      </c>
      <c r="I5" s="1433" t="e">
        <f t="shared" ref="I5:Q5" si="0">12*I6*(1-$E$13)*1/$E$16</f>
        <v>#DIV/0!</v>
      </c>
      <c r="J5" s="1433" t="e">
        <f t="shared" si="0"/>
        <v>#DIV/0!</v>
      </c>
      <c r="K5" s="1433" t="e">
        <f t="shared" si="0"/>
        <v>#DIV/0!</v>
      </c>
      <c r="L5" s="1433" t="e">
        <f t="shared" si="0"/>
        <v>#DIV/0!</v>
      </c>
      <c r="M5" s="1433" t="e">
        <f t="shared" si="0"/>
        <v>#DIV/0!</v>
      </c>
      <c r="N5" s="1433" t="e">
        <f t="shared" si="0"/>
        <v>#DIV/0!</v>
      </c>
      <c r="O5" s="1433" t="e">
        <f t="shared" si="0"/>
        <v>#DIV/0!</v>
      </c>
      <c r="P5" s="1433" t="e">
        <f t="shared" si="0"/>
        <v>#DIV/0!</v>
      </c>
      <c r="Q5" s="1433" t="e">
        <f t="shared" si="0"/>
        <v>#DIV/0!</v>
      </c>
    </row>
    <row r="6" spans="2:17">
      <c r="B6" s="1432" t="s">
        <v>1828</v>
      </c>
      <c r="C6" s="1435"/>
      <c r="D6" s="1409" t="s">
        <v>1829</v>
      </c>
      <c r="E6" s="1409"/>
      <c r="F6" s="1436"/>
      <c r="H6" s="1432" t="s">
        <v>1781</v>
      </c>
      <c r="I6" s="1437"/>
      <c r="J6" s="1437"/>
      <c r="K6" s="1437"/>
      <c r="L6" s="1437"/>
      <c r="M6" s="1408"/>
      <c r="N6" s="1438"/>
      <c r="O6" s="1408"/>
      <c r="P6" s="1408"/>
      <c r="Q6" s="1408"/>
    </row>
    <row r="7" spans="2:17">
      <c r="B7" s="1432" t="s">
        <v>1830</v>
      </c>
      <c r="C7" s="1435"/>
      <c r="D7" s="1409" t="s">
        <v>1831</v>
      </c>
      <c r="E7" s="1409"/>
      <c r="F7" s="1436"/>
      <c r="H7" s="1432" t="s">
        <v>1828</v>
      </c>
      <c r="I7" s="1861">
        <f>C6</f>
        <v>0</v>
      </c>
      <c r="J7" s="1862"/>
      <c r="K7" s="1862"/>
      <c r="L7" s="1862"/>
      <c r="M7" s="1862"/>
      <c r="N7" s="1862"/>
      <c r="O7" s="1862"/>
      <c r="P7" s="1862"/>
      <c r="Q7" s="1863"/>
    </row>
    <row r="8" spans="2:17">
      <c r="B8" s="1432" t="s">
        <v>1832</v>
      </c>
      <c r="C8" s="1439"/>
      <c r="D8" s="1409" t="s">
        <v>1833</v>
      </c>
      <c r="E8" s="1409" t="s">
        <v>1834</v>
      </c>
      <c r="F8" s="1440"/>
      <c r="G8" s="429"/>
      <c r="H8" s="1432" t="s">
        <v>1832</v>
      </c>
      <c r="I8" s="1864">
        <f>C8</f>
        <v>0</v>
      </c>
      <c r="J8" s="1865"/>
      <c r="K8" s="1865"/>
      <c r="L8" s="1865"/>
      <c r="M8" s="1865"/>
      <c r="N8" s="1865"/>
      <c r="O8" s="1865"/>
      <c r="P8" s="1865"/>
      <c r="Q8" s="1866"/>
    </row>
    <row r="9" spans="2:17">
      <c r="B9" s="1432" t="s">
        <v>1835</v>
      </c>
      <c r="C9" s="1435"/>
      <c r="D9" s="1409" t="s">
        <v>1836</v>
      </c>
      <c r="E9" s="1409"/>
      <c r="F9" s="1440"/>
      <c r="H9" s="1432" t="s">
        <v>1835</v>
      </c>
      <c r="I9" s="1861">
        <f>C9</f>
        <v>0</v>
      </c>
      <c r="J9" s="1862"/>
      <c r="K9" s="1862"/>
      <c r="L9" s="1862"/>
      <c r="M9" s="1862"/>
      <c r="N9" s="1862"/>
      <c r="O9" s="1862"/>
      <c r="P9" s="1862"/>
      <c r="Q9" s="1863"/>
    </row>
    <row r="10" spans="2:17">
      <c r="B10" s="1432" t="s">
        <v>1837</v>
      </c>
      <c r="C10" s="1439"/>
      <c r="D10" s="1409" t="s">
        <v>1838</v>
      </c>
      <c r="E10" s="1409" t="s">
        <v>1839</v>
      </c>
      <c r="F10" s="1440"/>
      <c r="G10" s="429"/>
      <c r="H10" s="1432" t="s">
        <v>1837</v>
      </c>
      <c r="I10" s="1867">
        <f>C10</f>
        <v>0</v>
      </c>
      <c r="J10" s="1868"/>
      <c r="K10" s="1868"/>
      <c r="L10" s="1868"/>
      <c r="M10" s="1868"/>
      <c r="N10" s="1868"/>
      <c r="O10" s="1868"/>
      <c r="P10" s="1868"/>
      <c r="Q10" s="1869"/>
    </row>
    <row r="12" spans="2:17">
      <c r="D12" s="426" t="s">
        <v>1840</v>
      </c>
    </row>
    <row r="13" spans="2:17">
      <c r="D13" s="1405" t="s">
        <v>1841</v>
      </c>
      <c r="E13" s="1441" t="e">
        <f>C10/C8</f>
        <v>#DIV/0!</v>
      </c>
      <c r="H13" s="428" t="s">
        <v>1842</v>
      </c>
      <c r="M13" s="430">
        <v>4.2321999999999997</v>
      </c>
    </row>
    <row r="14" spans="2:17">
      <c r="D14" s="1405" t="s">
        <v>1843</v>
      </c>
      <c r="E14" s="1442" t="e">
        <f>1/C9</f>
        <v>#DIV/0!</v>
      </c>
      <c r="H14" s="428" t="s">
        <v>1844</v>
      </c>
      <c r="M14" s="423">
        <v>1.01916916988504</v>
      </c>
    </row>
    <row r="15" spans="2:17">
      <c r="D15" s="1405" t="s">
        <v>1845</v>
      </c>
      <c r="E15" s="1443">
        <f>ROUND(C6/(1-C7),4)</f>
        <v>0</v>
      </c>
      <c r="H15" s="428" t="s">
        <v>1846</v>
      </c>
      <c r="M15" s="423">
        <f>M13*M14</f>
        <v>4.313327760787466</v>
      </c>
    </row>
    <row r="16" spans="2:17">
      <c r="D16" s="1405" t="s">
        <v>1780</v>
      </c>
      <c r="E16" s="1444" t="e">
        <f>(((1+E15)^E14)*E15)/((1+E15)^E14-1)</f>
        <v>#DIV/0!</v>
      </c>
      <c r="H16" s="428" t="s">
        <v>1847</v>
      </c>
      <c r="M16" s="423">
        <v>0.3</v>
      </c>
    </row>
    <row r="17" spans="2:13">
      <c r="H17" s="428" t="s">
        <v>1848</v>
      </c>
      <c r="M17" s="423">
        <v>0.4</v>
      </c>
    </row>
    <row r="18" spans="2:13">
      <c r="H18" s="428" t="s">
        <v>1849</v>
      </c>
      <c r="M18" s="423">
        <v>0</v>
      </c>
    </row>
    <row r="20" spans="2:13">
      <c r="B20" s="1426" t="s">
        <v>1800</v>
      </c>
      <c r="C20" s="1427" t="e">
        <f>'REN 473'!C21</f>
        <v>#NAME?</v>
      </c>
      <c r="E20" s="431" t="s">
        <v>1850</v>
      </c>
      <c r="F20" s="431"/>
    </row>
    <row r="21" spans="2:13">
      <c r="B21" s="432" t="s">
        <v>1801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1802</v>
      </c>
      <c r="C22" s="433">
        <f>'REN 473'!C23</f>
        <v>0</v>
      </c>
      <c r="E22" s="436" t="s">
        <v>1851</v>
      </c>
      <c r="F22" s="437"/>
    </row>
    <row r="23" spans="2:13">
      <c r="B23" s="1426" t="s">
        <v>1803</v>
      </c>
      <c r="C23" s="1427" t="e">
        <f>'REN 473'!C24</f>
        <v>#REF!</v>
      </c>
      <c r="E23" s="436" t="s">
        <v>1852</v>
      </c>
      <c r="F23" s="437"/>
    </row>
    <row r="24" spans="2:13">
      <c r="E24" s="436" t="s">
        <v>1853</v>
      </c>
      <c r="F24" s="437"/>
    </row>
    <row r="25" spans="2:13">
      <c r="B25" s="1426" t="s">
        <v>1804</v>
      </c>
      <c r="C25" s="1445"/>
      <c r="E25" s="436" t="s">
        <v>1854</v>
      </c>
      <c r="F25" s="437"/>
    </row>
    <row r="26" spans="2:13">
      <c r="B26" s="432" t="s">
        <v>1805</v>
      </c>
      <c r="C26" s="460"/>
      <c r="E26" s="1446" t="s">
        <v>1855</v>
      </c>
      <c r="F26" s="1447"/>
    </row>
    <row r="27" spans="2:13">
      <c r="B27" s="432" t="s">
        <v>1806</v>
      </c>
      <c r="C27" s="460"/>
      <c r="E27" s="436" t="s">
        <v>1856</v>
      </c>
      <c r="F27" s="439"/>
    </row>
    <row r="28" spans="2:13">
      <c r="B28" s="1428" t="s">
        <v>1807</v>
      </c>
      <c r="C28" s="1448"/>
      <c r="E28" s="1446" t="s">
        <v>1857</v>
      </c>
      <c r="F28" s="1447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1858</v>
      </c>
      <c r="C2" s="9" t="s">
        <v>37</v>
      </c>
    </row>
    <row r="3" spans="2:3">
      <c r="B3" s="64" t="s">
        <v>1859</v>
      </c>
      <c r="C3" t="e">
        <f t="shared" ref="C3:C66" ca="1" si="0">INDIRECT(B3)</f>
        <v>#REF!</v>
      </c>
    </row>
    <row r="4" spans="2:3">
      <c r="B4" s="64" t="s">
        <v>1860</v>
      </c>
      <c r="C4" t="e">
        <f t="shared" ca="1" si="0"/>
        <v>#REF!</v>
      </c>
    </row>
    <row r="5" spans="2:3">
      <c r="B5" s="64" t="s">
        <v>1861</v>
      </c>
      <c r="C5" t="e">
        <f t="shared" ca="1" si="0"/>
        <v>#REF!</v>
      </c>
    </row>
    <row r="6" spans="2:3">
      <c r="B6" s="64" t="s">
        <v>1862</v>
      </c>
      <c r="C6" t="e">
        <f t="shared" ca="1" si="0"/>
        <v>#REF!</v>
      </c>
    </row>
    <row r="7" spans="2:3">
      <c r="B7" s="64" t="s">
        <v>1863</v>
      </c>
      <c r="C7" t="e">
        <f t="shared" ca="1" si="0"/>
        <v>#REF!</v>
      </c>
    </row>
    <row r="8" spans="2:3">
      <c r="B8" s="64" t="s">
        <v>1864</v>
      </c>
      <c r="C8" t="e">
        <f t="shared" ca="1" si="0"/>
        <v>#REF!</v>
      </c>
    </row>
    <row r="9" spans="2:3">
      <c r="B9" s="64" t="s">
        <v>1865</v>
      </c>
      <c r="C9" t="e">
        <f t="shared" ca="1" si="0"/>
        <v>#REF!</v>
      </c>
    </row>
    <row r="10" spans="2:3">
      <c r="B10" s="64" t="s">
        <v>1866</v>
      </c>
      <c r="C10" t="e">
        <f t="shared" ca="1" si="0"/>
        <v>#REF!</v>
      </c>
    </row>
    <row r="11" spans="2:3">
      <c r="B11" s="64" t="s">
        <v>1867</v>
      </c>
      <c r="C11" t="e">
        <f t="shared" ca="1" si="0"/>
        <v>#REF!</v>
      </c>
    </row>
    <row r="12" spans="2:3">
      <c r="B12" s="63" t="s">
        <v>1868</v>
      </c>
      <c r="C12" t="e">
        <f t="shared" ca="1" si="0"/>
        <v>#REF!</v>
      </c>
    </row>
    <row r="13" spans="2:3">
      <c r="B13" s="63" t="s">
        <v>1869</v>
      </c>
      <c r="C13" t="e">
        <f t="shared" ca="1" si="0"/>
        <v>#REF!</v>
      </c>
    </row>
    <row r="14" spans="2:3">
      <c r="B14" s="63" t="s">
        <v>1870</v>
      </c>
      <c r="C14">
        <f t="shared" ca="1" si="0"/>
        <v>2022</v>
      </c>
    </row>
    <row r="15" spans="2:3">
      <c r="B15" s="63" t="s">
        <v>1871</v>
      </c>
      <c r="C15">
        <f t="shared" ca="1" si="0"/>
        <v>2022</v>
      </c>
    </row>
    <row r="16" spans="2:3">
      <c r="B16" s="63" t="s">
        <v>1872</v>
      </c>
      <c r="C16">
        <f t="shared" ca="1" si="0"/>
        <v>44834</v>
      </c>
    </row>
    <row r="17" spans="2:3">
      <c r="B17" s="63" t="s">
        <v>1873</v>
      </c>
      <c r="C17">
        <f t="shared" ca="1" si="0"/>
        <v>183015.82199999996</v>
      </c>
    </row>
    <row r="18" spans="2:3">
      <c r="B18" s="63" t="s">
        <v>1874</v>
      </c>
      <c r="C18">
        <f t="shared" ca="1" si="0"/>
        <v>0</v>
      </c>
    </row>
    <row r="19" spans="2:3">
      <c r="B19" s="63" t="s">
        <v>1875</v>
      </c>
      <c r="C19">
        <f t="shared" ca="1" si="0"/>
        <v>36892.089</v>
      </c>
    </row>
    <row r="20" spans="2:3">
      <c r="B20" s="63" t="s">
        <v>1876</v>
      </c>
      <c r="C20" t="e">
        <f t="shared" ca="1" si="0"/>
        <v>#VALUE!</v>
      </c>
    </row>
    <row r="21" spans="2:3">
      <c r="B21" s="63" t="s">
        <v>1877</v>
      </c>
      <c r="C21">
        <f t="shared" ca="1" si="0"/>
        <v>5356</v>
      </c>
    </row>
    <row r="22" spans="2:3">
      <c r="B22" s="63" t="s">
        <v>1066</v>
      </c>
      <c r="C22">
        <f t="shared" ca="1" si="0"/>
        <v>215</v>
      </c>
    </row>
    <row r="23" spans="2:3">
      <c r="B23" s="63" t="s">
        <v>1878</v>
      </c>
      <c r="C23">
        <f t="shared" ca="1" si="0"/>
        <v>4.7130579225647798E-2</v>
      </c>
    </row>
    <row r="24" spans="2:3">
      <c r="B24" s="63" t="s">
        <v>1879</v>
      </c>
      <c r="C24" t="e">
        <f t="shared" ca="1" si="0"/>
        <v>#REF!</v>
      </c>
    </row>
    <row r="25" spans="2:3">
      <c r="B25" s="63" t="s">
        <v>1880</v>
      </c>
      <c r="C25">
        <f t="shared" ca="1" si="0"/>
        <v>0</v>
      </c>
    </row>
    <row r="26" spans="2:3">
      <c r="B26" s="63" t="s">
        <v>1881</v>
      </c>
      <c r="C26">
        <f t="shared" ca="1" si="0"/>
        <v>0</v>
      </c>
    </row>
    <row r="27" spans="2:3">
      <c r="B27" s="63" t="s">
        <v>1882</v>
      </c>
      <c r="C27" t="e">
        <f t="shared" ca="1" si="0"/>
        <v>#REF!</v>
      </c>
    </row>
    <row r="28" spans="2:3">
      <c r="B28" s="63" t="s">
        <v>1883</v>
      </c>
      <c r="C28" t="e">
        <f t="shared" ca="1" si="0"/>
        <v>#REF!</v>
      </c>
    </row>
    <row r="29" spans="2:3">
      <c r="B29" s="63" t="s">
        <v>1884</v>
      </c>
      <c r="C29">
        <f t="shared" ca="1" si="0"/>
        <v>0</v>
      </c>
    </row>
    <row r="30" spans="2:3">
      <c r="B30" s="63" t="s">
        <v>1885</v>
      </c>
      <c r="C30">
        <f t="shared" ca="1" si="0"/>
        <v>6669</v>
      </c>
    </row>
    <row r="31" spans="2:3">
      <c r="B31" s="63" t="s">
        <v>1886</v>
      </c>
      <c r="C31">
        <f t="shared" ca="1" si="0"/>
        <v>44834</v>
      </c>
    </row>
    <row r="32" spans="2:3">
      <c r="B32" s="63" t="s">
        <v>1887</v>
      </c>
      <c r="C32" t="e">
        <f t="shared" ca="1" si="0"/>
        <v>#REF!</v>
      </c>
    </row>
    <row r="33" spans="2:3">
      <c r="B33" s="63" t="s">
        <v>1888</v>
      </c>
      <c r="C33">
        <f t="shared" ca="1" si="0"/>
        <v>0.27244898201761553</v>
      </c>
    </row>
    <row r="34" spans="2:3">
      <c r="B34" s="63" t="s">
        <v>1889</v>
      </c>
      <c r="C34" t="e">
        <f t="shared" ca="1" si="0"/>
        <v>#REF!</v>
      </c>
    </row>
    <row r="35" spans="2:3">
      <c r="B35" s="63" t="s">
        <v>1890</v>
      </c>
      <c r="C35">
        <f t="shared" ca="1" si="0"/>
        <v>0</v>
      </c>
    </row>
    <row r="36" spans="2:3">
      <c r="B36" s="63" t="s">
        <v>1891</v>
      </c>
      <c r="C36" t="e">
        <f t="shared" ca="1" si="0"/>
        <v>#REF!</v>
      </c>
    </row>
    <row r="37" spans="2:3">
      <c r="B37" s="63" t="s">
        <v>1892</v>
      </c>
      <c r="C37" t="e">
        <f t="shared" ca="1" si="0"/>
        <v>#REF!</v>
      </c>
    </row>
    <row r="38" spans="2:3">
      <c r="B38" s="64" t="s">
        <v>1893</v>
      </c>
      <c r="C38" t="e">
        <f t="shared" ca="1" si="0"/>
        <v>#REF!</v>
      </c>
    </row>
    <row r="39" spans="2:3">
      <c r="B39" s="63" t="s">
        <v>1894</v>
      </c>
      <c r="C39" t="e">
        <f t="shared" ca="1" si="0"/>
        <v>#REF!</v>
      </c>
    </row>
    <row r="40" spans="2:3">
      <c r="B40" s="63" t="s">
        <v>1895</v>
      </c>
      <c r="C40" t="e">
        <f t="shared" ca="1" si="0"/>
        <v>#REF!</v>
      </c>
    </row>
    <row r="41" spans="2:3">
      <c r="B41" s="63" t="s">
        <v>1896</v>
      </c>
      <c r="C41">
        <f t="shared" ca="1" si="0"/>
        <v>0.15735461284194208</v>
      </c>
    </row>
    <row r="42" spans="2:3">
      <c r="B42" s="63" t="s">
        <v>1897</v>
      </c>
      <c r="C42">
        <f t="shared" ca="1" si="0"/>
        <v>0.1470763619536255</v>
      </c>
    </row>
    <row r="43" spans="2:3">
      <c r="B43" s="63" t="s">
        <v>1898</v>
      </c>
      <c r="C43">
        <f t="shared" ca="1" si="0"/>
        <v>0.19646744137963479</v>
      </c>
    </row>
    <row r="44" spans="2:3">
      <c r="B44" s="63" t="s">
        <v>1899</v>
      </c>
      <c r="C44" t="e">
        <f t="shared" ca="1" si="0"/>
        <v>#REF!</v>
      </c>
    </row>
    <row r="45" spans="2:3">
      <c r="B45" s="63" t="s">
        <v>1900</v>
      </c>
      <c r="C45" t="e">
        <f t="shared" ca="1" si="0"/>
        <v>#REF!</v>
      </c>
    </row>
    <row r="46" spans="2:3">
      <c r="B46" s="63" t="s">
        <v>1901</v>
      </c>
      <c r="C46" t="e">
        <f t="shared" ca="1" si="0"/>
        <v>#REF!</v>
      </c>
    </row>
    <row r="47" spans="2:3">
      <c r="B47" s="63" t="s">
        <v>1902</v>
      </c>
      <c r="C47">
        <f t="shared" ca="1" si="0"/>
        <v>0.15735461284194208</v>
      </c>
    </row>
    <row r="48" spans="2:3">
      <c r="B48" s="63" t="s">
        <v>1903</v>
      </c>
      <c r="C48">
        <f t="shared" ca="1" si="0"/>
        <v>0</v>
      </c>
    </row>
    <row r="49" spans="2:3">
      <c r="B49" s="63" t="s">
        <v>1904</v>
      </c>
      <c r="C49">
        <f t="shared" ca="1" si="0"/>
        <v>197311.52174999996</v>
      </c>
    </row>
    <row r="50" spans="2:3">
      <c r="B50" s="63" t="s">
        <v>1905</v>
      </c>
      <c r="C50">
        <f t="shared" ca="1" si="0"/>
        <v>-5.5999999999999999E-3</v>
      </c>
    </row>
    <row r="51" spans="2:3">
      <c r="B51" s="63" t="s">
        <v>1906</v>
      </c>
      <c r="C51">
        <f t="shared" ca="1" si="0"/>
        <v>183015.82199999996</v>
      </c>
    </row>
    <row r="52" spans="2:3">
      <c r="B52" s="63" t="s">
        <v>1907</v>
      </c>
      <c r="C52">
        <f t="shared" ca="1" si="0"/>
        <v>183015.82199999996</v>
      </c>
    </row>
    <row r="53" spans="2:3">
      <c r="B53" s="63" t="s">
        <v>1908</v>
      </c>
      <c r="C53">
        <f t="shared" ca="1" si="0"/>
        <v>0</v>
      </c>
    </row>
    <row r="54" spans="2:3">
      <c r="B54" s="63" t="s">
        <v>1909</v>
      </c>
      <c r="C54">
        <f t="shared" ca="1" si="0"/>
        <v>0.37447405787866284</v>
      </c>
    </row>
    <row r="55" spans="2:3">
      <c r="B55" s="63" t="s">
        <v>1910</v>
      </c>
      <c r="C55">
        <f t="shared" ca="1" si="0"/>
        <v>0</v>
      </c>
    </row>
    <row r="56" spans="2:3">
      <c r="B56" s="63" t="s">
        <v>1911</v>
      </c>
      <c r="C56">
        <f t="shared" ca="1" si="0"/>
        <v>0</v>
      </c>
    </row>
    <row r="57" spans="2:3">
      <c r="B57" s="63" t="s">
        <v>1912</v>
      </c>
      <c r="C57">
        <f t="shared" ca="1" si="0"/>
        <v>0.27244898201761553</v>
      </c>
    </row>
    <row r="58" spans="2:3">
      <c r="B58" s="63" t="s">
        <v>1913</v>
      </c>
      <c r="C58">
        <f t="shared" ca="1" si="0"/>
        <v>8.727291292620043E-2</v>
      </c>
    </row>
    <row r="59" spans="2:3">
      <c r="B59" s="63" t="s">
        <v>1914</v>
      </c>
      <c r="C59">
        <f t="shared" ca="1" si="0"/>
        <v>0</v>
      </c>
    </row>
    <row r="60" spans="2:3">
      <c r="B60" s="63" t="s">
        <v>1915</v>
      </c>
      <c r="C60" t="e">
        <f t="shared" ca="1" si="0"/>
        <v>#REF!</v>
      </c>
    </row>
    <row r="61" spans="2:3">
      <c r="B61" s="63" t="s">
        <v>1916</v>
      </c>
      <c r="C61">
        <f t="shared" ca="1" si="0"/>
        <v>3.5108120793783025E-2</v>
      </c>
    </row>
    <row r="62" spans="2:3">
      <c r="B62" s="63" t="s">
        <v>1917</v>
      </c>
      <c r="C62">
        <f t="shared" ca="1" si="0"/>
        <v>0.15570000000000001</v>
      </c>
    </row>
    <row r="63" spans="2:3">
      <c r="B63" s="63" t="s">
        <v>1918</v>
      </c>
      <c r="C63">
        <f t="shared" ca="1" si="0"/>
        <v>9.2698428477659217E-2</v>
      </c>
    </row>
    <row r="64" spans="2:3">
      <c r="B64" s="63" t="s">
        <v>1919</v>
      </c>
      <c r="C64" t="e">
        <f t="shared" ca="1" si="0"/>
        <v>#REF!</v>
      </c>
    </row>
    <row r="65" spans="2:3">
      <c r="B65" s="63" t="s">
        <v>1920</v>
      </c>
      <c r="C65">
        <f t="shared" ca="1" si="0"/>
        <v>0.14479998848841963</v>
      </c>
    </row>
    <row r="66" spans="2:3">
      <c r="B66" s="63" t="s">
        <v>1921</v>
      </c>
      <c r="C66">
        <f t="shared" ca="1" si="0"/>
        <v>1.0854993151274493E-2</v>
      </c>
    </row>
    <row r="67" spans="2:3">
      <c r="B67" s="63" t="s">
        <v>1922</v>
      </c>
      <c r="C67">
        <f t="shared" ref="C67:C130" ca="1" si="1">INDIRECT(B67)</f>
        <v>1.69934392169774E-2</v>
      </c>
    </row>
    <row r="68" spans="2:3">
      <c r="B68" s="63" t="s">
        <v>1923</v>
      </c>
      <c r="C68">
        <f t="shared" ca="1" si="1"/>
        <v>0.16300000000000001</v>
      </c>
    </row>
    <row r="69" spans="2:3">
      <c r="B69" s="63" t="s">
        <v>1924</v>
      </c>
      <c r="C69">
        <f t="shared" ca="1" si="1"/>
        <v>-120361.71462878174</v>
      </c>
    </row>
    <row r="70" spans="2:3">
      <c r="B70" s="63" t="s">
        <v>1925</v>
      </c>
      <c r="C70" t="str">
        <f t="shared" ca="1" si="1"/>
        <v xml:space="preserve">Cooperativa de Eletricidade de São Ludgero </v>
      </c>
    </row>
    <row r="71" spans="2:3">
      <c r="B71" s="63" t="s">
        <v>1926</v>
      </c>
      <c r="C71" t="e">
        <f t="shared" ca="1" si="1"/>
        <v>#REF!</v>
      </c>
    </row>
    <row r="72" spans="2:3">
      <c r="B72" s="63" t="s">
        <v>1927</v>
      </c>
      <c r="C72" t="str">
        <f t="shared" ca="1" si="1"/>
        <v>08/2018</v>
      </c>
    </row>
    <row r="73" spans="2:3">
      <c r="B73" s="63" t="s">
        <v>1928</v>
      </c>
      <c r="C73">
        <f t="shared" ca="1" si="1"/>
        <v>0</v>
      </c>
    </row>
    <row r="74" spans="2:3">
      <c r="B74" s="63" t="s">
        <v>1929</v>
      </c>
      <c r="C74">
        <f t="shared" ca="1" si="1"/>
        <v>0.83526241788492217</v>
      </c>
    </row>
    <row r="75" spans="2:3">
      <c r="B75" s="63" t="s">
        <v>1930</v>
      </c>
      <c r="C75">
        <f t="shared" ca="1" si="1"/>
        <v>0.16473758211507775</v>
      </c>
    </row>
    <row r="76" spans="2:3">
      <c r="B76" s="63" t="s">
        <v>1931</v>
      </c>
      <c r="C76">
        <f t="shared" ca="1" si="1"/>
        <v>7.4856994440414673E-2</v>
      </c>
    </row>
    <row r="77" spans="2:3">
      <c r="B77" s="63" t="s">
        <v>1932</v>
      </c>
      <c r="C77">
        <f t="shared" ca="1" si="1"/>
        <v>0</v>
      </c>
    </row>
    <row r="78" spans="2:3">
      <c r="B78" s="63" t="s">
        <v>1933</v>
      </c>
      <c r="C78">
        <f t="shared" ca="1" si="1"/>
        <v>14295.699750000013</v>
      </c>
    </row>
    <row r="79" spans="2:3">
      <c r="B79" s="63" t="s">
        <v>1934</v>
      </c>
      <c r="C79">
        <f t="shared" ca="1" si="1"/>
        <v>0</v>
      </c>
    </row>
    <row r="80" spans="2:3">
      <c r="B80" s="63" t="s">
        <v>1935</v>
      </c>
      <c r="C80">
        <f t="shared" ca="1" si="1"/>
        <v>602230.75017009256</v>
      </c>
    </row>
    <row r="81" spans="2:3">
      <c r="B81" s="63" t="s">
        <v>1936</v>
      </c>
      <c r="C81" t="e">
        <f t="shared" ca="1" si="1"/>
        <v>#REF!</v>
      </c>
    </row>
    <row r="82" spans="2:3">
      <c r="B82" s="64" t="s">
        <v>1937</v>
      </c>
      <c r="C82">
        <f t="shared" ca="1" si="1"/>
        <v>3159.0104146825497</v>
      </c>
    </row>
    <row r="83" spans="2:3">
      <c r="B83" s="63" t="s">
        <v>1938</v>
      </c>
      <c r="C83">
        <f t="shared" ca="1" si="1"/>
        <v>68249361.710620001</v>
      </c>
    </row>
    <row r="84" spans="2:3">
      <c r="B84" s="63" t="s">
        <v>1939</v>
      </c>
      <c r="C84">
        <f t="shared" ca="1" si="1"/>
        <v>0</v>
      </c>
    </row>
    <row r="85" spans="2:3">
      <c r="B85" s="63" t="s">
        <v>1940</v>
      </c>
      <c r="C85">
        <f t="shared" ca="1" si="1"/>
        <v>0</v>
      </c>
    </row>
    <row r="86" spans="2:3">
      <c r="B86" s="63" t="s">
        <v>1941</v>
      </c>
      <c r="C86" t="str">
        <f t="shared" ca="1" si="1"/>
        <v>setembro de 2021 a agosto de 2022</v>
      </c>
    </row>
    <row r="87" spans="2:3">
      <c r="B87" s="63" t="s">
        <v>1942</v>
      </c>
      <c r="C87">
        <f t="shared" ca="1" si="1"/>
        <v>0</v>
      </c>
    </row>
    <row r="88" spans="2:3">
      <c r="B88" s="63" t="s">
        <v>1943</v>
      </c>
      <c r="C88" t="str">
        <f t="shared" ca="1" si="1"/>
        <v>Cegero</v>
      </c>
    </row>
    <row r="89" spans="2:3">
      <c r="B89" s="63" t="s">
        <v>1944</v>
      </c>
      <c r="C89">
        <f t="shared" ca="1" si="1"/>
        <v>0</v>
      </c>
    </row>
    <row r="90" spans="2:3">
      <c r="B90" s="63" t="s">
        <v>1945</v>
      </c>
      <c r="C90" t="e">
        <f t="shared" ca="1" si="1"/>
        <v>#REF!</v>
      </c>
    </row>
    <row r="91" spans="2:3">
      <c r="B91" s="64" t="s">
        <v>1946</v>
      </c>
      <c r="C91">
        <f t="shared" ca="1" si="1"/>
        <v>10910249.227</v>
      </c>
    </row>
    <row r="92" spans="2:3">
      <c r="B92" s="64" t="s">
        <v>1947</v>
      </c>
      <c r="C92">
        <f t="shared" ca="1" si="1"/>
        <v>7.5700000000000003E-2</v>
      </c>
    </row>
    <row r="93" spans="2:3">
      <c r="B93" s="64" t="s">
        <v>1948</v>
      </c>
      <c r="C93">
        <f t="shared" ca="1" si="1"/>
        <v>0.43380000000000002</v>
      </c>
    </row>
    <row r="94" spans="2:3">
      <c r="B94" s="64" t="s">
        <v>1949</v>
      </c>
      <c r="C94">
        <f t="shared" ca="1" si="1"/>
        <v>0.11890000000000001</v>
      </c>
    </row>
    <row r="95" spans="2:3">
      <c r="B95" s="64" t="s">
        <v>1950</v>
      </c>
      <c r="C95" t="e">
        <f t="shared" ca="1" si="1"/>
        <v>#VALUE!</v>
      </c>
    </row>
    <row r="96" spans="2:3">
      <c r="B96" s="64" t="s">
        <v>1951</v>
      </c>
      <c r="C96" t="e">
        <f t="shared" ca="1" si="1"/>
        <v>#VALUE!</v>
      </c>
    </row>
    <row r="97" spans="2:3">
      <c r="B97" s="64" t="s">
        <v>1952</v>
      </c>
      <c r="C97" t="e">
        <f t="shared" ca="1" si="1"/>
        <v>#VALUE!</v>
      </c>
    </row>
    <row r="98" spans="2:3">
      <c r="B98" s="64" t="s">
        <v>1953</v>
      </c>
      <c r="C98" t="e">
        <f t="shared" ca="1" si="1"/>
        <v>#VALUE!</v>
      </c>
    </row>
    <row r="99" spans="2:3">
      <c r="B99" s="63" t="s">
        <v>1954</v>
      </c>
      <c r="C99" t="e">
        <f t="shared" ca="1" si="1"/>
        <v>#VALUE!</v>
      </c>
    </row>
    <row r="100" spans="2:3">
      <c r="B100" s="64" t="s">
        <v>1955</v>
      </c>
      <c r="C100" t="e">
        <f t="shared" ca="1" si="1"/>
        <v>#VALUE!</v>
      </c>
    </row>
    <row r="101" spans="2:3">
      <c r="B101" s="63" t="s">
        <v>1956</v>
      </c>
      <c r="C101" t="e">
        <f t="shared" ca="1" si="1"/>
        <v>#VALUE!</v>
      </c>
    </row>
    <row r="102" spans="2:3">
      <c r="B102" s="63" t="s">
        <v>1957</v>
      </c>
      <c r="C102" t="e">
        <f t="shared" ca="1" si="1"/>
        <v>#VALUE!</v>
      </c>
    </row>
    <row r="103" spans="2:3">
      <c r="B103" s="63" t="s">
        <v>1958</v>
      </c>
      <c r="C103" t="e">
        <f t="shared" ca="1" si="1"/>
        <v>#VALUE!</v>
      </c>
    </row>
    <row r="104" spans="2:3">
      <c r="B104" s="63" t="s">
        <v>1959</v>
      </c>
      <c r="C104" t="e">
        <f t="shared" ca="1" si="1"/>
        <v>#VALUE!</v>
      </c>
    </row>
    <row r="105" spans="2:3">
      <c r="B105" s="63" t="s">
        <v>1960</v>
      </c>
      <c r="C105" t="e">
        <f t="shared" ca="1" si="1"/>
        <v>#VALUE!</v>
      </c>
    </row>
    <row r="106" spans="2:3">
      <c r="B106" s="63" t="s">
        <v>1961</v>
      </c>
      <c r="C106" t="e">
        <f t="shared" ca="1" si="1"/>
        <v>#VALUE!</v>
      </c>
    </row>
    <row r="107" spans="2:3">
      <c r="B107" s="63" t="s">
        <v>1962</v>
      </c>
      <c r="C107" t="e">
        <f t="shared" ca="1" si="1"/>
        <v>#VALUE!</v>
      </c>
    </row>
    <row r="108" spans="2:3">
      <c r="B108" s="63" t="s">
        <v>1963</v>
      </c>
      <c r="C108" t="e">
        <f t="shared" ca="1" si="1"/>
        <v>#REF!</v>
      </c>
    </row>
    <row r="109" spans="2:3">
      <c r="B109" s="63" t="s">
        <v>1964</v>
      </c>
      <c r="C109" t="e">
        <f t="shared" ca="1" si="1"/>
        <v>#REF!</v>
      </c>
    </row>
    <row r="110" spans="2:3">
      <c r="B110" s="63" t="s">
        <v>1965</v>
      </c>
      <c r="C110" t="e">
        <f t="shared" ca="1" si="1"/>
        <v>#REF!</v>
      </c>
    </row>
    <row r="111" spans="2:3">
      <c r="B111" s="63" t="s">
        <v>1966</v>
      </c>
      <c r="C111" t="e">
        <f t="shared" ca="1" si="1"/>
        <v>#REF!</v>
      </c>
    </row>
    <row r="112" spans="2:3">
      <c r="B112" s="63" t="s">
        <v>1967</v>
      </c>
      <c r="C112" t="e">
        <f t="shared" ca="1" si="1"/>
        <v>#REF!</v>
      </c>
    </row>
    <row r="113" spans="2:3">
      <c r="B113" s="63" t="s">
        <v>1968</v>
      </c>
      <c r="C113" t="e">
        <f t="shared" ca="1" si="1"/>
        <v>#REF!</v>
      </c>
    </row>
    <row r="114" spans="2:3">
      <c r="B114" s="63" t="s">
        <v>1969</v>
      </c>
      <c r="C114" t="e">
        <f t="shared" ca="1" si="1"/>
        <v>#REF!</v>
      </c>
    </row>
    <row r="115" spans="2:3">
      <c r="B115" s="63" t="s">
        <v>1970</v>
      </c>
      <c r="C115">
        <f t="shared" ca="1" si="1"/>
        <v>0</v>
      </c>
    </row>
    <row r="116" spans="2:3">
      <c r="B116" s="64" t="s">
        <v>1971</v>
      </c>
      <c r="C116">
        <f t="shared" ca="1" si="1"/>
        <v>9824693.1748225261</v>
      </c>
    </row>
    <row r="117" spans="2:3">
      <c r="B117" s="63" t="s">
        <v>1972</v>
      </c>
      <c r="C117">
        <f t="shared" ca="1" si="1"/>
        <v>0</v>
      </c>
    </row>
    <row r="118" spans="2:3">
      <c r="B118" s="63" t="s">
        <v>1973</v>
      </c>
      <c r="C118">
        <f t="shared" ca="1" si="1"/>
        <v>0</v>
      </c>
    </row>
    <row r="119" spans="2:3">
      <c r="B119" s="64" t="s">
        <v>1974</v>
      </c>
      <c r="C119">
        <f t="shared" ca="1" si="1"/>
        <v>0</v>
      </c>
    </row>
    <row r="120" spans="2:3">
      <c r="B120" s="63" t="s">
        <v>1975</v>
      </c>
      <c r="C120">
        <f t="shared" ca="1" si="1"/>
        <v>1137757.3039927448</v>
      </c>
    </row>
    <row r="121" spans="2:3">
      <c r="B121" s="63" t="s">
        <v>1976</v>
      </c>
      <c r="C121">
        <f t="shared" ca="1" si="1"/>
        <v>0</v>
      </c>
    </row>
    <row r="122" spans="2:3">
      <c r="B122" s="64" t="s">
        <v>1977</v>
      </c>
      <c r="C122">
        <f t="shared" ca="1" si="1"/>
        <v>0</v>
      </c>
    </row>
    <row r="123" spans="2:3">
      <c r="B123" s="63" t="s">
        <v>1978</v>
      </c>
      <c r="C123">
        <f t="shared" ca="1" si="1"/>
        <v>0</v>
      </c>
    </row>
    <row r="124" spans="2:3">
      <c r="B124" s="63" t="s">
        <v>1979</v>
      </c>
      <c r="C124">
        <f t="shared" ca="1" si="1"/>
        <v>0</v>
      </c>
    </row>
    <row r="125" spans="2:3">
      <c r="B125" s="64" t="s">
        <v>1980</v>
      </c>
      <c r="C125">
        <f t="shared" ca="1" si="1"/>
        <v>0</v>
      </c>
    </row>
    <row r="126" spans="2:3">
      <c r="B126" s="63" t="s">
        <v>1981</v>
      </c>
      <c r="C126">
        <f t="shared" ca="1" si="1"/>
        <v>1696704.5826975643</v>
      </c>
    </row>
    <row r="127" spans="2:3">
      <c r="B127" s="63" t="s">
        <v>1982</v>
      </c>
      <c r="C127">
        <f t="shared" ca="1" si="1"/>
        <v>0</v>
      </c>
    </row>
    <row r="128" spans="2:3">
      <c r="B128" s="64" t="s">
        <v>1983</v>
      </c>
      <c r="C128">
        <f t="shared" ca="1" si="1"/>
        <v>53031.933971517581</v>
      </c>
    </row>
    <row r="129" spans="2:3">
      <c r="B129" s="63" t="s">
        <v>1984</v>
      </c>
      <c r="C129">
        <f t="shared" ca="1" si="1"/>
        <v>183015.82199999996</v>
      </c>
    </row>
    <row r="130" spans="2:3">
      <c r="B130" s="63" t="s">
        <v>1985</v>
      </c>
      <c r="C130">
        <f t="shared" ca="1" si="1"/>
        <v>68249361.710620001</v>
      </c>
    </row>
    <row r="131" spans="2:3">
      <c r="B131" s="64" t="s">
        <v>1986</v>
      </c>
      <c r="C131" t="str">
        <f t="shared" ref="C131:C194" ca="1" si="2">INDIRECT(B131)</f>
        <v>Convencional</v>
      </c>
    </row>
    <row r="132" spans="2:3">
      <c r="B132" s="63" t="s">
        <v>1987</v>
      </c>
      <c r="C132" t="e">
        <f t="shared" ca="1" si="2"/>
        <v>#VALUE!</v>
      </c>
    </row>
    <row r="133" spans="2:3">
      <c r="B133" s="64" t="s">
        <v>1988</v>
      </c>
      <c r="C133" t="e">
        <f t="shared" ca="1" si="2"/>
        <v>#REF!</v>
      </c>
    </row>
    <row r="134" spans="2:3">
      <c r="B134" s="63" t="s">
        <v>1989</v>
      </c>
      <c r="C134" t="e">
        <f t="shared" ca="1" si="2"/>
        <v>#REF!</v>
      </c>
    </row>
    <row r="135" spans="2:3">
      <c r="B135" s="63" t="s">
        <v>1990</v>
      </c>
      <c r="C135">
        <f t="shared" ca="1" si="2"/>
        <v>44774</v>
      </c>
    </row>
    <row r="136" spans="2:3">
      <c r="B136" s="63" t="s">
        <v>1991</v>
      </c>
      <c r="C136">
        <f t="shared" ca="1" si="2"/>
        <v>44440</v>
      </c>
    </row>
    <row r="137" spans="2:3">
      <c r="B137" s="63" t="s">
        <v>1992</v>
      </c>
      <c r="C137" t="e">
        <f t="shared" ca="1" si="2"/>
        <v>#REF!</v>
      </c>
    </row>
    <row r="138" spans="2:3">
      <c r="B138" s="63" t="s">
        <v>1993</v>
      </c>
      <c r="C138" t="e">
        <f t="shared" ca="1" si="2"/>
        <v>#REF!</v>
      </c>
    </row>
    <row r="139" spans="2:3">
      <c r="B139" s="63" t="s">
        <v>1994</v>
      </c>
      <c r="C139" t="e">
        <f t="shared" ca="1" si="2"/>
        <v>#REF!</v>
      </c>
    </row>
    <row r="140" spans="2:3">
      <c r="B140" s="63" t="s">
        <v>1995</v>
      </c>
      <c r="C140">
        <f t="shared" ca="1" si="2"/>
        <v>0</v>
      </c>
    </row>
    <row r="141" spans="2:3">
      <c r="B141" s="63" t="s">
        <v>1996</v>
      </c>
      <c r="C141" t="e">
        <f t="shared" ca="1" si="2"/>
        <v>#VALUE!</v>
      </c>
    </row>
    <row r="142" spans="2:3">
      <c r="B142" s="63" t="s">
        <v>1997</v>
      </c>
      <c r="C142" t="e">
        <f t="shared" ca="1" si="2"/>
        <v>#VALUE!</v>
      </c>
    </row>
    <row r="143" spans="2:3">
      <c r="B143" s="63" t="s">
        <v>1998</v>
      </c>
      <c r="C143" t="e">
        <f t="shared" ca="1" si="2"/>
        <v>#VALUE!</v>
      </c>
    </row>
    <row r="144" spans="2:3">
      <c r="B144" s="63" t="s">
        <v>1999</v>
      </c>
      <c r="C144" t="e">
        <f t="shared" ca="1" si="2"/>
        <v>#VALUE!</v>
      </c>
    </row>
    <row r="145" spans="2:3">
      <c r="B145" s="63" t="s">
        <v>2000</v>
      </c>
      <c r="C145" t="e">
        <f t="shared" ca="1" si="2"/>
        <v>#VALUE!</v>
      </c>
    </row>
    <row r="146" spans="2:3">
      <c r="B146" s="64" t="s">
        <v>2001</v>
      </c>
      <c r="C146" t="e">
        <f t="shared" ca="1" si="2"/>
        <v>#REF!</v>
      </c>
    </row>
    <row r="147" spans="2:3">
      <c r="B147" s="64" t="s">
        <v>2002</v>
      </c>
      <c r="C147" t="e">
        <f t="shared" ca="1" si="2"/>
        <v>#REF!</v>
      </c>
    </row>
    <row r="148" spans="2:3">
      <c r="B148" s="64" t="s">
        <v>2003</v>
      </c>
      <c r="C148" t="e">
        <f t="shared" ca="1" si="2"/>
        <v>#REF!</v>
      </c>
    </row>
    <row r="149" spans="2:3">
      <c r="B149" s="64" t="s">
        <v>2004</v>
      </c>
      <c r="C149" t="e">
        <f t="shared" ca="1" si="2"/>
        <v>#REF!</v>
      </c>
    </row>
    <row r="150" spans="2:3">
      <c r="B150" s="64" t="s">
        <v>2005</v>
      </c>
      <c r="C150" t="e">
        <f t="shared" ca="1" si="2"/>
        <v>#REF!</v>
      </c>
    </row>
    <row r="151" spans="2:3">
      <c r="B151" s="64" t="s">
        <v>2006</v>
      </c>
      <c r="C151" t="e">
        <f t="shared" ca="1" si="2"/>
        <v>#REF!</v>
      </c>
    </row>
    <row r="152" spans="2:3">
      <c r="B152" s="64" t="s">
        <v>2007</v>
      </c>
      <c r="C152" t="e">
        <f t="shared" ca="1" si="2"/>
        <v>#REF!</v>
      </c>
    </row>
    <row r="153" spans="2:3">
      <c r="B153" s="64" t="s">
        <v>2008</v>
      </c>
      <c r="C153" t="e">
        <f t="shared" ca="1" si="2"/>
        <v>#REF!</v>
      </c>
    </row>
    <row r="154" spans="2:3">
      <c r="B154" s="63" t="s">
        <v>2009</v>
      </c>
      <c r="C154" t="e">
        <f t="shared" ca="1" si="2"/>
        <v>#VALUE!</v>
      </c>
    </row>
    <row r="155" spans="2:3">
      <c r="B155" s="63" t="s">
        <v>2010</v>
      </c>
      <c r="C155" t="e">
        <f t="shared" ca="1" si="2"/>
        <v>#VALUE!</v>
      </c>
    </row>
    <row r="156" spans="2:3">
      <c r="B156" s="63" t="s">
        <v>2011</v>
      </c>
      <c r="C156" t="e">
        <f t="shared" ca="1" si="2"/>
        <v>#VALUE!</v>
      </c>
    </row>
    <row r="157" spans="2:3">
      <c r="B157" s="63" t="s">
        <v>2012</v>
      </c>
      <c r="C157" t="e">
        <f t="shared" ca="1" si="2"/>
        <v>#VALUE!</v>
      </c>
    </row>
    <row r="158" spans="2:3">
      <c r="B158" s="63" t="s">
        <v>2013</v>
      </c>
      <c r="C158" t="e">
        <f t="shared" ca="1" si="2"/>
        <v>#REF!</v>
      </c>
    </row>
    <row r="159" spans="2:3">
      <c r="B159" s="63" t="s">
        <v>2014</v>
      </c>
      <c r="C159" t="e">
        <f t="shared" ca="1" si="2"/>
        <v>#VALUE!</v>
      </c>
    </row>
    <row r="160" spans="2:3">
      <c r="B160" s="63" t="s">
        <v>2015</v>
      </c>
      <c r="C160" t="e">
        <f t="shared" ca="1" si="2"/>
        <v>#VALUE!</v>
      </c>
    </row>
    <row r="161" spans="2:3">
      <c r="B161" s="63" t="s">
        <v>2016</v>
      </c>
      <c r="C161" t="e">
        <f t="shared" ca="1" si="2"/>
        <v>#VALUE!</v>
      </c>
    </row>
    <row r="162" spans="2:3">
      <c r="B162" s="63" t="s">
        <v>2017</v>
      </c>
      <c r="C162" t="e">
        <f t="shared" ca="1" si="2"/>
        <v>#VALUE!</v>
      </c>
    </row>
    <row r="163" spans="2:3">
      <c r="B163" s="63" t="s">
        <v>2018</v>
      </c>
      <c r="C163" t="e">
        <f t="shared" ca="1" si="2"/>
        <v>#VALUE!</v>
      </c>
    </row>
    <row r="164" spans="2:3">
      <c r="B164" s="63" t="s">
        <v>2019</v>
      </c>
      <c r="C164" t="e">
        <f t="shared" ca="1" si="2"/>
        <v>#VALUE!</v>
      </c>
    </row>
    <row r="165" spans="2:3">
      <c r="B165" s="63" t="s">
        <v>2020</v>
      </c>
      <c r="C165" t="e">
        <f t="shared" ca="1" si="2"/>
        <v>#VALUE!</v>
      </c>
    </row>
    <row r="166" spans="2:3">
      <c r="B166" s="63" t="s">
        <v>2021</v>
      </c>
      <c r="C166" t="e">
        <f t="shared" ca="1" si="2"/>
        <v>#VALUE!</v>
      </c>
    </row>
    <row r="167" spans="2:3">
      <c r="B167" s="63" t="s">
        <v>2022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purl.org/dc/terms/"/>
    <ds:schemaRef ds:uri="http://schemas.microsoft.com/office/2006/documentManagement/types"/>
    <ds:schemaRef ds:uri="418fcf5d-b969-436b-97d7-f60b628df3ac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20170f74-19c9-4fec-9c53-8c3c47b13009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BD MERCADO</vt:lpstr>
      <vt:lpstr>Calc_Mercado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2022-09-27T18:06:01Z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